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en_skoroszyt" defaultThemeVersion="124226"/>
  <mc:AlternateContent xmlns:mc="http://schemas.openxmlformats.org/markup-compatibility/2006">
    <mc:Choice Requires="x15">
      <x15ac:absPath xmlns:x15ac="http://schemas.microsoft.com/office/spreadsheetml/2010/11/ac" url="W:\DRG\Wydział_3\Plany rozwoju\GUIDELINES&amp;FORMS\OSD_BIG\RAPORT\2023\"/>
    </mc:Choice>
  </mc:AlternateContent>
  <xr:revisionPtr revIDLastSave="0" documentId="13_ncr:1_{BCD4DAC1-AAF2-4E6A-83C0-39FCD1C28579}" xr6:coauthVersionLast="47" xr6:coauthVersionMax="47" xr10:uidLastSave="{00000000-0000-0000-0000-000000000000}"/>
  <bookViews>
    <workbookView xWindow="-120" yWindow="-120" windowWidth="19440" windowHeight="15600" tabRatio="711" activeTab="2" xr2:uid="{00000000-000D-0000-FFFF-FFFF00000000}"/>
  </bookViews>
  <sheets>
    <sheet name="Wstęp" sheetId="49" r:id="rId1"/>
    <sheet name="Spis" sheetId="54" r:id="rId2"/>
    <sheet name="Tab.G1.1-4" sheetId="50" r:id="rId3"/>
    <sheet name="Tab.G2.1-3" sheetId="165" r:id="rId4"/>
    <sheet name="Tab.G2.1E-6E" sheetId="167" r:id="rId5"/>
    <sheet name="Tab.G3.1-5" sheetId="64" r:id="rId6"/>
    <sheet name="Tab.G3.1E-5E" sheetId="168" r:id="rId7"/>
    <sheet name="Tab.G4.1-3" sheetId="155" r:id="rId8"/>
    <sheet name="Tab.G5.1-3" sheetId="143" r:id="rId9"/>
    <sheet name="Tab.G5.1E-3E" sheetId="169" r:id="rId10"/>
    <sheet name="Tab.G6" sheetId="154" r:id="rId11"/>
    <sheet name="Tab.G6.1-3" sheetId="178" r:id="rId12"/>
    <sheet name="Tab.G7" sheetId="146" r:id="rId13"/>
    <sheet name="Tab.G7E" sheetId="171" r:id="rId14"/>
    <sheet name="Tab.G8" sheetId="147" r:id="rId15"/>
    <sheet name="Tab.G8E" sheetId="170" r:id="rId16"/>
    <sheet name="Tab.G9" sheetId="148" r:id="rId17"/>
    <sheet name="Tab.G9E" sheetId="172" r:id="rId18"/>
    <sheet name="Tab.G10" sheetId="149" r:id="rId19"/>
    <sheet name="Tab.G10E" sheetId="173" r:id="rId20"/>
    <sheet name="Tab.G11" sheetId="150" r:id="rId21"/>
    <sheet name="Tab.G11E" sheetId="174" r:id="rId22"/>
    <sheet name="Tab.G12" sheetId="152" r:id="rId23"/>
    <sheet name="Tab.G13" sheetId="160" r:id="rId24"/>
    <sheet name="Tab.G13E" sheetId="175" r:id="rId25"/>
    <sheet name="Tab.G14" sheetId="156" r:id="rId26"/>
    <sheet name="Tab.G14E" sheetId="176" r:id="rId27"/>
    <sheet name="Tab.G15" sheetId="157" r:id="rId28"/>
    <sheet name="Tab.G16" sheetId="158" r:id="rId29"/>
    <sheet name="Tab.G16E" sheetId="177" r:id="rId30"/>
    <sheet name="Tab.G17" sheetId="161" r:id="rId31"/>
    <sheet name="Tab.G18" sheetId="162" r:id="rId32"/>
    <sheet name="Tab.G19.1-2" sheetId="163" r:id="rId33"/>
    <sheet name="Tab.G20" sheetId="166" r:id="rId34"/>
    <sheet name="Tab.G21" sheetId="164" r:id="rId35"/>
  </sheets>
  <definedNames>
    <definedName name="_xlnm._FilterDatabase" localSheetId="18" hidden="1">Tab.G10!$I$12:$I$42</definedName>
    <definedName name="_xlnm._FilterDatabase" localSheetId="19" hidden="1">Tab.G10E!$I$12:$I$42</definedName>
    <definedName name="_xlnm._FilterDatabase" localSheetId="20" hidden="1">Tab.G11!$I$12:$I$42</definedName>
    <definedName name="_xlnm._FilterDatabase" localSheetId="21" hidden="1">Tab.G11E!$I$12:$I$42</definedName>
    <definedName name="_xlnm._FilterDatabase" localSheetId="22" hidden="1">Tab.G12!$I$12:$I$42</definedName>
    <definedName name="_xlnm._FilterDatabase" localSheetId="23" hidden="1">Tab.G13!$I$12:$I$42</definedName>
    <definedName name="_xlnm._FilterDatabase" localSheetId="24" hidden="1">Tab.G13E!$I$12:$I$42</definedName>
    <definedName name="_xlnm._FilterDatabase" localSheetId="12" hidden="1">Tab.G7!$I$12:$I$42</definedName>
    <definedName name="_xlnm._FilterDatabase" localSheetId="13" hidden="1">Tab.G7E!$I$12:$I$42</definedName>
    <definedName name="_xlnm._FilterDatabase" localSheetId="14" hidden="1">Tab.G8!$I$12:$I$42</definedName>
    <definedName name="_xlnm._FilterDatabase" localSheetId="15" hidden="1">Tab.G8E!$I$12:$I$42</definedName>
    <definedName name="_xlnm._FilterDatabase" localSheetId="16" hidden="1">Tab.G9!$I$12:$I$42</definedName>
    <definedName name="_xlnm._FilterDatabase" localSheetId="17" hidden="1">Tab.G9E!$I$12:$I$42</definedName>
    <definedName name="CeleInwestycjePozostałe" localSheetId="18">Tab.G10!$N$13:$N$16</definedName>
    <definedName name="CeleInwestycjePozostałe" localSheetId="19">Tab.G10E!$N$13:$N$16</definedName>
    <definedName name="CeleInwestycjePozostałe" localSheetId="20">Tab.G11!$N$13:$N$16</definedName>
    <definedName name="CeleInwestycjePozostałe" localSheetId="21">Tab.G11E!$N$13:$N$16</definedName>
    <definedName name="CeleInwestycjePozostałe" localSheetId="22">Tab.G12!$N$13:$N$16</definedName>
    <definedName name="CeleInwestycjePozostałe" localSheetId="23">Tab.G13!$N$13:$N$16</definedName>
    <definedName name="CeleInwestycjePozostałe" localSheetId="24">Tab.G13E!$N$13:$N$16</definedName>
    <definedName name="CeleInwestycjePozostałe" localSheetId="12">Tab.G7!$N$13:$N$16</definedName>
    <definedName name="CeleInwestycjePozostałe" localSheetId="13">Tab.G7E!$N$13:$N$16</definedName>
    <definedName name="CeleInwestycjePozostałe" localSheetId="14">Tab.G8!$N$13:$N$16</definedName>
    <definedName name="CeleInwestycjePozostałe" localSheetId="15">Tab.G8E!$N$13:$N$16</definedName>
    <definedName name="CeleInwestycjePozostałe" localSheetId="16">Tab.G9!$N$13:$N$16</definedName>
    <definedName name="CeleInwestycjePozostałe" localSheetId="17">Tab.G9E!$N$13:$N$16</definedName>
    <definedName name="_xlnm.Print_Area" localSheetId="1">Spis!$A$1:$B$59</definedName>
    <definedName name="_xlnm.Print_Area" localSheetId="2">'Tab.G1.1-4'!$B$3:$I$57</definedName>
    <definedName name="_xlnm.Print_Area" localSheetId="18">Tab.G10!$A$3:$O$613</definedName>
    <definedName name="_xlnm.Print_Area" localSheetId="19">Tab.G10E!$A$3:$O$613</definedName>
    <definedName name="_xlnm.Print_Area" localSheetId="20">Tab.G11!$A$3:$O$613</definedName>
    <definedName name="_xlnm.Print_Area" localSheetId="21">Tab.G11E!$A$3:$O$613</definedName>
    <definedName name="_xlnm.Print_Area" localSheetId="22">Tab.G12!$A$3:$O$613</definedName>
    <definedName name="_xlnm.Print_Area" localSheetId="23">Tab.G13!$A$3:$O$613</definedName>
    <definedName name="_xlnm.Print_Area" localSheetId="24">Tab.G13E!$A$3:$O$613</definedName>
    <definedName name="_xlnm.Print_Area" localSheetId="25">Tab.G14!$A$2:$K$217</definedName>
    <definedName name="_xlnm.Print_Area" localSheetId="26">Tab.G14E!$A$2:$K$217</definedName>
    <definedName name="_xlnm.Print_Area" localSheetId="27">Tab.G15!$A$2:$K$217</definedName>
    <definedName name="_xlnm.Print_Area" localSheetId="28">Tab.G16!$A$2:$K$217</definedName>
    <definedName name="_xlnm.Print_Area" localSheetId="29">Tab.G16E!$A$2:$K$217</definedName>
    <definedName name="_xlnm.Print_Area" localSheetId="30">Tab.G17!$A$2:$M$73</definedName>
    <definedName name="_xlnm.Print_Area" localSheetId="31">Tab.G18!$B$5:$K$32</definedName>
    <definedName name="_xlnm.Print_Area" localSheetId="32">'Tab.G19.1-2'!$A$2:$H$39</definedName>
    <definedName name="_xlnm.Print_Area" localSheetId="34">Tab.G21!$A$3:$H$71</definedName>
    <definedName name="_xlnm.Print_Area" localSheetId="5">'Tab.G3.1-5'!$A$3:$K$24</definedName>
    <definedName name="_xlnm.Print_Area" localSheetId="6">'Tab.G3.1E-5E'!$A$3:$K$24</definedName>
    <definedName name="_xlnm.Print_Area" localSheetId="7">'Tab.G4.1-3'!$A$2:$I$79</definedName>
    <definedName name="_xlnm.Print_Area" localSheetId="8">'Tab.G5.1-3'!$B$3:$I$65</definedName>
    <definedName name="_xlnm.Print_Area" localSheetId="9">'Tab.G5.1E-3E'!$B$3:$I$66</definedName>
    <definedName name="_xlnm.Print_Area" localSheetId="10">Tab.G6!$A$2:$K$613</definedName>
    <definedName name="_xlnm.Print_Area" localSheetId="12">Tab.G7!$A$2:$O$613</definedName>
    <definedName name="_xlnm.Print_Area" localSheetId="13">Tab.G7E!$A$2:$O$613</definedName>
    <definedName name="_xlnm.Print_Area" localSheetId="14">Tab.G8!$A$3:$O$613</definedName>
    <definedName name="_xlnm.Print_Area" localSheetId="15">Tab.G8E!$A$3:$O$613</definedName>
    <definedName name="_xlnm.Print_Area" localSheetId="16">Tab.G9!$A$2:$O$613</definedName>
    <definedName name="_xlnm.Print_Area" localSheetId="17">Tab.G9E!$A$2:$O$613</definedName>
    <definedName name="_xlnm.Print_Area" localSheetId="0">Wstęp!$A$2:$L$26</definedName>
    <definedName name="Rok_ZPR">2023</definedName>
    <definedName name="_xlnm.Print_Titles" localSheetId="18">Tab.G10!$8:$11</definedName>
    <definedName name="_xlnm.Print_Titles" localSheetId="19">Tab.G10E!$8:$11</definedName>
    <definedName name="_xlnm.Print_Titles" localSheetId="20">Tab.G11!$8:$11</definedName>
    <definedName name="_xlnm.Print_Titles" localSheetId="21">Tab.G11E!$8:$11</definedName>
    <definedName name="_xlnm.Print_Titles" localSheetId="22">Tab.G12!$8:$11</definedName>
    <definedName name="_xlnm.Print_Titles" localSheetId="23">Tab.G13!$8:$11</definedName>
    <definedName name="_xlnm.Print_Titles" localSheetId="24">Tab.G13E!$8:$11</definedName>
    <definedName name="_xlnm.Print_Titles" localSheetId="12">Tab.G7!$8:$11</definedName>
    <definedName name="_xlnm.Print_Titles" localSheetId="13">Tab.G7E!$8:$11</definedName>
    <definedName name="_xlnm.Print_Titles" localSheetId="14">Tab.G8!$8:$11</definedName>
    <definedName name="_xlnm.Print_Titles" localSheetId="15">Tab.G8E!$8:$11</definedName>
    <definedName name="_xlnm.Print_Titles" localSheetId="16">Tab.G9!$8:$11</definedName>
    <definedName name="_xlnm.Print_Titles" localSheetId="17">Tab.G9E!$8:$11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8" i="54" l="1"/>
  <c r="B37" i="54"/>
  <c r="B36" i="54"/>
  <c r="D168" i="178"/>
  <c r="D189" i="178" s="1"/>
  <c r="D134" i="178"/>
  <c r="D157" i="178" s="1"/>
  <c r="C188" i="178"/>
  <c r="C178" i="178"/>
  <c r="C168" i="178"/>
  <c r="C159" i="178"/>
  <c r="C150" i="178"/>
  <c r="C148" i="178"/>
  <c r="C140" i="178"/>
  <c r="C138" i="178"/>
  <c r="C134" i="178" a="1"/>
  <c r="C187" i="178" s="1"/>
  <c r="E132" i="178"/>
  <c r="D127" i="178"/>
  <c r="D124" i="178"/>
  <c r="E122" i="178"/>
  <c r="E121" i="178" s="1"/>
  <c r="D121" i="178"/>
  <c r="D119" i="178"/>
  <c r="D116" i="178"/>
  <c r="E115" i="178"/>
  <c r="D115" i="178"/>
  <c r="D112" i="178"/>
  <c r="E111" i="178"/>
  <c r="D111" i="178"/>
  <c r="D108" i="178"/>
  <c r="E107" i="178"/>
  <c r="E106" i="178" s="1"/>
  <c r="D107" i="178"/>
  <c r="D106" i="178"/>
  <c r="D125" i="178" s="1"/>
  <c r="E101" i="178"/>
  <c r="E96" i="178"/>
  <c r="E95" i="178"/>
  <c r="E90" i="178"/>
  <c r="E85" i="178"/>
  <c r="E84" i="178"/>
  <c r="E79" i="178"/>
  <c r="E74" i="178"/>
  <c r="E73" i="178" s="1"/>
  <c r="E72" i="178" s="1"/>
  <c r="D72" i="178"/>
  <c r="D94" i="178" s="1"/>
  <c r="C88" i="178"/>
  <c r="C78" i="178"/>
  <c r="C72" i="178" a="1"/>
  <c r="C127" i="178" s="1"/>
  <c r="E70" i="178"/>
  <c r="E60" i="178"/>
  <c r="E59" i="178"/>
  <c r="E53" i="178"/>
  <c r="E49" i="178"/>
  <c r="E45" i="178"/>
  <c r="E44" i="178" s="1"/>
  <c r="E39" i="178"/>
  <c r="E34" i="178"/>
  <c r="E33" i="178" s="1"/>
  <c r="E28" i="178"/>
  <c r="E23" i="178"/>
  <c r="E22" i="178"/>
  <c r="E17" i="178"/>
  <c r="E12" i="178"/>
  <c r="E8" i="178"/>
  <c r="C1" i="178"/>
  <c r="E11" i="178" l="1"/>
  <c r="E10" i="178" s="1"/>
  <c r="E134" i="178" s="1" a="1"/>
  <c r="E189" i="178" s="1"/>
  <c r="C79" i="178"/>
  <c r="D95" i="178"/>
  <c r="D110" i="178"/>
  <c r="D114" i="178"/>
  <c r="D118" i="178"/>
  <c r="D120" i="178"/>
  <c r="D122" i="178"/>
  <c r="D123" i="178"/>
  <c r="D126" i="178"/>
  <c r="C139" i="178"/>
  <c r="C141" i="178"/>
  <c r="C149" i="178"/>
  <c r="C158" i="178"/>
  <c r="C160" i="178"/>
  <c r="C169" i="178"/>
  <c r="C179" i="178"/>
  <c r="D135" i="178"/>
  <c r="D146" i="178"/>
  <c r="D158" i="178"/>
  <c r="D171" i="178"/>
  <c r="D173" i="178"/>
  <c r="D175" i="178"/>
  <c r="D177" i="178"/>
  <c r="D181" i="178"/>
  <c r="D183" i="178"/>
  <c r="D185" i="178"/>
  <c r="D187" i="178"/>
  <c r="D136" i="178"/>
  <c r="D147" i="178"/>
  <c r="D159" i="178"/>
  <c r="D170" i="178"/>
  <c r="D172" i="178"/>
  <c r="D174" i="178"/>
  <c r="D176" i="178"/>
  <c r="D180" i="178"/>
  <c r="D182" i="178"/>
  <c r="D184" i="178"/>
  <c r="D186" i="178"/>
  <c r="E160" i="178"/>
  <c r="C189" i="178"/>
  <c r="E151" i="178"/>
  <c r="E171" i="178"/>
  <c r="C170" i="178"/>
  <c r="C180" i="178"/>
  <c r="E152" i="178"/>
  <c r="E172" i="178"/>
  <c r="D137" i="178"/>
  <c r="D149" i="178"/>
  <c r="D160" i="178"/>
  <c r="C151" i="178"/>
  <c r="C161" i="178"/>
  <c r="C171" i="178"/>
  <c r="C181" i="178"/>
  <c r="E163" i="178"/>
  <c r="C172" i="178"/>
  <c r="C143" i="178"/>
  <c r="C153" i="178"/>
  <c r="C163" i="178"/>
  <c r="C173" i="178"/>
  <c r="C183" i="178"/>
  <c r="E145" i="178"/>
  <c r="E165" i="178"/>
  <c r="E185" i="178"/>
  <c r="D140" i="178"/>
  <c r="D152" i="178"/>
  <c r="D164" i="178"/>
  <c r="E150" i="178"/>
  <c r="C144" i="178"/>
  <c r="C164" i="178"/>
  <c r="C184" i="178"/>
  <c r="E156" i="178"/>
  <c r="D153" i="178"/>
  <c r="C135" i="178"/>
  <c r="C155" i="178"/>
  <c r="E137" i="178"/>
  <c r="D143" i="178"/>
  <c r="C136" i="178"/>
  <c r="C146" i="178"/>
  <c r="C156" i="178"/>
  <c r="C166" i="178"/>
  <c r="C176" i="178"/>
  <c r="C186" i="178"/>
  <c r="E148" i="178"/>
  <c r="E168" i="178"/>
  <c r="E188" i="178"/>
  <c r="D144" i="178"/>
  <c r="D156" i="178"/>
  <c r="D178" i="178"/>
  <c r="D188" i="178"/>
  <c r="E153" i="178"/>
  <c r="E183" i="178"/>
  <c r="D138" i="178"/>
  <c r="D150" i="178"/>
  <c r="D161" i="178"/>
  <c r="C142" i="178"/>
  <c r="C152" i="178"/>
  <c r="C162" i="178"/>
  <c r="C182" i="178"/>
  <c r="E134" i="178"/>
  <c r="E154" i="178"/>
  <c r="E174" i="178"/>
  <c r="D139" i="178"/>
  <c r="D151" i="178"/>
  <c r="D163" i="178"/>
  <c r="C134" i="178"/>
  <c r="C154" i="178"/>
  <c r="C174" i="178"/>
  <c r="E146" i="178"/>
  <c r="E186" i="178"/>
  <c r="D142" i="178"/>
  <c r="D165" i="178"/>
  <c r="C145" i="178"/>
  <c r="C165" i="178"/>
  <c r="C175" i="178"/>
  <c r="C185" i="178"/>
  <c r="E147" i="178"/>
  <c r="E177" i="178"/>
  <c r="D154" i="178"/>
  <c r="D166" i="178"/>
  <c r="C137" i="178"/>
  <c r="C147" i="178"/>
  <c r="C157" i="178"/>
  <c r="C167" i="178"/>
  <c r="C177" i="178"/>
  <c r="E139" i="178"/>
  <c r="E159" i="178"/>
  <c r="E179" i="178"/>
  <c r="D145" i="178"/>
  <c r="D169" i="178"/>
  <c r="D179" i="178"/>
  <c r="C81" i="178"/>
  <c r="C91" i="178"/>
  <c r="C101" i="178"/>
  <c r="C111" i="178"/>
  <c r="C121" i="178"/>
  <c r="D81" i="178"/>
  <c r="D89" i="178"/>
  <c r="D105" i="178"/>
  <c r="C72" i="178"/>
  <c r="C82" i="178"/>
  <c r="C92" i="178"/>
  <c r="C102" i="178"/>
  <c r="C112" i="178"/>
  <c r="C122" i="178"/>
  <c r="D74" i="178"/>
  <c r="D82" i="178"/>
  <c r="D90" i="178"/>
  <c r="D97" i="178"/>
  <c r="D113" i="178"/>
  <c r="C73" i="178"/>
  <c r="C83" i="178"/>
  <c r="C93" i="178"/>
  <c r="C103" i="178"/>
  <c r="C113" i="178"/>
  <c r="C123" i="178"/>
  <c r="D83" i="178"/>
  <c r="D98" i="178"/>
  <c r="C74" i="178"/>
  <c r="C84" i="178"/>
  <c r="C94" i="178"/>
  <c r="C104" i="178"/>
  <c r="C114" i="178"/>
  <c r="C124" i="178"/>
  <c r="D75" i="178"/>
  <c r="D84" i="178"/>
  <c r="D91" i="178"/>
  <c r="D99" i="178"/>
  <c r="D86" i="178"/>
  <c r="D102" i="178"/>
  <c r="C100" i="178"/>
  <c r="C98" i="178"/>
  <c r="C108" i="178"/>
  <c r="C118" i="178"/>
  <c r="D79" i="178"/>
  <c r="C89" i="178"/>
  <c r="C99" i="178"/>
  <c r="C109" i="178"/>
  <c r="C119" i="178"/>
  <c r="D87" i="178"/>
  <c r="D103" i="178"/>
  <c r="C80" i="178"/>
  <c r="C90" i="178"/>
  <c r="C110" i="178"/>
  <c r="C120" i="178"/>
  <c r="D73" i="178"/>
  <c r="D80" i="178"/>
  <c r="D88" i="178"/>
  <c r="D96" i="178"/>
  <c r="D104" i="178"/>
  <c r="C75" i="178"/>
  <c r="C85" i="178"/>
  <c r="C95" i="178"/>
  <c r="C105" i="178"/>
  <c r="C115" i="178"/>
  <c r="C125" i="178"/>
  <c r="D76" i="178"/>
  <c r="D92" i="178"/>
  <c r="D100" i="178"/>
  <c r="C76" i="178"/>
  <c r="C86" i="178"/>
  <c r="C96" i="178"/>
  <c r="C106" i="178"/>
  <c r="C116" i="178"/>
  <c r="C126" i="178"/>
  <c r="D77" i="178"/>
  <c r="D85" i="178"/>
  <c r="D93" i="178"/>
  <c r="D101" i="178"/>
  <c r="C77" i="178"/>
  <c r="C87" i="178"/>
  <c r="C97" i="178"/>
  <c r="C107" i="178"/>
  <c r="C117" i="178"/>
  <c r="D78" i="178"/>
  <c r="D109" i="178"/>
  <c r="D117" i="178"/>
  <c r="E169" i="178" l="1"/>
  <c r="E149" i="178"/>
  <c r="E187" i="178"/>
  <c r="E167" i="178"/>
  <c r="E166" i="178"/>
  <c r="E184" i="178"/>
  <c r="E164" i="178"/>
  <c r="E144" i="178"/>
  <c r="E173" i="178"/>
  <c r="E143" i="178"/>
  <c r="E178" i="178"/>
  <c r="E158" i="178"/>
  <c r="E138" i="178"/>
  <c r="E157" i="178"/>
  <c r="E176" i="178"/>
  <c r="E136" i="178"/>
  <c r="E170" i="178"/>
  <c r="E175" i="178"/>
  <c r="E155" i="178"/>
  <c r="E135" i="178"/>
  <c r="E180" i="178"/>
  <c r="E182" i="178"/>
  <c r="E162" i="178"/>
  <c r="E142" i="178"/>
  <c r="E181" i="178"/>
  <c r="E161" i="178"/>
  <c r="E141" i="178"/>
  <c r="E140" i="178"/>
  <c r="L348" i="161"/>
  <c r="K348" i="161"/>
  <c r="J348" i="161"/>
  <c r="J347" i="161" s="1"/>
  <c r="I348" i="161"/>
  <c r="I347" i="161" s="1"/>
  <c r="H348" i="161"/>
  <c r="H347" i="161" s="1"/>
  <c r="G348" i="161"/>
  <c r="G347" i="161" s="1"/>
  <c r="F348" i="161"/>
  <c r="F347" i="161" s="1"/>
  <c r="E348" i="161"/>
  <c r="E347" i="161" s="1"/>
  <c r="L347" i="161"/>
  <c r="K347" i="161"/>
  <c r="L278" i="161"/>
  <c r="K278" i="161"/>
  <c r="J278" i="161"/>
  <c r="J277" i="161" s="1"/>
  <c r="I278" i="161"/>
  <c r="I277" i="161" s="1"/>
  <c r="H278" i="161"/>
  <c r="H277" i="161" s="1"/>
  <c r="G278" i="161"/>
  <c r="G277" i="161" s="1"/>
  <c r="F278" i="161"/>
  <c r="F277" i="161" s="1"/>
  <c r="E278" i="161"/>
  <c r="E277" i="161" s="1"/>
  <c r="L277" i="161"/>
  <c r="K277" i="161"/>
  <c r="L208" i="161"/>
  <c r="K208" i="161"/>
  <c r="J208" i="161"/>
  <c r="J207" i="161" s="1"/>
  <c r="I208" i="161"/>
  <c r="I207" i="161" s="1"/>
  <c r="H208" i="161"/>
  <c r="H207" i="161" s="1"/>
  <c r="G208" i="161"/>
  <c r="G207" i="161" s="1"/>
  <c r="F208" i="161"/>
  <c r="F207" i="161" s="1"/>
  <c r="E208" i="161"/>
  <c r="E207" i="161" s="1"/>
  <c r="L207" i="161"/>
  <c r="K207" i="161"/>
  <c r="L138" i="161"/>
  <c r="K138" i="161"/>
  <c r="J138" i="161"/>
  <c r="J137" i="161" s="1"/>
  <c r="I138" i="161"/>
  <c r="I137" i="161" s="1"/>
  <c r="H138" i="161"/>
  <c r="H137" i="161" s="1"/>
  <c r="G138" i="161"/>
  <c r="G137" i="161" s="1"/>
  <c r="F138" i="161"/>
  <c r="F137" i="161" s="1"/>
  <c r="E138" i="161"/>
  <c r="E137" i="161" s="1"/>
  <c r="L137" i="161"/>
  <c r="K137" i="161"/>
  <c r="L73" i="161"/>
  <c r="K73" i="161"/>
  <c r="J73" i="161"/>
  <c r="I73" i="161"/>
  <c r="H73" i="161"/>
  <c r="G73" i="161"/>
  <c r="F73" i="161"/>
  <c r="E73" i="161"/>
  <c r="L72" i="161"/>
  <c r="K72" i="161"/>
  <c r="J72" i="161"/>
  <c r="I72" i="161"/>
  <c r="H72" i="161"/>
  <c r="G72" i="161"/>
  <c r="F72" i="161"/>
  <c r="E72" i="161"/>
  <c r="L71" i="161"/>
  <c r="K71" i="161"/>
  <c r="J71" i="161"/>
  <c r="I71" i="161"/>
  <c r="H71" i="161"/>
  <c r="G71" i="161"/>
  <c r="F71" i="161"/>
  <c r="E71" i="161"/>
  <c r="L70" i="161"/>
  <c r="K70" i="161"/>
  <c r="J70" i="161"/>
  <c r="I70" i="161"/>
  <c r="H70" i="161"/>
  <c r="G70" i="161"/>
  <c r="F70" i="161"/>
  <c r="E70" i="161"/>
  <c r="L69" i="161"/>
  <c r="L68" i="161" s="1"/>
  <c r="L67" i="161" s="1"/>
  <c r="K69" i="161"/>
  <c r="K68" i="161" s="1"/>
  <c r="K67" i="161" s="1"/>
  <c r="J69" i="161"/>
  <c r="J68" i="161" s="1"/>
  <c r="J67" i="161" s="1"/>
  <c r="I69" i="161"/>
  <c r="I68" i="161" s="1"/>
  <c r="I67" i="161" s="1"/>
  <c r="H69" i="161"/>
  <c r="H68" i="161" s="1"/>
  <c r="H67" i="161" s="1"/>
  <c r="G69" i="161"/>
  <c r="G68" i="161" s="1"/>
  <c r="G67" i="161" s="1"/>
  <c r="F69" i="161"/>
  <c r="F68" i="161" s="1"/>
  <c r="F67" i="161" s="1"/>
  <c r="E69" i="161"/>
  <c r="E68" i="161" s="1"/>
  <c r="E67" i="161" s="1"/>
  <c r="L66" i="161"/>
  <c r="K66" i="161"/>
  <c r="J66" i="161"/>
  <c r="I66" i="161"/>
  <c r="H66" i="161"/>
  <c r="G66" i="161"/>
  <c r="F66" i="161"/>
  <c r="E66" i="161"/>
  <c r="L65" i="161"/>
  <c r="K65" i="161"/>
  <c r="J65" i="161"/>
  <c r="I65" i="161"/>
  <c r="H65" i="161"/>
  <c r="G65" i="161"/>
  <c r="F65" i="161"/>
  <c r="E65" i="161"/>
  <c r="L64" i="161"/>
  <c r="K64" i="161"/>
  <c r="J64" i="161"/>
  <c r="I64" i="161"/>
  <c r="H64" i="161"/>
  <c r="G64" i="161"/>
  <c r="F64" i="161"/>
  <c r="E64" i="161"/>
  <c r="L63" i="161"/>
  <c r="K63" i="161"/>
  <c r="J63" i="161"/>
  <c r="I63" i="161"/>
  <c r="H63" i="161"/>
  <c r="G63" i="161"/>
  <c r="F63" i="161"/>
  <c r="E63" i="161"/>
  <c r="L62" i="161"/>
  <c r="K62" i="161"/>
  <c r="J62" i="161"/>
  <c r="I62" i="161"/>
  <c r="H62" i="161"/>
  <c r="G62" i="161"/>
  <c r="F62" i="161"/>
  <c r="E62" i="161"/>
  <c r="L61" i="161"/>
  <c r="K61" i="161"/>
  <c r="J61" i="161"/>
  <c r="I61" i="161"/>
  <c r="H61" i="161"/>
  <c r="G61" i="161"/>
  <c r="F61" i="161"/>
  <c r="E61" i="161"/>
  <c r="L59" i="161"/>
  <c r="K59" i="161"/>
  <c r="J59" i="161"/>
  <c r="I59" i="161"/>
  <c r="H59" i="161"/>
  <c r="G59" i="161"/>
  <c r="F59" i="161"/>
  <c r="E59" i="161"/>
  <c r="L58" i="161"/>
  <c r="K58" i="161"/>
  <c r="J58" i="161"/>
  <c r="I58" i="161"/>
  <c r="H58" i="161"/>
  <c r="G58" i="161"/>
  <c r="F58" i="161"/>
  <c r="E58" i="161"/>
  <c r="L57" i="161"/>
  <c r="K57" i="161"/>
  <c r="J57" i="161"/>
  <c r="I57" i="161"/>
  <c r="H57" i="161"/>
  <c r="G57" i="161"/>
  <c r="F57" i="161"/>
  <c r="E57" i="161"/>
  <c r="L55" i="161"/>
  <c r="K55" i="161"/>
  <c r="J55" i="161"/>
  <c r="I55" i="161"/>
  <c r="H55" i="161"/>
  <c r="G55" i="161"/>
  <c r="F55" i="161"/>
  <c r="E55" i="161"/>
  <c r="L54" i="161"/>
  <c r="K54" i="161"/>
  <c r="J54" i="161"/>
  <c r="I54" i="161"/>
  <c r="H54" i="161"/>
  <c r="G54" i="161"/>
  <c r="F54" i="161"/>
  <c r="E54" i="161"/>
  <c r="L53" i="161"/>
  <c r="K53" i="161"/>
  <c r="J53" i="161"/>
  <c r="I53" i="161"/>
  <c r="H53" i="161"/>
  <c r="G53" i="161"/>
  <c r="F53" i="161"/>
  <c r="E53" i="161"/>
  <c r="L50" i="161"/>
  <c r="K50" i="161"/>
  <c r="J50" i="161"/>
  <c r="I50" i="161"/>
  <c r="H50" i="161"/>
  <c r="G50" i="161"/>
  <c r="F50" i="161"/>
  <c r="E50" i="161"/>
  <c r="L49" i="161"/>
  <c r="K49" i="161"/>
  <c r="J49" i="161"/>
  <c r="I49" i="161"/>
  <c r="H49" i="161"/>
  <c r="G49" i="161"/>
  <c r="F49" i="161"/>
  <c r="E49" i="161"/>
  <c r="L48" i="161"/>
  <c r="K48" i="161"/>
  <c r="J48" i="161"/>
  <c r="I48" i="161"/>
  <c r="H48" i="161"/>
  <c r="G48" i="161"/>
  <c r="F48" i="161"/>
  <c r="E48" i="161"/>
  <c r="L47" i="161"/>
  <c r="K47" i="161"/>
  <c r="J47" i="161"/>
  <c r="I47" i="161"/>
  <c r="H47" i="161"/>
  <c r="G47" i="161"/>
  <c r="F47" i="161"/>
  <c r="E47" i="161"/>
  <c r="L45" i="161"/>
  <c r="K45" i="161"/>
  <c r="J45" i="161"/>
  <c r="I45" i="161"/>
  <c r="H45" i="161"/>
  <c r="G45" i="161"/>
  <c r="F45" i="161"/>
  <c r="E45" i="161"/>
  <c r="L44" i="161"/>
  <c r="K44" i="161"/>
  <c r="J44" i="161"/>
  <c r="I44" i="161"/>
  <c r="H44" i="161"/>
  <c r="G44" i="161"/>
  <c r="F44" i="161"/>
  <c r="E44" i="161"/>
  <c r="L43" i="161"/>
  <c r="K43" i="161"/>
  <c r="J43" i="161"/>
  <c r="I43" i="161"/>
  <c r="H43" i="161"/>
  <c r="G43" i="161"/>
  <c r="F43" i="161"/>
  <c r="E43" i="161"/>
  <c r="L42" i="161"/>
  <c r="K42" i="161"/>
  <c r="J42" i="161"/>
  <c r="I42" i="161"/>
  <c r="H42" i="161"/>
  <c r="G42" i="161"/>
  <c r="F42" i="161"/>
  <c r="E42" i="161"/>
  <c r="L39" i="161"/>
  <c r="K39" i="161"/>
  <c r="J39" i="161"/>
  <c r="I39" i="161"/>
  <c r="H39" i="161"/>
  <c r="G39" i="161"/>
  <c r="F39" i="161"/>
  <c r="E39" i="161"/>
  <c r="L38" i="161"/>
  <c r="K38" i="161"/>
  <c r="J38" i="161"/>
  <c r="I38" i="161"/>
  <c r="H38" i="161"/>
  <c r="G38" i="161"/>
  <c r="F38" i="161"/>
  <c r="E38" i="161"/>
  <c r="L37" i="161"/>
  <c r="K37" i="161"/>
  <c r="J37" i="161"/>
  <c r="I37" i="161"/>
  <c r="H37" i="161"/>
  <c r="G37" i="161"/>
  <c r="F37" i="161"/>
  <c r="E37" i="161"/>
  <c r="L36" i="161"/>
  <c r="K36" i="161"/>
  <c r="J36" i="161"/>
  <c r="I36" i="161"/>
  <c r="H36" i="161"/>
  <c r="G36" i="161"/>
  <c r="F36" i="161"/>
  <c r="E36" i="161"/>
  <c r="L35" i="161"/>
  <c r="K35" i="161"/>
  <c r="J35" i="161"/>
  <c r="I35" i="161"/>
  <c r="H35" i="161"/>
  <c r="G35" i="161"/>
  <c r="F35" i="161"/>
  <c r="E35" i="161"/>
  <c r="L33" i="161"/>
  <c r="K33" i="161"/>
  <c r="J33" i="161"/>
  <c r="I33" i="161"/>
  <c r="H33" i="161"/>
  <c r="G33" i="161"/>
  <c r="F33" i="161"/>
  <c r="E33" i="161"/>
  <c r="L32" i="161"/>
  <c r="K32" i="161"/>
  <c r="J32" i="161"/>
  <c r="I32" i="161"/>
  <c r="H32" i="161"/>
  <c r="G32" i="161"/>
  <c r="F32" i="161"/>
  <c r="E32" i="161"/>
  <c r="L31" i="161"/>
  <c r="K31" i="161"/>
  <c r="J31" i="161"/>
  <c r="I31" i="161"/>
  <c r="H31" i="161"/>
  <c r="G31" i="161"/>
  <c r="F31" i="161"/>
  <c r="E31" i="161"/>
  <c r="L30" i="161"/>
  <c r="K30" i="161"/>
  <c r="J30" i="161"/>
  <c r="I30" i="161"/>
  <c r="H30" i="161"/>
  <c r="G30" i="161"/>
  <c r="F30" i="161"/>
  <c r="E30" i="161"/>
  <c r="L28" i="161"/>
  <c r="K28" i="161"/>
  <c r="J28" i="161"/>
  <c r="I28" i="161"/>
  <c r="H28" i="161"/>
  <c r="G28" i="161"/>
  <c r="F28" i="161"/>
  <c r="E28" i="161"/>
  <c r="L27" i="161"/>
  <c r="K27" i="161"/>
  <c r="J27" i="161"/>
  <c r="I27" i="161"/>
  <c r="H27" i="161"/>
  <c r="G27" i="161"/>
  <c r="F27" i="161"/>
  <c r="E27" i="161"/>
  <c r="L26" i="161"/>
  <c r="K26" i="161"/>
  <c r="J26" i="161"/>
  <c r="I26" i="161"/>
  <c r="H26" i="161"/>
  <c r="G26" i="161"/>
  <c r="F26" i="161"/>
  <c r="E26" i="161"/>
  <c r="L25" i="161"/>
  <c r="K25" i="161"/>
  <c r="J25" i="161"/>
  <c r="I25" i="161"/>
  <c r="H25" i="161"/>
  <c r="G25" i="161"/>
  <c r="F25" i="161"/>
  <c r="E25" i="161"/>
  <c r="L22" i="161"/>
  <c r="K22" i="161"/>
  <c r="J22" i="161"/>
  <c r="I22" i="161"/>
  <c r="H22" i="161"/>
  <c r="G22" i="161"/>
  <c r="F22" i="161"/>
  <c r="E22" i="161"/>
  <c r="L21" i="161"/>
  <c r="K21" i="161"/>
  <c r="J21" i="161"/>
  <c r="I21" i="161"/>
  <c r="H21" i="161"/>
  <c r="G21" i="161"/>
  <c r="F21" i="161"/>
  <c r="E21" i="161"/>
  <c r="L20" i="161"/>
  <c r="K20" i="161"/>
  <c r="J20" i="161"/>
  <c r="I20" i="161"/>
  <c r="H20" i="161"/>
  <c r="G20" i="161"/>
  <c r="F20" i="161"/>
  <c r="E20" i="161"/>
  <c r="L19" i="161"/>
  <c r="K19" i="161"/>
  <c r="J19" i="161"/>
  <c r="I19" i="161"/>
  <c r="H19" i="161"/>
  <c r="G19" i="161"/>
  <c r="F19" i="161"/>
  <c r="E19" i="161"/>
  <c r="L17" i="161"/>
  <c r="L16" i="161"/>
  <c r="L15" i="161"/>
  <c r="L14" i="161"/>
  <c r="K17" i="161"/>
  <c r="K16" i="161"/>
  <c r="K15" i="161"/>
  <c r="K14" i="161"/>
  <c r="J17" i="161"/>
  <c r="J16" i="161"/>
  <c r="J15" i="161"/>
  <c r="J14" i="161"/>
  <c r="I17" i="161"/>
  <c r="I16" i="161"/>
  <c r="I15" i="161"/>
  <c r="I14" i="161"/>
  <c r="H17" i="161"/>
  <c r="H16" i="161"/>
  <c r="H15" i="161"/>
  <c r="H14" i="161"/>
  <c r="G17" i="161"/>
  <c r="G16" i="161"/>
  <c r="G15" i="161"/>
  <c r="G14" i="161"/>
  <c r="F17" i="161"/>
  <c r="F16" i="161"/>
  <c r="F15" i="161"/>
  <c r="F14" i="161"/>
  <c r="E17" i="161"/>
  <c r="E16" i="161"/>
  <c r="E15" i="161"/>
  <c r="E14" i="161"/>
  <c r="E7" i="161"/>
  <c r="C3" i="162"/>
  <c r="E287" i="161"/>
  <c r="E217" i="161"/>
  <c r="E147" i="161"/>
  <c r="E77" i="161"/>
  <c r="A7" i="49" l="1"/>
  <c r="E19" i="164" l="1"/>
  <c r="D6" i="162"/>
  <c r="C61" i="164"/>
  <c r="C66" i="164"/>
  <c r="C56" i="164"/>
  <c r="C51" i="164"/>
  <c r="C46" i="164"/>
  <c r="C41" i="164"/>
  <c r="C36" i="164"/>
  <c r="E71" i="164"/>
  <c r="E66" i="164"/>
  <c r="E61" i="164"/>
  <c r="E56" i="164"/>
  <c r="E51" i="164"/>
  <c r="E46" i="164"/>
  <c r="C50" i="164"/>
  <c r="C49" i="164"/>
  <c r="C48" i="164"/>
  <c r="C47" i="164"/>
  <c r="E41" i="164"/>
  <c r="C45" i="164"/>
  <c r="C44" i="164"/>
  <c r="C43" i="164"/>
  <c r="C42" i="164"/>
  <c r="E36" i="164"/>
  <c r="C40" i="164"/>
  <c r="C39" i="164"/>
  <c r="C38" i="164"/>
  <c r="C37" i="164"/>
  <c r="C22" i="164"/>
  <c r="C21" i="164"/>
  <c r="J13" i="166"/>
  <c r="J12" i="166"/>
  <c r="J10" i="166"/>
  <c r="J11" i="166" s="1" a="1"/>
  <c r="J11" i="166" s="1"/>
  <c r="J9" i="166"/>
  <c r="J6" i="166"/>
  <c r="J14" i="166" a="1"/>
  <c r="J14" i="166" s="1"/>
  <c r="C23" i="164" l="1"/>
  <c r="E24" i="164"/>
  <c r="C31" i="164"/>
  <c r="C30" i="164"/>
  <c r="C29" i="164"/>
  <c r="C28" i="164"/>
  <c r="E27" i="164"/>
  <c r="C26" i="164"/>
  <c r="E14" i="164"/>
  <c r="C18" i="164"/>
  <c r="C17" i="164"/>
  <c r="C16" i="164"/>
  <c r="C15" i="164"/>
  <c r="E11" i="164"/>
  <c r="I24" i="162"/>
  <c r="I19" i="162"/>
  <c r="H24" i="162"/>
  <c r="M353" i="161"/>
  <c r="I26" i="162" s="1"/>
  <c r="B353" i="161"/>
  <c r="M352" i="161"/>
  <c r="I25" i="162" s="1"/>
  <c r="B352" i="161"/>
  <c r="M351" i="161"/>
  <c r="B351" i="161"/>
  <c r="M350" i="161"/>
  <c r="B350" i="161"/>
  <c r="M349" i="161"/>
  <c r="B349" i="161"/>
  <c r="M348" i="161"/>
  <c r="B348" i="161"/>
  <c r="B347" i="161"/>
  <c r="M346" i="161"/>
  <c r="I21" i="162" s="1"/>
  <c r="B346" i="161"/>
  <c r="M345" i="161"/>
  <c r="I20" i="162" s="1"/>
  <c r="B345" i="161"/>
  <c r="M344" i="161"/>
  <c r="B344" i="161"/>
  <c r="M343" i="161"/>
  <c r="B343" i="161"/>
  <c r="M342" i="161"/>
  <c r="B342" i="161"/>
  <c r="M341" i="161"/>
  <c r="M340" i="161" s="1"/>
  <c r="I18" i="162" s="1"/>
  <c r="B341" i="161"/>
  <c r="L340" i="161"/>
  <c r="K340" i="161"/>
  <c r="J340" i="161"/>
  <c r="I340" i="161"/>
  <c r="H340" i="161"/>
  <c r="G340" i="161"/>
  <c r="F340" i="161"/>
  <c r="E340" i="161"/>
  <c r="B340" i="161"/>
  <c r="M339" i="161"/>
  <c r="B339" i="161"/>
  <c r="M338" i="161"/>
  <c r="B338" i="161"/>
  <c r="M337" i="161"/>
  <c r="B337" i="161"/>
  <c r="L336" i="161"/>
  <c r="K336" i="161"/>
  <c r="J336" i="161"/>
  <c r="I336" i="161"/>
  <c r="H336" i="161"/>
  <c r="G336" i="161"/>
  <c r="F336" i="161"/>
  <c r="E336" i="161"/>
  <c r="B336" i="161"/>
  <c r="M335" i="161"/>
  <c r="B335" i="161"/>
  <c r="M334" i="161"/>
  <c r="B334" i="161"/>
  <c r="M333" i="161"/>
  <c r="M332" i="161" s="1"/>
  <c r="B333" i="161"/>
  <c r="L332" i="161"/>
  <c r="K332" i="161"/>
  <c r="K331" i="161" s="1"/>
  <c r="J332" i="161"/>
  <c r="J331" i="161" s="1"/>
  <c r="I332" i="161"/>
  <c r="I331" i="161" s="1"/>
  <c r="H332" i="161"/>
  <c r="H331" i="161" s="1"/>
  <c r="G332" i="161"/>
  <c r="G331" i="161" s="1"/>
  <c r="F332" i="161"/>
  <c r="F331" i="161" s="1"/>
  <c r="E332" i="161"/>
  <c r="E331" i="161" s="1"/>
  <c r="B332" i="161"/>
  <c r="L331" i="161"/>
  <c r="B331" i="161"/>
  <c r="M330" i="161"/>
  <c r="B330" i="161"/>
  <c r="M329" i="161"/>
  <c r="B329" i="161"/>
  <c r="M328" i="161"/>
  <c r="B328" i="161"/>
  <c r="M327" i="161"/>
  <c r="B327" i="161"/>
  <c r="M326" i="161"/>
  <c r="L326" i="161"/>
  <c r="K326" i="161"/>
  <c r="J326" i="161"/>
  <c r="I326" i="161"/>
  <c r="I320" i="161" s="1"/>
  <c r="H326" i="161"/>
  <c r="G326" i="161"/>
  <c r="F326" i="161"/>
  <c r="E326" i="161"/>
  <c r="B326" i="161"/>
  <c r="M325" i="161"/>
  <c r="B325" i="161"/>
  <c r="M324" i="161"/>
  <c r="B324" i="161"/>
  <c r="M323" i="161"/>
  <c r="B323" i="161"/>
  <c r="M322" i="161"/>
  <c r="M321" i="161" s="1"/>
  <c r="M320" i="161" s="1"/>
  <c r="I14" i="162" s="1"/>
  <c r="B322" i="161"/>
  <c r="L321" i="161"/>
  <c r="L320" i="161" s="1"/>
  <c r="K321" i="161"/>
  <c r="J321" i="161"/>
  <c r="J320" i="161" s="1"/>
  <c r="I321" i="161"/>
  <c r="H321" i="161"/>
  <c r="H320" i="161" s="1"/>
  <c r="G321" i="161"/>
  <c r="F321" i="161"/>
  <c r="F320" i="161" s="1"/>
  <c r="E321" i="161"/>
  <c r="B321" i="161"/>
  <c r="E320" i="161"/>
  <c r="B320" i="161"/>
  <c r="M319" i="161"/>
  <c r="I13" i="162" s="1"/>
  <c r="B319" i="161"/>
  <c r="M318" i="161"/>
  <c r="B318" i="161"/>
  <c r="M317" i="161"/>
  <c r="B317" i="161"/>
  <c r="M316" i="161"/>
  <c r="M314" i="161" s="1"/>
  <c r="B316" i="161"/>
  <c r="M315" i="161"/>
  <c r="B315" i="161"/>
  <c r="L314" i="161"/>
  <c r="K314" i="161"/>
  <c r="J314" i="161"/>
  <c r="I314" i="161"/>
  <c r="H314" i="161"/>
  <c r="G314" i="161"/>
  <c r="F314" i="161"/>
  <c r="E314" i="161"/>
  <c r="B314" i="161"/>
  <c r="M313" i="161"/>
  <c r="B313" i="161"/>
  <c r="M312" i="161"/>
  <c r="B312" i="161"/>
  <c r="M311" i="161"/>
  <c r="B311" i="161"/>
  <c r="M310" i="161"/>
  <c r="B310" i="161"/>
  <c r="L309" i="161"/>
  <c r="K309" i="161"/>
  <c r="J309" i="161"/>
  <c r="I309" i="161"/>
  <c r="H309" i="161"/>
  <c r="G309" i="161"/>
  <c r="F309" i="161"/>
  <c r="E309" i="161"/>
  <c r="B309" i="161"/>
  <c r="M308" i="161"/>
  <c r="B308" i="161"/>
  <c r="M307" i="161"/>
  <c r="B307" i="161"/>
  <c r="M306" i="161"/>
  <c r="B306" i="161"/>
  <c r="M305" i="161"/>
  <c r="M304" i="161" s="1"/>
  <c r="B305" i="161"/>
  <c r="L304" i="161"/>
  <c r="K304" i="161"/>
  <c r="J304" i="161"/>
  <c r="J303" i="161" s="1"/>
  <c r="I304" i="161"/>
  <c r="H304" i="161"/>
  <c r="H303" i="161" s="1"/>
  <c r="G304" i="161"/>
  <c r="F304" i="161"/>
  <c r="F303" i="161" s="1"/>
  <c r="E304" i="161"/>
  <c r="B304" i="161"/>
  <c r="L303" i="161"/>
  <c r="B303" i="161"/>
  <c r="M302" i="161"/>
  <c r="B302" i="161"/>
  <c r="M301" i="161"/>
  <c r="B301" i="161"/>
  <c r="M300" i="161"/>
  <c r="B300" i="161"/>
  <c r="M299" i="161"/>
  <c r="B299" i="161"/>
  <c r="M298" i="161"/>
  <c r="L298" i="161"/>
  <c r="K298" i="161"/>
  <c r="J298" i="161"/>
  <c r="I298" i="161"/>
  <c r="I292" i="161" s="1"/>
  <c r="H298" i="161"/>
  <c r="G298" i="161"/>
  <c r="F298" i="161"/>
  <c r="E298" i="161"/>
  <c r="E292" i="161" s="1"/>
  <c r="B298" i="161"/>
  <c r="M297" i="161"/>
  <c r="B297" i="161"/>
  <c r="M296" i="161"/>
  <c r="B296" i="161"/>
  <c r="M295" i="161"/>
  <c r="B295" i="161"/>
  <c r="M294" i="161"/>
  <c r="M293" i="161" s="1"/>
  <c r="M292" i="161" s="1"/>
  <c r="I11" i="162" s="1"/>
  <c r="B294" i="161"/>
  <c r="L293" i="161"/>
  <c r="L292" i="161" s="1"/>
  <c r="K293" i="161"/>
  <c r="J293" i="161"/>
  <c r="J292" i="161" s="1"/>
  <c r="I293" i="161"/>
  <c r="H293" i="161"/>
  <c r="H292" i="161" s="1"/>
  <c r="G293" i="161"/>
  <c r="F293" i="161"/>
  <c r="F292" i="161" s="1"/>
  <c r="E293" i="161"/>
  <c r="B293" i="161"/>
  <c r="K292" i="161"/>
  <c r="G292" i="161"/>
  <c r="B292" i="161"/>
  <c r="B291" i="161"/>
  <c r="B290" i="161"/>
  <c r="L289" i="161"/>
  <c r="K289" i="161"/>
  <c r="J289" i="161"/>
  <c r="I289" i="161"/>
  <c r="H289" i="161"/>
  <c r="G289" i="161"/>
  <c r="F289" i="161"/>
  <c r="E289" i="161"/>
  <c r="E288" i="161"/>
  <c r="M287" i="161"/>
  <c r="C287" i="161"/>
  <c r="M283" i="161"/>
  <c r="H26" i="162" s="1"/>
  <c r="B283" i="161"/>
  <c r="M282" i="161"/>
  <c r="H25" i="162" s="1"/>
  <c r="B282" i="161"/>
  <c r="M281" i="161"/>
  <c r="B281" i="161"/>
  <c r="M280" i="161"/>
  <c r="B280" i="161"/>
  <c r="M279" i="161"/>
  <c r="B279" i="161"/>
  <c r="M278" i="161"/>
  <c r="H23" i="162" s="1"/>
  <c r="B278" i="161"/>
  <c r="B277" i="161"/>
  <c r="M276" i="161"/>
  <c r="H21" i="162" s="1"/>
  <c r="B276" i="161"/>
  <c r="M275" i="161"/>
  <c r="H20" i="162" s="1"/>
  <c r="B275" i="161"/>
  <c r="M274" i="161"/>
  <c r="H19" i="162" s="1"/>
  <c r="B274" i="161"/>
  <c r="M273" i="161"/>
  <c r="B273" i="161"/>
  <c r="M272" i="161"/>
  <c r="B272" i="161"/>
  <c r="M271" i="161"/>
  <c r="B271" i="161"/>
  <c r="L270" i="161"/>
  <c r="K270" i="161"/>
  <c r="J270" i="161"/>
  <c r="I270" i="161"/>
  <c r="H270" i="161"/>
  <c r="G270" i="161"/>
  <c r="F270" i="161"/>
  <c r="E270" i="161"/>
  <c r="B270" i="161"/>
  <c r="M269" i="161"/>
  <c r="B269" i="161"/>
  <c r="M268" i="161"/>
  <c r="B268" i="161"/>
  <c r="M267" i="161"/>
  <c r="M266" i="161" s="1"/>
  <c r="H17" i="162" s="1"/>
  <c r="B267" i="161"/>
  <c r="L266" i="161"/>
  <c r="K266" i="161"/>
  <c r="J266" i="161"/>
  <c r="I266" i="161"/>
  <c r="I261" i="161" s="1"/>
  <c r="H266" i="161"/>
  <c r="G266" i="161"/>
  <c r="F266" i="161"/>
  <c r="E266" i="161"/>
  <c r="E261" i="161" s="1"/>
  <c r="B266" i="161"/>
  <c r="M265" i="161"/>
  <c r="B265" i="161"/>
  <c r="M264" i="161"/>
  <c r="B264" i="161"/>
  <c r="M263" i="161"/>
  <c r="B263" i="161"/>
  <c r="L262" i="161"/>
  <c r="L261" i="161" s="1"/>
  <c r="K262" i="161"/>
  <c r="J262" i="161"/>
  <c r="J261" i="161" s="1"/>
  <c r="I262" i="161"/>
  <c r="H262" i="161"/>
  <c r="H261" i="161" s="1"/>
  <c r="G262" i="161"/>
  <c r="F262" i="161"/>
  <c r="F261" i="161" s="1"/>
  <c r="E262" i="161"/>
  <c r="B262" i="161"/>
  <c r="K261" i="161"/>
  <c r="G261" i="161"/>
  <c r="B261" i="161"/>
  <c r="M260" i="161"/>
  <c r="B260" i="161"/>
  <c r="M259" i="161"/>
  <c r="B259" i="161"/>
  <c r="M258" i="161"/>
  <c r="B258" i="161"/>
  <c r="M257" i="161"/>
  <c r="B257" i="161"/>
  <c r="L256" i="161"/>
  <c r="L250" i="161" s="1"/>
  <c r="K256" i="161"/>
  <c r="J256" i="161"/>
  <c r="I256" i="161"/>
  <c r="H256" i="161"/>
  <c r="H250" i="161" s="1"/>
  <c r="G256" i="161"/>
  <c r="F256" i="161"/>
  <c r="E256" i="161"/>
  <c r="B256" i="161"/>
  <c r="M255" i="161"/>
  <c r="B255" i="161"/>
  <c r="M254" i="161"/>
  <c r="B254" i="161"/>
  <c r="M253" i="161"/>
  <c r="B253" i="161"/>
  <c r="M252" i="161"/>
  <c r="B252" i="161"/>
  <c r="M251" i="161"/>
  <c r="L251" i="161"/>
  <c r="K251" i="161"/>
  <c r="K250" i="161" s="1"/>
  <c r="J251" i="161"/>
  <c r="I251" i="161"/>
  <c r="I250" i="161" s="1"/>
  <c r="H251" i="161"/>
  <c r="G251" i="161"/>
  <c r="G250" i="161" s="1"/>
  <c r="F251" i="161"/>
  <c r="E251" i="161"/>
  <c r="E250" i="161" s="1"/>
  <c r="B251" i="161"/>
  <c r="J250" i="161"/>
  <c r="F250" i="161"/>
  <c r="B250" i="161"/>
  <c r="M249" i="161"/>
  <c r="H13" i="162" s="1"/>
  <c r="B249" i="161"/>
  <c r="M248" i="161"/>
  <c r="B248" i="161"/>
  <c r="M247" i="161"/>
  <c r="B247" i="161"/>
  <c r="M246" i="161"/>
  <c r="B246" i="161"/>
  <c r="M245" i="161"/>
  <c r="B245" i="161"/>
  <c r="L244" i="161"/>
  <c r="K244" i="161"/>
  <c r="J244" i="161"/>
  <c r="I244" i="161"/>
  <c r="H244" i="161"/>
  <c r="G244" i="161"/>
  <c r="F244" i="161"/>
  <c r="E244" i="161"/>
  <c r="B244" i="161"/>
  <c r="M243" i="161"/>
  <c r="B243" i="161"/>
  <c r="M242" i="161"/>
  <c r="B242" i="161"/>
  <c r="M241" i="161"/>
  <c r="B241" i="161"/>
  <c r="M240" i="161"/>
  <c r="B240" i="161"/>
  <c r="M239" i="161"/>
  <c r="L239" i="161"/>
  <c r="K239" i="161"/>
  <c r="J239" i="161"/>
  <c r="I239" i="161"/>
  <c r="H239" i="161"/>
  <c r="G239" i="161"/>
  <c r="F239" i="161"/>
  <c r="E239" i="161"/>
  <c r="B239" i="161"/>
  <c r="M238" i="161"/>
  <c r="B238" i="161"/>
  <c r="M237" i="161"/>
  <c r="B237" i="161"/>
  <c r="M236" i="161"/>
  <c r="B236" i="161"/>
  <c r="M235" i="161"/>
  <c r="M234" i="161" s="1"/>
  <c r="B235" i="161"/>
  <c r="L234" i="161"/>
  <c r="K234" i="161"/>
  <c r="K233" i="161" s="1"/>
  <c r="J234" i="161"/>
  <c r="I234" i="161"/>
  <c r="H234" i="161"/>
  <c r="G234" i="161"/>
  <c r="G233" i="161" s="1"/>
  <c r="F234" i="161"/>
  <c r="E234" i="161"/>
  <c r="B234" i="161"/>
  <c r="I233" i="161"/>
  <c r="E233" i="161"/>
  <c r="B233" i="161"/>
  <c r="M232" i="161"/>
  <c r="B232" i="161"/>
  <c r="M231" i="161"/>
  <c r="B231" i="161"/>
  <c r="M230" i="161"/>
  <c r="B230" i="161"/>
  <c r="M229" i="161"/>
  <c r="M228" i="161" s="1"/>
  <c r="B229" i="161"/>
  <c r="L228" i="161"/>
  <c r="K228" i="161"/>
  <c r="J228" i="161"/>
  <c r="I228" i="161"/>
  <c r="H228" i="161"/>
  <c r="G228" i="161"/>
  <c r="F228" i="161"/>
  <c r="E228" i="161"/>
  <c r="B228" i="161"/>
  <c r="M227" i="161"/>
  <c r="B227" i="161"/>
  <c r="M226" i="161"/>
  <c r="B226" i="161"/>
  <c r="M225" i="161"/>
  <c r="B225" i="161"/>
  <c r="M224" i="161"/>
  <c r="M223" i="161" s="1"/>
  <c r="B224" i="161"/>
  <c r="L223" i="161"/>
  <c r="K223" i="161"/>
  <c r="J223" i="161"/>
  <c r="J222" i="161" s="1"/>
  <c r="I223" i="161"/>
  <c r="H223" i="161"/>
  <c r="G223" i="161"/>
  <c r="F223" i="161"/>
  <c r="F222" i="161" s="1"/>
  <c r="E223" i="161"/>
  <c r="B223" i="161"/>
  <c r="L222" i="161"/>
  <c r="H222" i="161"/>
  <c r="B222" i="161"/>
  <c r="B221" i="161"/>
  <c r="B220" i="161"/>
  <c r="L219" i="161"/>
  <c r="K219" i="161"/>
  <c r="J219" i="161"/>
  <c r="I219" i="161"/>
  <c r="H219" i="161"/>
  <c r="G219" i="161"/>
  <c r="F219" i="161"/>
  <c r="E219" i="161"/>
  <c r="E218" i="161"/>
  <c r="M217" i="161"/>
  <c r="C217" i="161"/>
  <c r="M213" i="161"/>
  <c r="G26" i="162" s="1"/>
  <c r="B213" i="161"/>
  <c r="M212" i="161"/>
  <c r="G25" i="162" s="1"/>
  <c r="B212" i="161"/>
  <c r="M211" i="161"/>
  <c r="G24" i="162" s="1"/>
  <c r="B211" i="161"/>
  <c r="M210" i="161"/>
  <c r="B210" i="161"/>
  <c r="M209" i="161"/>
  <c r="B209" i="161"/>
  <c r="M208" i="161"/>
  <c r="B208" i="161"/>
  <c r="B207" i="161"/>
  <c r="M206" i="161"/>
  <c r="G21" i="162" s="1"/>
  <c r="B206" i="161"/>
  <c r="M205" i="161"/>
  <c r="G20" i="162" s="1"/>
  <c r="B205" i="161"/>
  <c r="M204" i="161"/>
  <c r="G19" i="162" s="1"/>
  <c r="B204" i="161"/>
  <c r="M203" i="161"/>
  <c r="B203" i="161"/>
  <c r="M202" i="161"/>
  <c r="B202" i="161"/>
  <c r="M201" i="161"/>
  <c r="B201" i="161"/>
  <c r="M200" i="161"/>
  <c r="G18" i="162" s="1"/>
  <c r="L200" i="161"/>
  <c r="K200" i="161"/>
  <c r="J200" i="161"/>
  <c r="I200" i="161"/>
  <c r="H200" i="161"/>
  <c r="G200" i="161"/>
  <c r="F200" i="161"/>
  <c r="E200" i="161"/>
  <c r="B200" i="161"/>
  <c r="M199" i="161"/>
  <c r="B199" i="161"/>
  <c r="M198" i="161"/>
  <c r="B198" i="161"/>
  <c r="M197" i="161"/>
  <c r="B197" i="161"/>
  <c r="M196" i="161"/>
  <c r="G17" i="162" s="1"/>
  <c r="L196" i="161"/>
  <c r="K196" i="161"/>
  <c r="J196" i="161"/>
  <c r="I196" i="161"/>
  <c r="H196" i="161"/>
  <c r="G196" i="161"/>
  <c r="F196" i="161"/>
  <c r="E196" i="161"/>
  <c r="B196" i="161"/>
  <c r="M195" i="161"/>
  <c r="B195" i="161"/>
  <c r="M194" i="161"/>
  <c r="B194" i="161"/>
  <c r="M193" i="161"/>
  <c r="B193" i="161"/>
  <c r="M192" i="161"/>
  <c r="L192" i="161"/>
  <c r="K192" i="161"/>
  <c r="K191" i="161" s="1"/>
  <c r="J192" i="161"/>
  <c r="I192" i="161"/>
  <c r="I191" i="161" s="1"/>
  <c r="H192" i="161"/>
  <c r="G192" i="161"/>
  <c r="G191" i="161" s="1"/>
  <c r="F192" i="161"/>
  <c r="E192" i="161"/>
  <c r="E191" i="161" s="1"/>
  <c r="B192" i="161"/>
  <c r="L191" i="161"/>
  <c r="J191" i="161"/>
  <c r="H191" i="161"/>
  <c r="F191" i="161"/>
  <c r="B191" i="161"/>
  <c r="M190" i="161"/>
  <c r="B190" i="161"/>
  <c r="M189" i="161"/>
  <c r="B189" i="161"/>
  <c r="M188" i="161"/>
  <c r="B188" i="161"/>
  <c r="M187" i="161"/>
  <c r="M186" i="161" s="1"/>
  <c r="B187" i="161"/>
  <c r="L186" i="161"/>
  <c r="K186" i="161"/>
  <c r="J186" i="161"/>
  <c r="I186" i="161"/>
  <c r="H186" i="161"/>
  <c r="G186" i="161"/>
  <c r="F186" i="161"/>
  <c r="E186" i="161"/>
  <c r="B186" i="161"/>
  <c r="M185" i="161"/>
  <c r="B185" i="161"/>
  <c r="M184" i="161"/>
  <c r="B184" i="161"/>
  <c r="M183" i="161"/>
  <c r="B183" i="161"/>
  <c r="M182" i="161"/>
  <c r="B182" i="161"/>
  <c r="L181" i="161"/>
  <c r="L180" i="161" s="1"/>
  <c r="K181" i="161"/>
  <c r="J181" i="161"/>
  <c r="J180" i="161" s="1"/>
  <c r="I181" i="161"/>
  <c r="H181" i="161"/>
  <c r="H180" i="161" s="1"/>
  <c r="G181" i="161"/>
  <c r="F181" i="161"/>
  <c r="F180" i="161" s="1"/>
  <c r="E181" i="161"/>
  <c r="B181" i="161"/>
  <c r="K180" i="161"/>
  <c r="I180" i="161"/>
  <c r="G180" i="161"/>
  <c r="E180" i="161"/>
  <c r="B180" i="161"/>
  <c r="M179" i="161"/>
  <c r="G13" i="162" s="1"/>
  <c r="B179" i="161"/>
  <c r="M178" i="161"/>
  <c r="B178" i="161"/>
  <c r="M177" i="161"/>
  <c r="B177" i="161"/>
  <c r="M176" i="161"/>
  <c r="B176" i="161"/>
  <c r="M175" i="161"/>
  <c r="M174" i="161" s="1"/>
  <c r="B175" i="161"/>
  <c r="L174" i="161"/>
  <c r="K174" i="161"/>
  <c r="J174" i="161"/>
  <c r="I174" i="161"/>
  <c r="H174" i="161"/>
  <c r="G174" i="161"/>
  <c r="F174" i="161"/>
  <c r="E174" i="161"/>
  <c r="B174" i="161"/>
  <c r="M173" i="161"/>
  <c r="B173" i="161"/>
  <c r="M172" i="161"/>
  <c r="B172" i="161"/>
  <c r="M171" i="161"/>
  <c r="B171" i="161"/>
  <c r="M170" i="161"/>
  <c r="B170" i="161"/>
  <c r="L169" i="161"/>
  <c r="L163" i="161" s="1"/>
  <c r="K169" i="161"/>
  <c r="J169" i="161"/>
  <c r="I169" i="161"/>
  <c r="H169" i="161"/>
  <c r="H163" i="161" s="1"/>
  <c r="G169" i="161"/>
  <c r="F169" i="161"/>
  <c r="E169" i="161"/>
  <c r="B169" i="161"/>
  <c r="M168" i="161"/>
  <c r="B168" i="161"/>
  <c r="M167" i="161"/>
  <c r="B167" i="161"/>
  <c r="M166" i="161"/>
  <c r="B166" i="161"/>
  <c r="M165" i="161"/>
  <c r="B165" i="161"/>
  <c r="M164" i="161"/>
  <c r="L164" i="161"/>
  <c r="K164" i="161"/>
  <c r="K163" i="161" s="1"/>
  <c r="J164" i="161"/>
  <c r="I164" i="161"/>
  <c r="I163" i="161" s="1"/>
  <c r="H164" i="161"/>
  <c r="G164" i="161"/>
  <c r="G163" i="161" s="1"/>
  <c r="F164" i="161"/>
  <c r="E164" i="161"/>
  <c r="E163" i="161" s="1"/>
  <c r="B164" i="161"/>
  <c r="J163" i="161"/>
  <c r="F163" i="161"/>
  <c r="B163" i="161"/>
  <c r="M162" i="161"/>
  <c r="B162" i="161"/>
  <c r="M161" i="161"/>
  <c r="B161" i="161"/>
  <c r="M160" i="161"/>
  <c r="B160" i="161"/>
  <c r="M159" i="161"/>
  <c r="M158" i="161" s="1"/>
  <c r="B159" i="161"/>
  <c r="L158" i="161"/>
  <c r="K158" i="161"/>
  <c r="J158" i="161"/>
  <c r="I158" i="161"/>
  <c r="H158" i="161"/>
  <c r="G158" i="161"/>
  <c r="F158" i="161"/>
  <c r="E158" i="161"/>
  <c r="B158" i="161"/>
  <c r="M157" i="161"/>
  <c r="B157" i="161"/>
  <c r="M156" i="161"/>
  <c r="B156" i="161"/>
  <c r="M155" i="161"/>
  <c r="B155" i="161"/>
  <c r="M154" i="161"/>
  <c r="B154" i="161"/>
  <c r="L153" i="161"/>
  <c r="L152" i="161" s="1"/>
  <c r="L151" i="161" s="1"/>
  <c r="K153" i="161"/>
  <c r="J153" i="161"/>
  <c r="J152" i="161" s="1"/>
  <c r="J151" i="161" s="1"/>
  <c r="I153" i="161"/>
  <c r="H153" i="161"/>
  <c r="H152" i="161" s="1"/>
  <c r="H151" i="161" s="1"/>
  <c r="G153" i="161"/>
  <c r="F153" i="161"/>
  <c r="F152" i="161" s="1"/>
  <c r="F151" i="161" s="1"/>
  <c r="E153" i="161"/>
  <c r="B153" i="161"/>
  <c r="K152" i="161"/>
  <c r="K151" i="161" s="1"/>
  <c r="I152" i="161"/>
  <c r="G152" i="161"/>
  <c r="G151" i="161" s="1"/>
  <c r="E152" i="161"/>
  <c r="B152" i="161"/>
  <c r="B151" i="161"/>
  <c r="B150" i="161"/>
  <c r="L149" i="161"/>
  <c r="K149" i="161"/>
  <c r="J149" i="161"/>
  <c r="I149" i="161"/>
  <c r="H149" i="161"/>
  <c r="G149" i="161"/>
  <c r="F149" i="161"/>
  <c r="E149" i="161"/>
  <c r="E148" i="161"/>
  <c r="M147" i="161"/>
  <c r="C147" i="161"/>
  <c r="M143" i="161"/>
  <c r="F26" i="162" s="1"/>
  <c r="B143" i="161"/>
  <c r="M142" i="161"/>
  <c r="F25" i="162" s="1"/>
  <c r="B142" i="161"/>
  <c r="M141" i="161"/>
  <c r="F24" i="162" s="1"/>
  <c r="B141" i="161"/>
  <c r="M140" i="161"/>
  <c r="B140" i="161"/>
  <c r="M139" i="161"/>
  <c r="B139" i="161"/>
  <c r="M138" i="161"/>
  <c r="B138" i="161"/>
  <c r="B137" i="161"/>
  <c r="M136" i="161"/>
  <c r="F21" i="162" s="1"/>
  <c r="B136" i="161"/>
  <c r="M135" i="161"/>
  <c r="F20" i="162" s="1"/>
  <c r="B135" i="161"/>
  <c r="M134" i="161"/>
  <c r="F19" i="162" s="1"/>
  <c r="B134" i="161"/>
  <c r="M133" i="161"/>
  <c r="B133" i="161"/>
  <c r="M132" i="161"/>
  <c r="B132" i="161"/>
  <c r="M131" i="161"/>
  <c r="B131" i="161"/>
  <c r="L130" i="161"/>
  <c r="K130" i="161"/>
  <c r="J130" i="161"/>
  <c r="I130" i="161"/>
  <c r="H130" i="161"/>
  <c r="G130" i="161"/>
  <c r="F130" i="161"/>
  <c r="E130" i="161"/>
  <c r="B130" i="161"/>
  <c r="M129" i="161"/>
  <c r="B129" i="161"/>
  <c r="M128" i="161"/>
  <c r="B128" i="161"/>
  <c r="M127" i="161"/>
  <c r="M126" i="161" s="1"/>
  <c r="F17" i="162" s="1"/>
  <c r="B127" i="161"/>
  <c r="L126" i="161"/>
  <c r="L121" i="161" s="1"/>
  <c r="K126" i="161"/>
  <c r="J126" i="161"/>
  <c r="I126" i="161"/>
  <c r="H126" i="161"/>
  <c r="G126" i="161"/>
  <c r="F126" i="161"/>
  <c r="E126" i="161"/>
  <c r="B126" i="161"/>
  <c r="M125" i="161"/>
  <c r="B125" i="161"/>
  <c r="M124" i="161"/>
  <c r="B124" i="161"/>
  <c r="M123" i="161"/>
  <c r="B123" i="161"/>
  <c r="L122" i="161"/>
  <c r="K122" i="161"/>
  <c r="K121" i="161" s="1"/>
  <c r="J122" i="161"/>
  <c r="I122" i="161"/>
  <c r="I121" i="161" s="1"/>
  <c r="H122" i="161"/>
  <c r="G122" i="161"/>
  <c r="G121" i="161" s="1"/>
  <c r="F122" i="161"/>
  <c r="E122" i="161"/>
  <c r="E121" i="161" s="1"/>
  <c r="B122" i="161"/>
  <c r="H121" i="161"/>
  <c r="B121" i="161"/>
  <c r="M120" i="161"/>
  <c r="B120" i="161"/>
  <c r="M119" i="161"/>
  <c r="B119" i="161"/>
  <c r="M118" i="161"/>
  <c r="B118" i="161"/>
  <c r="M117" i="161"/>
  <c r="B117" i="161"/>
  <c r="L116" i="161"/>
  <c r="K116" i="161"/>
  <c r="J116" i="161"/>
  <c r="I116" i="161"/>
  <c r="H116" i="161"/>
  <c r="G116" i="161"/>
  <c r="F116" i="161"/>
  <c r="E116" i="161"/>
  <c r="B116" i="161"/>
  <c r="M115" i="161"/>
  <c r="B115" i="161"/>
  <c r="M114" i="161"/>
  <c r="B114" i="161"/>
  <c r="M113" i="161"/>
  <c r="B113" i="161"/>
  <c r="M112" i="161"/>
  <c r="B112" i="161"/>
  <c r="L111" i="161"/>
  <c r="L110" i="161" s="1"/>
  <c r="K111" i="161"/>
  <c r="K110" i="161" s="1"/>
  <c r="J111" i="161"/>
  <c r="J110" i="161" s="1"/>
  <c r="I111" i="161"/>
  <c r="H111" i="161"/>
  <c r="H110" i="161" s="1"/>
  <c r="G111" i="161"/>
  <c r="G110" i="161" s="1"/>
  <c r="F111" i="161"/>
  <c r="F110" i="161" s="1"/>
  <c r="E111" i="161"/>
  <c r="B111" i="161"/>
  <c r="I110" i="161"/>
  <c r="E110" i="161"/>
  <c r="B110" i="161"/>
  <c r="M109" i="161"/>
  <c r="F13" i="162" s="1"/>
  <c r="B109" i="161"/>
  <c r="M108" i="161"/>
  <c r="B108" i="161"/>
  <c r="M107" i="161"/>
  <c r="B107" i="161"/>
  <c r="M106" i="161"/>
  <c r="B106" i="161"/>
  <c r="M105" i="161"/>
  <c r="M104" i="161" s="1"/>
  <c r="B105" i="161"/>
  <c r="L104" i="161"/>
  <c r="K104" i="161"/>
  <c r="J104" i="161"/>
  <c r="I104" i="161"/>
  <c r="H104" i="161"/>
  <c r="G104" i="161"/>
  <c r="F104" i="161"/>
  <c r="E104" i="161"/>
  <c r="B104" i="161"/>
  <c r="M103" i="161"/>
  <c r="B103" i="161"/>
  <c r="M102" i="161"/>
  <c r="B102" i="161"/>
  <c r="M101" i="161"/>
  <c r="B101" i="161"/>
  <c r="M100" i="161"/>
  <c r="M99" i="161" s="1"/>
  <c r="B100" i="161"/>
  <c r="L99" i="161"/>
  <c r="K99" i="161"/>
  <c r="J99" i="161"/>
  <c r="I99" i="161"/>
  <c r="H99" i="161"/>
  <c r="G99" i="161"/>
  <c r="F99" i="161"/>
  <c r="E99" i="161"/>
  <c r="B99" i="161"/>
  <c r="M98" i="161"/>
  <c r="B98" i="161"/>
  <c r="M97" i="161"/>
  <c r="B97" i="161"/>
  <c r="M96" i="161"/>
  <c r="B96" i="161"/>
  <c r="M95" i="161"/>
  <c r="B95" i="161"/>
  <c r="L94" i="161"/>
  <c r="K94" i="161"/>
  <c r="J94" i="161"/>
  <c r="I94" i="161"/>
  <c r="H94" i="161"/>
  <c r="G94" i="161"/>
  <c r="F94" i="161"/>
  <c r="E94" i="161"/>
  <c r="B94" i="161"/>
  <c r="L93" i="161"/>
  <c r="J93" i="161"/>
  <c r="H93" i="161"/>
  <c r="F93" i="161"/>
  <c r="B93" i="161"/>
  <c r="M92" i="161"/>
  <c r="B92" i="161"/>
  <c r="M91" i="161"/>
  <c r="B91" i="161"/>
  <c r="M90" i="161"/>
  <c r="B90" i="161"/>
  <c r="M89" i="161"/>
  <c r="B89" i="161"/>
  <c r="L88" i="161"/>
  <c r="K88" i="161"/>
  <c r="J88" i="161"/>
  <c r="I88" i="161"/>
  <c r="H88" i="161"/>
  <c r="G88" i="161"/>
  <c r="F88" i="161"/>
  <c r="E88" i="161"/>
  <c r="E82" i="161" s="1"/>
  <c r="B88" i="161"/>
  <c r="M87" i="161"/>
  <c r="B87" i="161"/>
  <c r="M86" i="161"/>
  <c r="B86" i="161"/>
  <c r="M85" i="161"/>
  <c r="B85" i="161"/>
  <c r="M84" i="161"/>
  <c r="M83" i="161" s="1"/>
  <c r="B84" i="161"/>
  <c r="L83" i="161"/>
  <c r="K83" i="161"/>
  <c r="J83" i="161"/>
  <c r="I83" i="161"/>
  <c r="H83" i="161"/>
  <c r="G83" i="161"/>
  <c r="F83" i="161"/>
  <c r="E83" i="161"/>
  <c r="B83" i="161"/>
  <c r="I82" i="161"/>
  <c r="B82" i="161"/>
  <c r="B81" i="161"/>
  <c r="B80" i="161"/>
  <c r="L79" i="161"/>
  <c r="K79" i="161"/>
  <c r="J79" i="161"/>
  <c r="I79" i="161"/>
  <c r="H79" i="161"/>
  <c r="G79" i="161"/>
  <c r="F79" i="161"/>
  <c r="E79" i="161"/>
  <c r="E78" i="161"/>
  <c r="M77" i="161"/>
  <c r="C77" i="161"/>
  <c r="C80" i="50"/>
  <c r="C79" i="50"/>
  <c r="C78" i="50"/>
  <c r="C77" i="50"/>
  <c r="C76" i="50"/>
  <c r="C75" i="50"/>
  <c r="G82" i="161" l="1"/>
  <c r="K82" i="161"/>
  <c r="K81" i="161" s="1"/>
  <c r="F121" i="161"/>
  <c r="J121" i="161"/>
  <c r="M122" i="161"/>
  <c r="M130" i="161"/>
  <c r="F18" i="162" s="1"/>
  <c r="M137" i="161"/>
  <c r="F221" i="161"/>
  <c r="E291" i="161"/>
  <c r="M191" i="161"/>
  <c r="G16" i="162"/>
  <c r="M233" i="161"/>
  <c r="H12" i="162" s="1"/>
  <c r="I16" i="162"/>
  <c r="M347" i="161"/>
  <c r="I23" i="162"/>
  <c r="M116" i="161"/>
  <c r="E151" i="161"/>
  <c r="I151" i="161"/>
  <c r="M153" i="161"/>
  <c r="M152" i="161" s="1"/>
  <c r="M169" i="161"/>
  <c r="M163" i="161" s="1"/>
  <c r="M181" i="161"/>
  <c r="M180" i="161" s="1"/>
  <c r="G14" i="162" s="1"/>
  <c r="M207" i="161"/>
  <c r="E222" i="161"/>
  <c r="G222" i="161"/>
  <c r="I222" i="161"/>
  <c r="K222" i="161"/>
  <c r="F233" i="161"/>
  <c r="H233" i="161"/>
  <c r="H221" i="161" s="1"/>
  <c r="J233" i="161"/>
  <c r="J221" i="161" s="1"/>
  <c r="L233" i="161"/>
  <c r="L221" i="161" s="1"/>
  <c r="M244" i="161"/>
  <c r="M256" i="161"/>
  <c r="M250" i="161" s="1"/>
  <c r="H14" i="162" s="1"/>
  <c r="M262" i="161"/>
  <c r="H16" i="162" s="1"/>
  <c r="M270" i="161"/>
  <c r="H18" i="162" s="1"/>
  <c r="M277" i="161"/>
  <c r="H22" i="162"/>
  <c r="M309" i="161"/>
  <c r="G320" i="161"/>
  <c r="K320" i="161"/>
  <c r="M336" i="161"/>
  <c r="I17" i="162" s="1"/>
  <c r="F291" i="161"/>
  <c r="H291" i="161"/>
  <c r="J291" i="161"/>
  <c r="L291" i="161"/>
  <c r="E303" i="161"/>
  <c r="G303" i="161"/>
  <c r="G291" i="161" s="1"/>
  <c r="I303" i="161"/>
  <c r="I291" i="161" s="1"/>
  <c r="K303" i="161"/>
  <c r="K291" i="161" s="1"/>
  <c r="G23" i="162"/>
  <c r="F23" i="162"/>
  <c r="I22" i="162"/>
  <c r="I15" i="162"/>
  <c r="H15" i="162"/>
  <c r="G22" i="162"/>
  <c r="G15" i="162"/>
  <c r="F22" i="162"/>
  <c r="M303" i="161"/>
  <c r="E221" i="161"/>
  <c r="G221" i="161"/>
  <c r="I221" i="161"/>
  <c r="K221" i="161"/>
  <c r="M222" i="161"/>
  <c r="M261" i="161"/>
  <c r="E93" i="161"/>
  <c r="E81" i="161" s="1"/>
  <c r="G93" i="161"/>
  <c r="G81" i="161" s="1"/>
  <c r="I93" i="161"/>
  <c r="I81" i="161" s="1"/>
  <c r="K93" i="161"/>
  <c r="M111" i="161"/>
  <c r="M110" i="161" s="1"/>
  <c r="F14" i="162" s="1"/>
  <c r="F82" i="161"/>
  <c r="H82" i="161"/>
  <c r="J82" i="161"/>
  <c r="L82" i="161"/>
  <c r="M88" i="161"/>
  <c r="M82" i="161" s="1"/>
  <c r="F11" i="162" s="1"/>
  <c r="M94" i="161"/>
  <c r="M93" i="161" s="1"/>
  <c r="F12" i="162" s="1"/>
  <c r="F81" i="161"/>
  <c r="H81" i="161"/>
  <c r="J81" i="161"/>
  <c r="L81" i="161"/>
  <c r="D11" i="50"/>
  <c r="C23" i="50"/>
  <c r="C15" i="50"/>
  <c r="M151" i="161" l="1"/>
  <c r="G12" i="162"/>
  <c r="M331" i="161"/>
  <c r="D64" i="178"/>
  <c r="D62" i="178"/>
  <c r="D58" i="178"/>
  <c r="D56" i="178"/>
  <c r="D54" i="178"/>
  <c r="D53" i="178"/>
  <c r="D51" i="178"/>
  <c r="D48" i="178"/>
  <c r="D46" i="178"/>
  <c r="D45" i="178"/>
  <c r="D43" i="178"/>
  <c r="D41" i="178"/>
  <c r="D38" i="178"/>
  <c r="D36" i="178"/>
  <c r="D33" i="178"/>
  <c r="D31" i="178"/>
  <c r="D29" i="178"/>
  <c r="D28" i="178"/>
  <c r="D26" i="178"/>
  <c r="D24" i="178"/>
  <c r="D23" i="178"/>
  <c r="D22" i="178"/>
  <c r="D20" i="178"/>
  <c r="D18" i="178"/>
  <c r="D17" i="178"/>
  <c r="D15" i="178"/>
  <c r="D13" i="178"/>
  <c r="D12" i="178"/>
  <c r="D10" i="178"/>
  <c r="D65" i="178"/>
  <c r="D61" i="178"/>
  <c r="D60" i="178"/>
  <c r="D59" i="178"/>
  <c r="D55" i="178"/>
  <c r="D52" i="178"/>
  <c r="D47" i="178"/>
  <c r="D44" i="178"/>
  <c r="D40" i="178"/>
  <c r="D39" i="178"/>
  <c r="D35" i="178"/>
  <c r="D34" i="178"/>
  <c r="D30" i="178"/>
  <c r="D27" i="178"/>
  <c r="D21" i="178"/>
  <c r="D14" i="178"/>
  <c r="D11" i="178"/>
  <c r="D63" i="178"/>
  <c r="D50" i="178"/>
  <c r="D49" i="178"/>
  <c r="D57" i="178"/>
  <c r="D42" i="178"/>
  <c r="D37" i="178"/>
  <c r="D32" i="178"/>
  <c r="D25" i="178"/>
  <c r="D19" i="178"/>
  <c r="D16" i="178"/>
  <c r="F10" i="162"/>
  <c r="M221" i="161"/>
  <c r="H11" i="162"/>
  <c r="H10" i="162" s="1"/>
  <c r="G11" i="162"/>
  <c r="G10" i="162" s="1"/>
  <c r="M291" i="161"/>
  <c r="I12" i="162"/>
  <c r="I10" i="162" s="1"/>
  <c r="M121" i="161"/>
  <c r="F16" i="162"/>
  <c r="F15" i="162" s="1"/>
  <c r="M81" i="161"/>
  <c r="B56" i="54" l="1"/>
  <c r="B53" i="54"/>
  <c r="B51" i="54"/>
  <c r="B48" i="54"/>
  <c r="B46" i="54"/>
  <c r="B44" i="54"/>
  <c r="B42" i="54"/>
  <c r="B40" i="54"/>
  <c r="B34" i="54"/>
  <c r="B33" i="54"/>
  <c r="B32" i="54"/>
  <c r="B25" i="54"/>
  <c r="B24" i="54"/>
  <c r="B23" i="54"/>
  <c r="B22" i="54"/>
  <c r="B21" i="54"/>
  <c r="B15" i="54"/>
  <c r="B12" i="54"/>
  <c r="B11" i="54"/>
  <c r="B10" i="54"/>
  <c r="G213" i="177" l="1"/>
  <c r="G10" i="177"/>
  <c r="G9" i="177"/>
  <c r="F249" i="176"/>
  <c r="G213" i="176"/>
  <c r="G10" i="176"/>
  <c r="G9" i="176"/>
  <c r="E8" i="176"/>
  <c r="D8" i="176"/>
  <c r="C8" i="176"/>
  <c r="J613" i="175"/>
  <c r="F610" i="175"/>
  <c r="C610" i="175"/>
  <c r="F607" i="175"/>
  <c r="F604" i="175"/>
  <c r="F601" i="175"/>
  <c r="F598" i="175"/>
  <c r="F595" i="175"/>
  <c r="F592" i="175"/>
  <c r="F589" i="175"/>
  <c r="F586" i="175"/>
  <c r="F583" i="175"/>
  <c r="F580" i="175"/>
  <c r="F577" i="175"/>
  <c r="F574" i="175"/>
  <c r="F571" i="175"/>
  <c r="F568" i="175"/>
  <c r="F565" i="175"/>
  <c r="F562" i="175"/>
  <c r="F559" i="175"/>
  <c r="F556" i="175"/>
  <c r="F553" i="175"/>
  <c r="F550" i="175"/>
  <c r="F547" i="175"/>
  <c r="F544" i="175"/>
  <c r="F541" i="175"/>
  <c r="F538" i="175"/>
  <c r="F535" i="175"/>
  <c r="F532" i="175"/>
  <c r="F529" i="175"/>
  <c r="F526" i="175"/>
  <c r="F523" i="175"/>
  <c r="F520" i="175"/>
  <c r="F517" i="175"/>
  <c r="F514" i="175"/>
  <c r="F511" i="175"/>
  <c r="F508" i="175"/>
  <c r="F505" i="175"/>
  <c r="F502" i="175"/>
  <c r="F499" i="175"/>
  <c r="F496" i="175"/>
  <c r="F493" i="175"/>
  <c r="F490" i="175"/>
  <c r="F487" i="175"/>
  <c r="F484" i="175"/>
  <c r="F481" i="175"/>
  <c r="F478" i="175"/>
  <c r="F475" i="175"/>
  <c r="F472" i="175"/>
  <c r="F469" i="175"/>
  <c r="F466" i="175"/>
  <c r="F463" i="175"/>
  <c r="F460" i="175"/>
  <c r="F457" i="175"/>
  <c r="F454" i="175"/>
  <c r="F451" i="175"/>
  <c r="F448" i="175"/>
  <c r="F445" i="175"/>
  <c r="F442" i="175"/>
  <c r="F439" i="175"/>
  <c r="F436" i="175"/>
  <c r="F433" i="175"/>
  <c r="F430" i="175"/>
  <c r="F427" i="175"/>
  <c r="F424" i="175"/>
  <c r="F421" i="175"/>
  <c r="F418" i="175"/>
  <c r="F415" i="175"/>
  <c r="F412" i="175"/>
  <c r="F409" i="175"/>
  <c r="F406" i="175"/>
  <c r="F403" i="175"/>
  <c r="F400" i="175"/>
  <c r="F397" i="175"/>
  <c r="F394" i="175"/>
  <c r="F391" i="175"/>
  <c r="F388" i="175"/>
  <c r="F385" i="175"/>
  <c r="F382" i="175"/>
  <c r="F379" i="175"/>
  <c r="F376" i="175"/>
  <c r="F373" i="175"/>
  <c r="F370" i="175"/>
  <c r="F367" i="175"/>
  <c r="F364" i="175"/>
  <c r="F361" i="175"/>
  <c r="F358" i="175"/>
  <c r="F355" i="175"/>
  <c r="F352" i="175"/>
  <c r="F349" i="175"/>
  <c r="F346" i="175"/>
  <c r="F343" i="175"/>
  <c r="F340" i="175"/>
  <c r="F337" i="175"/>
  <c r="F334" i="175"/>
  <c r="F331" i="175"/>
  <c r="F328" i="175"/>
  <c r="F325" i="175"/>
  <c r="F322" i="175"/>
  <c r="F319" i="175"/>
  <c r="F316" i="175"/>
  <c r="F313" i="175"/>
  <c r="F310" i="175"/>
  <c r="F307" i="175"/>
  <c r="F304" i="175"/>
  <c r="F301" i="175"/>
  <c r="F298" i="175"/>
  <c r="F295" i="175"/>
  <c r="F292" i="175"/>
  <c r="F289" i="175"/>
  <c r="F286" i="175"/>
  <c r="F283" i="175"/>
  <c r="F280" i="175"/>
  <c r="F277" i="175"/>
  <c r="F274" i="175"/>
  <c r="F271" i="175"/>
  <c r="F268" i="175"/>
  <c r="F265" i="175"/>
  <c r="F262" i="175"/>
  <c r="F259" i="175"/>
  <c r="F256" i="175"/>
  <c r="F253" i="175"/>
  <c r="F250" i="175"/>
  <c r="F247" i="175"/>
  <c r="F244" i="175"/>
  <c r="F241" i="175"/>
  <c r="F238" i="175"/>
  <c r="F235" i="175"/>
  <c r="F232" i="175"/>
  <c r="F229" i="175"/>
  <c r="F226" i="175"/>
  <c r="F223" i="175"/>
  <c r="F220" i="175"/>
  <c r="F217" i="175"/>
  <c r="F214" i="175"/>
  <c r="F211" i="175"/>
  <c r="F208" i="175"/>
  <c r="F205" i="175"/>
  <c r="F202" i="175"/>
  <c r="F199" i="175"/>
  <c r="F196" i="175"/>
  <c r="F193" i="175"/>
  <c r="F190" i="175"/>
  <c r="F187" i="175"/>
  <c r="F184" i="175"/>
  <c r="F181" i="175"/>
  <c r="F178" i="175"/>
  <c r="F175" i="175"/>
  <c r="F172" i="175"/>
  <c r="F169" i="175"/>
  <c r="F166" i="175"/>
  <c r="F163" i="175"/>
  <c r="F160" i="175"/>
  <c r="F157" i="175"/>
  <c r="F154" i="175"/>
  <c r="F151" i="175"/>
  <c r="F148" i="175"/>
  <c r="F145" i="175"/>
  <c r="F142" i="175"/>
  <c r="F139" i="175"/>
  <c r="F136" i="175"/>
  <c r="F133" i="175"/>
  <c r="F130" i="175"/>
  <c r="F127" i="175"/>
  <c r="F124" i="175"/>
  <c r="F121" i="175"/>
  <c r="F118" i="175"/>
  <c r="F115" i="175"/>
  <c r="F112" i="175"/>
  <c r="F109" i="175"/>
  <c r="F106" i="175"/>
  <c r="F103" i="175"/>
  <c r="F100" i="175"/>
  <c r="F97" i="175"/>
  <c r="F94" i="175"/>
  <c r="F91" i="175"/>
  <c r="F88" i="175"/>
  <c r="F85" i="175"/>
  <c r="F82" i="175"/>
  <c r="F79" i="175"/>
  <c r="F76" i="175"/>
  <c r="F73" i="175"/>
  <c r="F70" i="175"/>
  <c r="F67" i="175"/>
  <c r="F64" i="175"/>
  <c r="F61" i="175"/>
  <c r="F55" i="175"/>
  <c r="F52" i="175"/>
  <c r="F49" i="175"/>
  <c r="F46" i="175"/>
  <c r="F43" i="175"/>
  <c r="F40" i="175"/>
  <c r="F37" i="175"/>
  <c r="F34" i="175"/>
  <c r="F31" i="175"/>
  <c r="F28" i="175"/>
  <c r="F25" i="175"/>
  <c r="F58" i="175" s="1"/>
  <c r="F22" i="175"/>
  <c r="F19" i="175"/>
  <c r="F16" i="175"/>
  <c r="F13" i="175"/>
  <c r="J10" i="175"/>
  <c r="J9" i="175"/>
  <c r="J613" i="174"/>
  <c r="F610" i="174"/>
  <c r="C610" i="174"/>
  <c r="F607" i="174"/>
  <c r="F604" i="174"/>
  <c r="F601" i="174"/>
  <c r="F598" i="174"/>
  <c r="F595" i="174"/>
  <c r="F592" i="174"/>
  <c r="F589" i="174"/>
  <c r="F586" i="174"/>
  <c r="F583" i="174"/>
  <c r="F580" i="174"/>
  <c r="F577" i="174"/>
  <c r="F574" i="174"/>
  <c r="F571" i="174"/>
  <c r="F568" i="174"/>
  <c r="F565" i="174"/>
  <c r="F562" i="174"/>
  <c r="F559" i="174"/>
  <c r="F556" i="174"/>
  <c r="F553" i="174"/>
  <c r="F550" i="174"/>
  <c r="F547" i="174"/>
  <c r="F544" i="174"/>
  <c r="F541" i="174"/>
  <c r="F538" i="174"/>
  <c r="F535" i="174"/>
  <c r="F532" i="174"/>
  <c r="F529" i="174"/>
  <c r="F526" i="174"/>
  <c r="F523" i="174"/>
  <c r="F520" i="174"/>
  <c r="F517" i="174"/>
  <c r="F514" i="174"/>
  <c r="F511" i="174"/>
  <c r="F508" i="174"/>
  <c r="F505" i="174"/>
  <c r="F502" i="174"/>
  <c r="F499" i="174"/>
  <c r="F496" i="174"/>
  <c r="F493" i="174"/>
  <c r="F490" i="174"/>
  <c r="F487" i="174"/>
  <c r="F484" i="174"/>
  <c r="F481" i="174"/>
  <c r="F478" i="174"/>
  <c r="F475" i="174"/>
  <c r="F472" i="174"/>
  <c r="F469" i="174"/>
  <c r="F466" i="174"/>
  <c r="F463" i="174"/>
  <c r="F460" i="174"/>
  <c r="F457" i="174"/>
  <c r="F454" i="174"/>
  <c r="F451" i="174"/>
  <c r="F448" i="174"/>
  <c r="F445" i="174"/>
  <c r="F442" i="174"/>
  <c r="F439" i="174"/>
  <c r="F436" i="174"/>
  <c r="F433" i="174"/>
  <c r="F430" i="174"/>
  <c r="F427" i="174"/>
  <c r="F424" i="174"/>
  <c r="F421" i="174"/>
  <c r="F418" i="174"/>
  <c r="F415" i="174"/>
  <c r="F412" i="174"/>
  <c r="F409" i="174"/>
  <c r="F406" i="174"/>
  <c r="F403" i="174"/>
  <c r="F400" i="174"/>
  <c r="F397" i="174"/>
  <c r="F394" i="174"/>
  <c r="F391" i="174"/>
  <c r="F388" i="174"/>
  <c r="F385" i="174"/>
  <c r="F382" i="174"/>
  <c r="F379" i="174"/>
  <c r="F376" i="174"/>
  <c r="F373" i="174"/>
  <c r="F370" i="174"/>
  <c r="F367" i="174"/>
  <c r="F364" i="174"/>
  <c r="F361" i="174"/>
  <c r="F358" i="174"/>
  <c r="F355" i="174"/>
  <c r="F352" i="174"/>
  <c r="F349" i="174"/>
  <c r="F346" i="174"/>
  <c r="F343" i="174"/>
  <c r="F340" i="174"/>
  <c r="F337" i="174"/>
  <c r="F334" i="174"/>
  <c r="F331" i="174"/>
  <c r="F328" i="174"/>
  <c r="F325" i="174"/>
  <c r="F322" i="174"/>
  <c r="F319" i="174"/>
  <c r="F316" i="174"/>
  <c r="F313" i="174"/>
  <c r="F310" i="174"/>
  <c r="F307" i="174"/>
  <c r="F304" i="174"/>
  <c r="F301" i="174"/>
  <c r="F298" i="174"/>
  <c r="F295" i="174"/>
  <c r="F292" i="174"/>
  <c r="F289" i="174"/>
  <c r="F286" i="174"/>
  <c r="F283" i="174"/>
  <c r="F280" i="174"/>
  <c r="F277" i="174"/>
  <c r="F274" i="174"/>
  <c r="F271" i="174"/>
  <c r="F268" i="174"/>
  <c r="F265" i="174"/>
  <c r="F262" i="174"/>
  <c r="F259" i="174"/>
  <c r="F256" i="174"/>
  <c r="F253" i="174"/>
  <c r="F250" i="174"/>
  <c r="F247" i="174"/>
  <c r="F244" i="174"/>
  <c r="F241" i="174"/>
  <c r="F238" i="174"/>
  <c r="F235" i="174"/>
  <c r="F232" i="174"/>
  <c r="F229" i="174"/>
  <c r="F226" i="174"/>
  <c r="F223" i="174"/>
  <c r="F220" i="174"/>
  <c r="F217" i="174"/>
  <c r="F214" i="174"/>
  <c r="F211" i="174"/>
  <c r="F208" i="174"/>
  <c r="F205" i="174"/>
  <c r="F202" i="174"/>
  <c r="F199" i="174"/>
  <c r="F196" i="174"/>
  <c r="F193" i="174"/>
  <c r="F190" i="174"/>
  <c r="F187" i="174"/>
  <c r="F184" i="174"/>
  <c r="F181" i="174"/>
  <c r="F178" i="174"/>
  <c r="F175" i="174"/>
  <c r="F172" i="174"/>
  <c r="F169" i="174"/>
  <c r="F166" i="174"/>
  <c r="F163" i="174"/>
  <c r="F160" i="174"/>
  <c r="F157" i="174"/>
  <c r="F154" i="174"/>
  <c r="F151" i="174"/>
  <c r="F148" i="174"/>
  <c r="F145" i="174"/>
  <c r="F142" i="174"/>
  <c r="F139" i="174"/>
  <c r="F136" i="174"/>
  <c r="F133" i="174"/>
  <c r="F130" i="174"/>
  <c r="F127" i="174"/>
  <c r="F124" i="174"/>
  <c r="F121" i="174"/>
  <c r="F118" i="174"/>
  <c r="F115" i="174"/>
  <c r="F112" i="174"/>
  <c r="F109" i="174"/>
  <c r="F106" i="174"/>
  <c r="F103" i="174"/>
  <c r="F100" i="174"/>
  <c r="F97" i="174"/>
  <c r="F94" i="174"/>
  <c r="F91" i="174"/>
  <c r="F88" i="174"/>
  <c r="F85" i="174"/>
  <c r="F82" i="174"/>
  <c r="F79" i="174"/>
  <c r="F76" i="174"/>
  <c r="F73" i="174"/>
  <c r="F70" i="174"/>
  <c r="F67" i="174"/>
  <c r="F64" i="174"/>
  <c r="F61" i="174"/>
  <c r="F55" i="174"/>
  <c r="F52" i="174"/>
  <c r="F49" i="174"/>
  <c r="F46" i="174"/>
  <c r="F43" i="174"/>
  <c r="F40" i="174"/>
  <c r="F37" i="174"/>
  <c r="F34" i="174"/>
  <c r="F31" i="174"/>
  <c r="F28" i="174"/>
  <c r="F25" i="174"/>
  <c r="F58" i="174" s="1"/>
  <c r="F22" i="174"/>
  <c r="F19" i="174"/>
  <c r="F16" i="174"/>
  <c r="F13" i="174"/>
  <c r="J10" i="174"/>
  <c r="J9" i="174"/>
  <c r="J613" i="173"/>
  <c r="F610" i="173"/>
  <c r="C610" i="173"/>
  <c r="F607" i="173"/>
  <c r="F604" i="173"/>
  <c r="F601" i="173"/>
  <c r="F598" i="173"/>
  <c r="F595" i="173"/>
  <c r="F592" i="173"/>
  <c r="F589" i="173"/>
  <c r="F586" i="173"/>
  <c r="F583" i="173"/>
  <c r="F580" i="173"/>
  <c r="F577" i="173"/>
  <c r="F574" i="173"/>
  <c r="F571" i="173"/>
  <c r="F568" i="173"/>
  <c r="F565" i="173"/>
  <c r="F562" i="173"/>
  <c r="F559" i="173"/>
  <c r="F556" i="173"/>
  <c r="F553" i="173"/>
  <c r="F550" i="173"/>
  <c r="F547" i="173"/>
  <c r="F544" i="173"/>
  <c r="F541" i="173"/>
  <c r="F538" i="173"/>
  <c r="F535" i="173"/>
  <c r="F532" i="173"/>
  <c r="F529" i="173"/>
  <c r="F526" i="173"/>
  <c r="F523" i="173"/>
  <c r="F520" i="173"/>
  <c r="F517" i="173"/>
  <c r="F514" i="173"/>
  <c r="F511" i="173"/>
  <c r="F508" i="173"/>
  <c r="F505" i="173"/>
  <c r="F502" i="173"/>
  <c r="F499" i="173"/>
  <c r="F496" i="173"/>
  <c r="F493" i="173"/>
  <c r="F490" i="173"/>
  <c r="F487" i="173"/>
  <c r="F484" i="173"/>
  <c r="F481" i="173"/>
  <c r="F478" i="173"/>
  <c r="F475" i="173"/>
  <c r="F472" i="173"/>
  <c r="F469" i="173"/>
  <c r="F466" i="173"/>
  <c r="F463" i="173"/>
  <c r="F460" i="173"/>
  <c r="F457" i="173"/>
  <c r="F454" i="173"/>
  <c r="F451" i="173"/>
  <c r="F448" i="173"/>
  <c r="F445" i="173"/>
  <c r="F442" i="173"/>
  <c r="F439" i="173"/>
  <c r="F436" i="173"/>
  <c r="F433" i="173"/>
  <c r="F430" i="173"/>
  <c r="F427" i="173"/>
  <c r="F424" i="173"/>
  <c r="F421" i="173"/>
  <c r="F418" i="173"/>
  <c r="F415" i="173"/>
  <c r="F412" i="173"/>
  <c r="F409" i="173"/>
  <c r="F406" i="173"/>
  <c r="F403" i="173"/>
  <c r="F400" i="173"/>
  <c r="F397" i="173"/>
  <c r="F394" i="173"/>
  <c r="F391" i="173"/>
  <c r="F388" i="173"/>
  <c r="F385" i="173"/>
  <c r="F382" i="173"/>
  <c r="F379" i="173"/>
  <c r="F376" i="173"/>
  <c r="F373" i="173"/>
  <c r="F370" i="173"/>
  <c r="F367" i="173"/>
  <c r="F364" i="173"/>
  <c r="F361" i="173"/>
  <c r="F358" i="173"/>
  <c r="F355" i="173"/>
  <c r="F352" i="173"/>
  <c r="F349" i="173"/>
  <c r="F346" i="173"/>
  <c r="F343" i="173"/>
  <c r="F340" i="173"/>
  <c r="F337" i="173"/>
  <c r="F334" i="173"/>
  <c r="F331" i="173"/>
  <c r="F328" i="173"/>
  <c r="F325" i="173"/>
  <c r="F322" i="173"/>
  <c r="F319" i="173"/>
  <c r="F316" i="173"/>
  <c r="F313" i="173"/>
  <c r="F310" i="173"/>
  <c r="F307" i="173"/>
  <c r="F304" i="173"/>
  <c r="F301" i="173"/>
  <c r="F298" i="173"/>
  <c r="F295" i="173"/>
  <c r="F292" i="173"/>
  <c r="F289" i="173"/>
  <c r="F286" i="173"/>
  <c r="F283" i="173"/>
  <c r="F280" i="173"/>
  <c r="F277" i="173"/>
  <c r="F274" i="173"/>
  <c r="F271" i="173"/>
  <c r="F268" i="173"/>
  <c r="F265" i="173"/>
  <c r="F262" i="173"/>
  <c r="F259" i="173"/>
  <c r="F256" i="173"/>
  <c r="F253" i="173"/>
  <c r="F250" i="173"/>
  <c r="F247" i="173"/>
  <c r="F244" i="173"/>
  <c r="F241" i="173"/>
  <c r="F238" i="173"/>
  <c r="F235" i="173"/>
  <c r="F232" i="173"/>
  <c r="F229" i="173"/>
  <c r="F226" i="173"/>
  <c r="F223" i="173"/>
  <c r="F220" i="173"/>
  <c r="F217" i="173"/>
  <c r="F214" i="173"/>
  <c r="F211" i="173"/>
  <c r="F208" i="173"/>
  <c r="F205" i="173"/>
  <c r="F202" i="173"/>
  <c r="F199" i="173"/>
  <c r="F196" i="173"/>
  <c r="F193" i="173"/>
  <c r="F190" i="173"/>
  <c r="F187" i="173"/>
  <c r="F184" i="173"/>
  <c r="F181" i="173"/>
  <c r="F178" i="173"/>
  <c r="F175" i="173"/>
  <c r="F172" i="173"/>
  <c r="F169" i="173"/>
  <c r="F166" i="173"/>
  <c r="F163" i="173"/>
  <c r="F160" i="173"/>
  <c r="F157" i="173"/>
  <c r="F154" i="173"/>
  <c r="F151" i="173"/>
  <c r="F148" i="173"/>
  <c r="F145" i="173"/>
  <c r="F142" i="173"/>
  <c r="F139" i="173"/>
  <c r="F136" i="173"/>
  <c r="F133" i="173"/>
  <c r="F130" i="173"/>
  <c r="F127" i="173"/>
  <c r="F124" i="173"/>
  <c r="F121" i="173"/>
  <c r="F118" i="173"/>
  <c r="F115" i="173"/>
  <c r="F112" i="173"/>
  <c r="F109" i="173"/>
  <c r="F106" i="173"/>
  <c r="F103" i="173"/>
  <c r="F100" i="173"/>
  <c r="F97" i="173"/>
  <c r="F94" i="173"/>
  <c r="F91" i="173"/>
  <c r="F88" i="173"/>
  <c r="F85" i="173"/>
  <c r="F82" i="173"/>
  <c r="F79" i="173"/>
  <c r="F76" i="173"/>
  <c r="F73" i="173"/>
  <c r="F70" i="173"/>
  <c r="F67" i="173"/>
  <c r="F64" i="173"/>
  <c r="F61" i="173"/>
  <c r="F55" i="173"/>
  <c r="F52" i="173"/>
  <c r="F49" i="173"/>
  <c r="F46" i="173"/>
  <c r="F43" i="173"/>
  <c r="F40" i="173"/>
  <c r="F37" i="173"/>
  <c r="F34" i="173"/>
  <c r="F31" i="173"/>
  <c r="F28" i="173"/>
  <c r="F25" i="173"/>
  <c r="F58" i="173" s="1"/>
  <c r="F22" i="173"/>
  <c r="F19" i="173"/>
  <c r="F16" i="173"/>
  <c r="F13" i="173"/>
  <c r="J10" i="173"/>
  <c r="J9" i="173"/>
  <c r="J613" i="172"/>
  <c r="F610" i="172"/>
  <c r="C610" i="172"/>
  <c r="F607" i="172"/>
  <c r="F604" i="172"/>
  <c r="F601" i="172"/>
  <c r="F598" i="172"/>
  <c r="F595" i="172"/>
  <c r="F592" i="172"/>
  <c r="F589" i="172"/>
  <c r="F586" i="172"/>
  <c r="F583" i="172"/>
  <c r="F580" i="172"/>
  <c r="F577" i="172"/>
  <c r="F574" i="172"/>
  <c r="F571" i="172"/>
  <c r="F568" i="172"/>
  <c r="F565" i="172"/>
  <c r="F562" i="172"/>
  <c r="F559" i="172"/>
  <c r="F556" i="172"/>
  <c r="F553" i="172"/>
  <c r="F550" i="172"/>
  <c r="F547" i="172"/>
  <c r="F544" i="172"/>
  <c r="F541" i="172"/>
  <c r="F538" i="172"/>
  <c r="F535" i="172"/>
  <c r="F532" i="172"/>
  <c r="F529" i="172"/>
  <c r="F526" i="172"/>
  <c r="F523" i="172"/>
  <c r="F520" i="172"/>
  <c r="F517" i="172"/>
  <c r="F514" i="172"/>
  <c r="F511" i="172"/>
  <c r="F508" i="172"/>
  <c r="F505" i="172"/>
  <c r="F502" i="172"/>
  <c r="F499" i="172"/>
  <c r="F496" i="172"/>
  <c r="F493" i="172"/>
  <c r="F490" i="172"/>
  <c r="F487" i="172"/>
  <c r="F484" i="172"/>
  <c r="F481" i="172"/>
  <c r="F478" i="172"/>
  <c r="F475" i="172"/>
  <c r="F472" i="172"/>
  <c r="F469" i="172"/>
  <c r="F466" i="172"/>
  <c r="F463" i="172"/>
  <c r="F460" i="172"/>
  <c r="F457" i="172"/>
  <c r="F454" i="172"/>
  <c r="F451" i="172"/>
  <c r="F448" i="172"/>
  <c r="F445" i="172"/>
  <c r="F442" i="172"/>
  <c r="F439" i="172"/>
  <c r="F436" i="172"/>
  <c r="F433" i="172"/>
  <c r="F430" i="172"/>
  <c r="F427" i="172"/>
  <c r="F424" i="172"/>
  <c r="F421" i="172"/>
  <c r="F418" i="172"/>
  <c r="F415" i="172"/>
  <c r="F412" i="172"/>
  <c r="F409" i="172"/>
  <c r="F406" i="172"/>
  <c r="F403" i="172"/>
  <c r="F400" i="172"/>
  <c r="F397" i="172"/>
  <c r="F394" i="172"/>
  <c r="F391" i="172"/>
  <c r="F388" i="172"/>
  <c r="F385" i="172"/>
  <c r="F382" i="172"/>
  <c r="F379" i="172"/>
  <c r="F376" i="172"/>
  <c r="F373" i="172"/>
  <c r="F370" i="172"/>
  <c r="F367" i="172"/>
  <c r="F364" i="172"/>
  <c r="F361" i="172"/>
  <c r="F358" i="172"/>
  <c r="F355" i="172"/>
  <c r="F352" i="172"/>
  <c r="F349" i="172"/>
  <c r="F346" i="172"/>
  <c r="F343" i="172"/>
  <c r="F340" i="172"/>
  <c r="F337" i="172"/>
  <c r="F334" i="172"/>
  <c r="F331" i="172"/>
  <c r="F328" i="172"/>
  <c r="F325" i="172"/>
  <c r="F322" i="172"/>
  <c r="F319" i="172"/>
  <c r="F316" i="172"/>
  <c r="F313" i="172"/>
  <c r="F310" i="172"/>
  <c r="F307" i="172"/>
  <c r="F304" i="172"/>
  <c r="F301" i="172"/>
  <c r="F298" i="172"/>
  <c r="F295" i="172"/>
  <c r="F292" i="172"/>
  <c r="F289" i="172"/>
  <c r="F286" i="172"/>
  <c r="F283" i="172"/>
  <c r="F280" i="172"/>
  <c r="F277" i="172"/>
  <c r="F274" i="172"/>
  <c r="F271" i="172"/>
  <c r="F268" i="172"/>
  <c r="F265" i="172"/>
  <c r="F262" i="172"/>
  <c r="F259" i="172"/>
  <c r="F256" i="172"/>
  <c r="F253" i="172"/>
  <c r="F250" i="172"/>
  <c r="F247" i="172"/>
  <c r="F244" i="172"/>
  <c r="F241" i="172"/>
  <c r="F238" i="172"/>
  <c r="F235" i="172"/>
  <c r="F232" i="172"/>
  <c r="F229" i="172"/>
  <c r="F226" i="172"/>
  <c r="F223" i="172"/>
  <c r="F220" i="172"/>
  <c r="F217" i="172"/>
  <c r="F214" i="172"/>
  <c r="F211" i="172"/>
  <c r="F208" i="172"/>
  <c r="F205" i="172"/>
  <c r="F202" i="172"/>
  <c r="F199" i="172"/>
  <c r="F196" i="172"/>
  <c r="F193" i="172"/>
  <c r="F190" i="172"/>
  <c r="F187" i="172"/>
  <c r="F184" i="172"/>
  <c r="F181" i="172"/>
  <c r="F178" i="172"/>
  <c r="F175" i="172"/>
  <c r="F172" i="172"/>
  <c r="F169" i="172"/>
  <c r="F166" i="172"/>
  <c r="F163" i="172"/>
  <c r="F160" i="172"/>
  <c r="F157" i="172"/>
  <c r="F154" i="172"/>
  <c r="F151" i="172"/>
  <c r="F148" i="172"/>
  <c r="F145" i="172"/>
  <c r="F142" i="172"/>
  <c r="F139" i="172"/>
  <c r="F136" i="172"/>
  <c r="F133" i="172"/>
  <c r="F130" i="172"/>
  <c r="F127" i="172"/>
  <c r="F124" i="172"/>
  <c r="F121" i="172"/>
  <c r="F118" i="172"/>
  <c r="F115" i="172"/>
  <c r="F112" i="172"/>
  <c r="F109" i="172"/>
  <c r="F106" i="172"/>
  <c r="F103" i="172"/>
  <c r="F100" i="172"/>
  <c r="F97" i="172"/>
  <c r="F94" i="172"/>
  <c r="F91" i="172"/>
  <c r="F88" i="172"/>
  <c r="F85" i="172"/>
  <c r="F82" i="172"/>
  <c r="F79" i="172"/>
  <c r="F76" i="172"/>
  <c r="F73" i="172"/>
  <c r="F70" i="172"/>
  <c r="F67" i="172"/>
  <c r="F64" i="172"/>
  <c r="F61" i="172"/>
  <c r="F55" i="172"/>
  <c r="F52" i="172"/>
  <c r="F49" i="172"/>
  <c r="F46" i="172"/>
  <c r="F43" i="172"/>
  <c r="F40" i="172"/>
  <c r="F37" i="172"/>
  <c r="F34" i="172"/>
  <c r="F31" i="172"/>
  <c r="F28" i="172"/>
  <c r="F25" i="172"/>
  <c r="F22" i="172"/>
  <c r="F19" i="172"/>
  <c r="F16" i="172"/>
  <c r="F13" i="172"/>
  <c r="J10" i="172"/>
  <c r="J9" i="172"/>
  <c r="J613" i="171"/>
  <c r="F610" i="171"/>
  <c r="C610" i="171"/>
  <c r="F607" i="171"/>
  <c r="F604" i="171"/>
  <c r="F601" i="171"/>
  <c r="F598" i="171"/>
  <c r="F595" i="171"/>
  <c r="F592" i="171"/>
  <c r="F589" i="171"/>
  <c r="F586" i="171"/>
  <c r="F583" i="171"/>
  <c r="F580" i="171"/>
  <c r="F577" i="171"/>
  <c r="F574" i="171"/>
  <c r="F571" i="171"/>
  <c r="F568" i="171"/>
  <c r="F565" i="171"/>
  <c r="F562" i="171"/>
  <c r="F559" i="171"/>
  <c r="F556" i="171"/>
  <c r="F553" i="171"/>
  <c r="F550" i="171"/>
  <c r="F547" i="171"/>
  <c r="F544" i="171"/>
  <c r="F541" i="171"/>
  <c r="F538" i="171"/>
  <c r="F535" i="171"/>
  <c r="F532" i="171"/>
  <c r="F529" i="171"/>
  <c r="F526" i="171"/>
  <c r="F523" i="171"/>
  <c r="F520" i="171"/>
  <c r="F517" i="171"/>
  <c r="F514" i="171"/>
  <c r="F511" i="171"/>
  <c r="F508" i="171"/>
  <c r="F505" i="171"/>
  <c r="F502" i="171"/>
  <c r="F499" i="171"/>
  <c r="F496" i="171"/>
  <c r="F493" i="171"/>
  <c r="F490" i="171"/>
  <c r="F487" i="171"/>
  <c r="F484" i="171"/>
  <c r="F481" i="171"/>
  <c r="F478" i="171"/>
  <c r="F475" i="171"/>
  <c r="F472" i="171"/>
  <c r="F469" i="171"/>
  <c r="F466" i="171"/>
  <c r="F463" i="171"/>
  <c r="F460" i="171"/>
  <c r="F457" i="171"/>
  <c r="F454" i="171"/>
  <c r="F451" i="171"/>
  <c r="F448" i="171"/>
  <c r="F445" i="171"/>
  <c r="F442" i="171"/>
  <c r="F439" i="171"/>
  <c r="F436" i="171"/>
  <c r="F433" i="171"/>
  <c r="F430" i="171"/>
  <c r="F427" i="171"/>
  <c r="F424" i="171"/>
  <c r="F421" i="171"/>
  <c r="F418" i="171"/>
  <c r="F415" i="171"/>
  <c r="F412" i="171"/>
  <c r="F409" i="171"/>
  <c r="F406" i="171"/>
  <c r="F403" i="171"/>
  <c r="F400" i="171"/>
  <c r="F397" i="171"/>
  <c r="F394" i="171"/>
  <c r="F391" i="171"/>
  <c r="F388" i="171"/>
  <c r="F385" i="171"/>
  <c r="F382" i="171"/>
  <c r="F379" i="171"/>
  <c r="F376" i="171"/>
  <c r="F373" i="171"/>
  <c r="F370" i="171"/>
  <c r="F367" i="171"/>
  <c r="F364" i="171"/>
  <c r="F361" i="171"/>
  <c r="F358" i="171"/>
  <c r="F355" i="171"/>
  <c r="F352" i="171"/>
  <c r="F349" i="171"/>
  <c r="F346" i="171"/>
  <c r="F343" i="171"/>
  <c r="F340" i="171"/>
  <c r="F337" i="171"/>
  <c r="F334" i="171"/>
  <c r="F331" i="171"/>
  <c r="F328" i="171"/>
  <c r="F325" i="171"/>
  <c r="F322" i="171"/>
  <c r="F319" i="171"/>
  <c r="F316" i="171"/>
  <c r="F313" i="171"/>
  <c r="F310" i="171"/>
  <c r="F307" i="171"/>
  <c r="F304" i="171"/>
  <c r="F301" i="171"/>
  <c r="F298" i="171"/>
  <c r="F295" i="171"/>
  <c r="F292" i="171"/>
  <c r="F289" i="171"/>
  <c r="F286" i="171"/>
  <c r="F283" i="171"/>
  <c r="F280" i="171"/>
  <c r="F277" i="171"/>
  <c r="F274" i="171"/>
  <c r="F271" i="171"/>
  <c r="F268" i="171"/>
  <c r="F265" i="171"/>
  <c r="F262" i="171"/>
  <c r="F259" i="171"/>
  <c r="F256" i="171"/>
  <c r="F253" i="171"/>
  <c r="F250" i="171"/>
  <c r="F247" i="171"/>
  <c r="F244" i="171"/>
  <c r="F241" i="171"/>
  <c r="F238" i="171"/>
  <c r="F235" i="171"/>
  <c r="F232" i="171"/>
  <c r="F229" i="171"/>
  <c r="F226" i="171"/>
  <c r="F223" i="171"/>
  <c r="F220" i="171"/>
  <c r="F217" i="171"/>
  <c r="F214" i="171"/>
  <c r="F211" i="171"/>
  <c r="F208" i="171"/>
  <c r="F205" i="171"/>
  <c r="F202" i="171"/>
  <c r="F199" i="171"/>
  <c r="F196" i="171"/>
  <c r="F193" i="171"/>
  <c r="F190" i="171"/>
  <c r="F187" i="171"/>
  <c r="F184" i="171"/>
  <c r="F181" i="171"/>
  <c r="F178" i="171"/>
  <c r="F175" i="171"/>
  <c r="F172" i="171"/>
  <c r="F169" i="171"/>
  <c r="F166" i="171"/>
  <c r="F163" i="171"/>
  <c r="F160" i="171"/>
  <c r="F157" i="171"/>
  <c r="F154" i="171"/>
  <c r="F151" i="171"/>
  <c r="F148" i="171"/>
  <c r="F145" i="171"/>
  <c r="F142" i="171"/>
  <c r="F139" i="171"/>
  <c r="F136" i="171"/>
  <c r="F133" i="171"/>
  <c r="F130" i="171"/>
  <c r="F127" i="171"/>
  <c r="F124" i="171"/>
  <c r="F121" i="171"/>
  <c r="F118" i="171"/>
  <c r="F115" i="171"/>
  <c r="F112" i="171"/>
  <c r="F109" i="171"/>
  <c r="F106" i="171"/>
  <c r="F103" i="171"/>
  <c r="F100" i="171"/>
  <c r="F97" i="171"/>
  <c r="F94" i="171"/>
  <c r="F91" i="171"/>
  <c r="F88" i="171"/>
  <c r="F85" i="171"/>
  <c r="F82" i="171"/>
  <c r="F79" i="171"/>
  <c r="F76" i="171"/>
  <c r="F73" i="171"/>
  <c r="F70" i="171"/>
  <c r="F67" i="171"/>
  <c r="F64" i="171"/>
  <c r="F61" i="171"/>
  <c r="F55" i="171"/>
  <c r="F52" i="171"/>
  <c r="F49" i="171"/>
  <c r="F46" i="171"/>
  <c r="F43" i="171"/>
  <c r="F40" i="171"/>
  <c r="F37" i="171"/>
  <c r="F34" i="171"/>
  <c r="F31" i="171"/>
  <c r="F28" i="171"/>
  <c r="F25" i="171"/>
  <c r="F58" i="171" s="1"/>
  <c r="F22" i="171"/>
  <c r="F19" i="171"/>
  <c r="F16" i="171"/>
  <c r="F13" i="171"/>
  <c r="J10" i="171"/>
  <c r="J9" i="171"/>
  <c r="H8" i="171"/>
  <c r="J613" i="170"/>
  <c r="F610" i="170"/>
  <c r="C610" i="170"/>
  <c r="F607" i="170"/>
  <c r="F604" i="170"/>
  <c r="F601" i="170"/>
  <c r="F598" i="170"/>
  <c r="F595" i="170"/>
  <c r="F592" i="170"/>
  <c r="F589" i="170"/>
  <c r="F586" i="170"/>
  <c r="F583" i="170"/>
  <c r="F580" i="170"/>
  <c r="F577" i="170"/>
  <c r="F574" i="170"/>
  <c r="F571" i="170"/>
  <c r="F568" i="170"/>
  <c r="F565" i="170"/>
  <c r="F562" i="170"/>
  <c r="F559" i="170"/>
  <c r="F556" i="170"/>
  <c r="F553" i="170"/>
  <c r="F550" i="170"/>
  <c r="F547" i="170"/>
  <c r="F544" i="170"/>
  <c r="F541" i="170"/>
  <c r="F538" i="170"/>
  <c r="F535" i="170"/>
  <c r="F532" i="170"/>
  <c r="F529" i="170"/>
  <c r="F526" i="170"/>
  <c r="F523" i="170"/>
  <c r="F520" i="170"/>
  <c r="F517" i="170"/>
  <c r="F514" i="170"/>
  <c r="F511" i="170"/>
  <c r="F508" i="170"/>
  <c r="F505" i="170"/>
  <c r="F502" i="170"/>
  <c r="F499" i="170"/>
  <c r="F496" i="170"/>
  <c r="F493" i="170"/>
  <c r="F490" i="170"/>
  <c r="F487" i="170"/>
  <c r="F484" i="170"/>
  <c r="F481" i="170"/>
  <c r="F478" i="170"/>
  <c r="F475" i="170"/>
  <c r="F472" i="170"/>
  <c r="F469" i="170"/>
  <c r="F466" i="170"/>
  <c r="F463" i="170"/>
  <c r="F460" i="170"/>
  <c r="F457" i="170"/>
  <c r="F454" i="170"/>
  <c r="F451" i="170"/>
  <c r="F448" i="170"/>
  <c r="F445" i="170"/>
  <c r="F442" i="170"/>
  <c r="F439" i="170"/>
  <c r="F436" i="170"/>
  <c r="F433" i="170"/>
  <c r="F430" i="170"/>
  <c r="F427" i="170"/>
  <c r="F424" i="170"/>
  <c r="F421" i="170"/>
  <c r="F418" i="170"/>
  <c r="F415" i="170"/>
  <c r="F412" i="170"/>
  <c r="F409" i="170"/>
  <c r="F406" i="170"/>
  <c r="F403" i="170"/>
  <c r="F400" i="170"/>
  <c r="F397" i="170"/>
  <c r="F394" i="170"/>
  <c r="F391" i="170"/>
  <c r="F388" i="170"/>
  <c r="F385" i="170"/>
  <c r="F382" i="170"/>
  <c r="F379" i="170"/>
  <c r="F376" i="170"/>
  <c r="F373" i="170"/>
  <c r="F370" i="170"/>
  <c r="F367" i="170"/>
  <c r="F364" i="170"/>
  <c r="F361" i="170"/>
  <c r="F358" i="170"/>
  <c r="F355" i="170"/>
  <c r="F352" i="170"/>
  <c r="F349" i="170"/>
  <c r="F346" i="170"/>
  <c r="F343" i="170"/>
  <c r="F340" i="170"/>
  <c r="F337" i="170"/>
  <c r="F334" i="170"/>
  <c r="F331" i="170"/>
  <c r="F328" i="170"/>
  <c r="F325" i="170"/>
  <c r="F322" i="170"/>
  <c r="F319" i="170"/>
  <c r="F316" i="170"/>
  <c r="F313" i="170"/>
  <c r="F310" i="170"/>
  <c r="F307" i="170"/>
  <c r="F304" i="170"/>
  <c r="F301" i="170"/>
  <c r="F298" i="170"/>
  <c r="F295" i="170"/>
  <c r="F292" i="170"/>
  <c r="F289" i="170"/>
  <c r="F286" i="170"/>
  <c r="F283" i="170"/>
  <c r="F280" i="170"/>
  <c r="F277" i="170"/>
  <c r="F274" i="170"/>
  <c r="F271" i="170"/>
  <c r="F268" i="170"/>
  <c r="F265" i="170"/>
  <c r="F262" i="170"/>
  <c r="F259" i="170"/>
  <c r="F256" i="170"/>
  <c r="F253" i="170"/>
  <c r="F250" i="170"/>
  <c r="F247" i="170"/>
  <c r="F244" i="170"/>
  <c r="F241" i="170"/>
  <c r="F238" i="170"/>
  <c r="F235" i="170"/>
  <c r="F232" i="170"/>
  <c r="F229" i="170"/>
  <c r="F226" i="170"/>
  <c r="F223" i="170"/>
  <c r="F220" i="170"/>
  <c r="F217" i="170"/>
  <c r="F214" i="170"/>
  <c r="F211" i="170"/>
  <c r="F208" i="170"/>
  <c r="F205" i="170"/>
  <c r="F202" i="170"/>
  <c r="F199" i="170"/>
  <c r="F196" i="170"/>
  <c r="F193" i="170"/>
  <c r="F190" i="170"/>
  <c r="F187" i="170"/>
  <c r="F184" i="170"/>
  <c r="F181" i="170"/>
  <c r="F178" i="170"/>
  <c r="F175" i="170"/>
  <c r="F172" i="170"/>
  <c r="F169" i="170"/>
  <c r="F166" i="170"/>
  <c r="F163" i="170"/>
  <c r="F160" i="170"/>
  <c r="F157" i="170"/>
  <c r="F154" i="170"/>
  <c r="F151" i="170"/>
  <c r="F148" i="170"/>
  <c r="F145" i="170"/>
  <c r="F142" i="170"/>
  <c r="F139" i="170"/>
  <c r="F136" i="170"/>
  <c r="F133" i="170"/>
  <c r="F130" i="170"/>
  <c r="F127" i="170"/>
  <c r="F124" i="170"/>
  <c r="F121" i="170"/>
  <c r="F118" i="170"/>
  <c r="F115" i="170"/>
  <c r="F112" i="170"/>
  <c r="F109" i="170"/>
  <c r="F106" i="170"/>
  <c r="F103" i="170"/>
  <c r="F100" i="170"/>
  <c r="F97" i="170"/>
  <c r="F94" i="170"/>
  <c r="F91" i="170"/>
  <c r="F88" i="170"/>
  <c r="F85" i="170"/>
  <c r="F82" i="170"/>
  <c r="F79" i="170"/>
  <c r="F76" i="170"/>
  <c r="F73" i="170"/>
  <c r="F70" i="170"/>
  <c r="F67" i="170"/>
  <c r="F64" i="170"/>
  <c r="F61" i="170"/>
  <c r="F58" i="170"/>
  <c r="F55" i="170"/>
  <c r="F52" i="170"/>
  <c r="F49" i="170"/>
  <c r="F46" i="170"/>
  <c r="F43" i="170"/>
  <c r="F40" i="170"/>
  <c r="F37" i="170"/>
  <c r="F34" i="170"/>
  <c r="F31" i="170"/>
  <c r="F28" i="170"/>
  <c r="F25" i="170"/>
  <c r="F22" i="170"/>
  <c r="F19" i="170"/>
  <c r="F16" i="170"/>
  <c r="F13" i="170"/>
  <c r="J10" i="170"/>
  <c r="J9" i="170"/>
  <c r="E135" i="169"/>
  <c r="E127" i="169"/>
  <c r="E124" i="169"/>
  <c r="E119" i="169"/>
  <c r="E112" i="169"/>
  <c r="E108" i="169"/>
  <c r="E104" i="169"/>
  <c r="E97" i="169"/>
  <c r="E92" i="169"/>
  <c r="E87" i="169"/>
  <c r="E86" i="169" s="1"/>
  <c r="E81" i="169"/>
  <c r="E76" i="169"/>
  <c r="E72" i="169"/>
  <c r="D67" i="169"/>
  <c r="D66" i="169"/>
  <c r="D65" i="169"/>
  <c r="E64" i="169"/>
  <c r="D64" i="169"/>
  <c r="D63" i="169"/>
  <c r="D62" i="169"/>
  <c r="E61" i="169"/>
  <c r="D61" i="169"/>
  <c r="D60" i="169"/>
  <c r="D59" i="169"/>
  <c r="D58" i="169"/>
  <c r="D57" i="169"/>
  <c r="E56" i="169"/>
  <c r="E55" i="169" s="1"/>
  <c r="D56" i="169"/>
  <c r="D55" i="169"/>
  <c r="D54" i="169"/>
  <c r="D53" i="169"/>
  <c r="D52" i="169"/>
  <c r="D51" i="169"/>
  <c r="D50" i="169"/>
  <c r="E49" i="169"/>
  <c r="D49" i="169"/>
  <c r="D48" i="169"/>
  <c r="D47" i="169"/>
  <c r="D46" i="169"/>
  <c r="E45" i="169"/>
  <c r="D45" i="169"/>
  <c r="D44" i="169"/>
  <c r="D43" i="169"/>
  <c r="D42" i="169"/>
  <c r="E41" i="169"/>
  <c r="D41" i="169"/>
  <c r="D40" i="169"/>
  <c r="D39" i="169"/>
  <c r="D38" i="169"/>
  <c r="D37" i="169"/>
  <c r="D36" i="169"/>
  <c r="D35" i="169"/>
  <c r="E34" i="169"/>
  <c r="D34" i="169"/>
  <c r="D33" i="169"/>
  <c r="D32" i="169"/>
  <c r="D31" i="169"/>
  <c r="D30" i="169"/>
  <c r="E29" i="169"/>
  <c r="D29" i="169"/>
  <c r="D28" i="169"/>
  <c r="D27" i="169"/>
  <c r="D26" i="169"/>
  <c r="D25" i="169"/>
  <c r="E24" i="169"/>
  <c r="E23" i="169" s="1"/>
  <c r="D24" i="169"/>
  <c r="D23" i="169"/>
  <c r="D22" i="169"/>
  <c r="D21" i="169"/>
  <c r="D20" i="169"/>
  <c r="D19" i="169"/>
  <c r="E18" i="169"/>
  <c r="D18" i="169"/>
  <c r="D17" i="169"/>
  <c r="D16" i="169"/>
  <c r="D15" i="169"/>
  <c r="D14" i="169"/>
  <c r="E13" i="169"/>
  <c r="D13" i="169"/>
  <c r="D12" i="169"/>
  <c r="D11" i="169"/>
  <c r="E9" i="169"/>
  <c r="E89" i="168"/>
  <c r="D77" i="168"/>
  <c r="D110" i="168" s="1"/>
  <c r="E63" i="168"/>
  <c r="E52" i="168"/>
  <c r="E48" i="168"/>
  <c r="D48" i="168"/>
  <c r="D55" i="168" s="1"/>
  <c r="E44" i="168"/>
  <c r="E40" i="168"/>
  <c r="E36" i="168"/>
  <c r="E34" i="168"/>
  <c r="D28" i="168"/>
  <c r="D27" i="168"/>
  <c r="D26" i="168"/>
  <c r="E25" i="168"/>
  <c r="D25" i="168"/>
  <c r="C25" i="168"/>
  <c r="E23" i="168"/>
  <c r="D17" i="168"/>
  <c r="D16" i="168"/>
  <c r="D15" i="168"/>
  <c r="E14" i="168"/>
  <c r="D14" i="168"/>
  <c r="C14" i="168"/>
  <c r="E12" i="168"/>
  <c r="E103" i="168" l="1" a="1"/>
  <c r="E12" i="169"/>
  <c r="E11" i="169" s="1"/>
  <c r="E75" i="169"/>
  <c r="E74" i="169" s="1"/>
  <c r="E103" i="169"/>
  <c r="E118" i="169"/>
  <c r="E79" i="50"/>
  <c r="E81" i="168" a="1"/>
  <c r="E84" i="168" s="1"/>
  <c r="E40" i="169"/>
  <c r="E78" i="50" s="1"/>
  <c r="G216" i="177" s="1"/>
  <c r="D81" i="168"/>
  <c r="D84" i="168"/>
  <c r="D79" i="168"/>
  <c r="D82" i="168"/>
  <c r="E137" i="169" a="1"/>
  <c r="E106" i="168"/>
  <c r="E104" i="168"/>
  <c r="E105" i="168"/>
  <c r="E103" i="168"/>
  <c r="D49" i="168"/>
  <c r="D51" i="168"/>
  <c r="D54" i="168"/>
  <c r="E69" i="168" a="1"/>
  <c r="E77" i="168" a="1"/>
  <c r="E91" i="168" a="1"/>
  <c r="E99" i="168" a="1"/>
  <c r="D103" i="168"/>
  <c r="D104" i="168"/>
  <c r="D106" i="168"/>
  <c r="E107" i="168" a="1"/>
  <c r="D109" i="168"/>
  <c r="D50" i="168"/>
  <c r="D52" i="168"/>
  <c r="D53" i="168"/>
  <c r="E65" i="168" a="1"/>
  <c r="E73" i="168" a="1"/>
  <c r="D78" i="168"/>
  <c r="D80" i="168"/>
  <c r="D83" i="168"/>
  <c r="E95" i="168" a="1"/>
  <c r="D105" i="168"/>
  <c r="D107" i="168"/>
  <c r="D108" i="168"/>
  <c r="B71" i="50"/>
  <c r="B209" i="167"/>
  <c r="B14" i="54" s="1"/>
  <c r="B194" i="167"/>
  <c r="B13" i="54" s="1"/>
  <c r="E82" i="168" l="1"/>
  <c r="E81" i="168"/>
  <c r="E83" i="168"/>
  <c r="E192" i="169"/>
  <c r="E190" i="169"/>
  <c r="E188" i="169"/>
  <c r="E186" i="169"/>
  <c r="E184" i="169"/>
  <c r="E182" i="169"/>
  <c r="E180" i="169"/>
  <c r="E178" i="169"/>
  <c r="E176" i="169"/>
  <c r="E174" i="169"/>
  <c r="E172" i="169"/>
  <c r="E170" i="169"/>
  <c r="E168" i="169"/>
  <c r="E166" i="169"/>
  <c r="E164" i="169"/>
  <c r="E162" i="169"/>
  <c r="E160" i="169"/>
  <c r="E158" i="169"/>
  <c r="E156" i="169"/>
  <c r="E154" i="169"/>
  <c r="E152" i="169"/>
  <c r="E150" i="169"/>
  <c r="E148" i="169"/>
  <c r="E146" i="169"/>
  <c r="E144" i="169"/>
  <c r="E142" i="169"/>
  <c r="E140" i="169"/>
  <c r="E138" i="169"/>
  <c r="E191" i="169"/>
  <c r="E187" i="169"/>
  <c r="E183" i="169"/>
  <c r="E179" i="169"/>
  <c r="E175" i="169"/>
  <c r="E171" i="169"/>
  <c r="E167" i="169"/>
  <c r="E163" i="169"/>
  <c r="E159" i="169"/>
  <c r="E155" i="169"/>
  <c r="E151" i="169"/>
  <c r="E147" i="169"/>
  <c r="E143" i="169"/>
  <c r="E139" i="169"/>
  <c r="E193" i="169"/>
  <c r="E189" i="169"/>
  <c r="E185" i="169"/>
  <c r="E181" i="169"/>
  <c r="E177" i="169"/>
  <c r="E173" i="169"/>
  <c r="E169" i="169"/>
  <c r="E165" i="169"/>
  <c r="E161" i="169"/>
  <c r="E157" i="169"/>
  <c r="E153" i="169"/>
  <c r="E149" i="169"/>
  <c r="E145" i="169"/>
  <c r="E141" i="169"/>
  <c r="E137" i="169"/>
  <c r="E76" i="168"/>
  <c r="E74" i="168"/>
  <c r="E75" i="168"/>
  <c r="E73" i="168"/>
  <c r="E93" i="168"/>
  <c r="E91" i="168"/>
  <c r="E94" i="168"/>
  <c r="E92" i="168"/>
  <c r="E71" i="168"/>
  <c r="E69" i="168"/>
  <c r="E72" i="168"/>
  <c r="E70" i="168"/>
  <c r="E98" i="168"/>
  <c r="E96" i="168"/>
  <c r="E97" i="168"/>
  <c r="E95" i="168"/>
  <c r="E68" i="168"/>
  <c r="E66" i="168"/>
  <c r="E67" i="168"/>
  <c r="E65" i="168"/>
  <c r="E109" i="168"/>
  <c r="E107" i="168"/>
  <c r="E110" i="168"/>
  <c r="E108" i="168"/>
  <c r="E101" i="168"/>
  <c r="E99" i="168"/>
  <c r="E102" i="168"/>
  <c r="E100" i="168"/>
  <c r="E79" i="168"/>
  <c r="E77" i="168"/>
  <c r="E80" i="168"/>
  <c r="E78" i="168"/>
  <c r="F218" i="167"/>
  <c r="F214" i="167"/>
  <c r="E210" i="167"/>
  <c r="F211" i="167"/>
  <c r="E211" i="167"/>
  <c r="C229" i="167"/>
  <c r="C228" i="167"/>
  <c r="C233" i="167"/>
  <c r="C218" i="167"/>
  <c r="C214" i="167"/>
  <c r="C213" i="167"/>
  <c r="C203" i="167"/>
  <c r="C199" i="167"/>
  <c r="C198" i="167"/>
  <c r="E226" i="167"/>
  <c r="E218" i="167"/>
  <c r="E214" i="167"/>
  <c r="E213" i="167" s="1"/>
  <c r="E203" i="167"/>
  <c r="E199" i="167"/>
  <c r="E198" i="167" l="1"/>
  <c r="F213" i="167"/>
  <c r="E196" i="167"/>
  <c r="D170" i="167"/>
  <c r="D136" i="167"/>
  <c r="D168" i="167" s="1"/>
  <c r="C136" i="167" a="1"/>
  <c r="C189" i="167" s="1"/>
  <c r="E134" i="167"/>
  <c r="E124" i="167"/>
  <c r="E123" i="167" s="1"/>
  <c r="E117" i="167"/>
  <c r="E113" i="167"/>
  <c r="E109" i="167"/>
  <c r="D108" i="167"/>
  <c r="E103" i="167"/>
  <c r="E98" i="167"/>
  <c r="E97" i="167" s="1"/>
  <c r="E92" i="167"/>
  <c r="E87" i="167"/>
  <c r="E81" i="167"/>
  <c r="E76" i="167"/>
  <c r="D74" i="167"/>
  <c r="D106" i="167" s="1"/>
  <c r="C74" i="167" a="1"/>
  <c r="C129" i="167" s="1"/>
  <c r="E72" i="167"/>
  <c r="D67" i="167"/>
  <c r="D66" i="167"/>
  <c r="D65" i="167"/>
  <c r="D64" i="167"/>
  <c r="D63" i="167"/>
  <c r="E62" i="167"/>
  <c r="D62" i="167"/>
  <c r="E61" i="167"/>
  <c r="D61" i="167"/>
  <c r="D60" i="167"/>
  <c r="D59" i="167"/>
  <c r="D58" i="167"/>
  <c r="D57" i="167"/>
  <c r="D56" i="167"/>
  <c r="E55" i="167"/>
  <c r="D55" i="167"/>
  <c r="D54" i="167"/>
  <c r="D53" i="167"/>
  <c r="D52" i="167"/>
  <c r="E51" i="167"/>
  <c r="D51" i="167"/>
  <c r="D50" i="167"/>
  <c r="D49" i="167"/>
  <c r="D48" i="167"/>
  <c r="E47" i="167"/>
  <c r="D47" i="167"/>
  <c r="D46" i="167"/>
  <c r="D45" i="167"/>
  <c r="D44" i="167"/>
  <c r="D43" i="167"/>
  <c r="D42" i="167"/>
  <c r="E41" i="167"/>
  <c r="D41" i="167"/>
  <c r="D40" i="167"/>
  <c r="D39" i="167"/>
  <c r="D38" i="167"/>
  <c r="D37" i="167"/>
  <c r="E36" i="167"/>
  <c r="E35" i="167" s="1"/>
  <c r="E29" i="168" s="1"/>
  <c r="D36" i="167"/>
  <c r="D35" i="167"/>
  <c r="D34" i="167"/>
  <c r="D33" i="167"/>
  <c r="D32" i="167"/>
  <c r="D31" i="167"/>
  <c r="E30" i="167"/>
  <c r="D30" i="167"/>
  <c r="D29" i="167"/>
  <c r="D28" i="167"/>
  <c r="D27" i="167"/>
  <c r="D26" i="167"/>
  <c r="E25" i="167"/>
  <c r="D25" i="167"/>
  <c r="E24" i="167"/>
  <c r="D24" i="167"/>
  <c r="D23" i="167"/>
  <c r="D22" i="167"/>
  <c r="D21" i="167"/>
  <c r="D20" i="167"/>
  <c r="E19" i="167"/>
  <c r="D19" i="167"/>
  <c r="D18" i="167"/>
  <c r="D17" i="167"/>
  <c r="D16" i="167"/>
  <c r="D15" i="167"/>
  <c r="E14" i="167"/>
  <c r="E13" i="167" s="1"/>
  <c r="D12" i="167"/>
  <c r="E10" i="167"/>
  <c r="C1" i="167"/>
  <c r="E12" i="167" l="1"/>
  <c r="E86" i="167"/>
  <c r="E75" i="167"/>
  <c r="E74" i="167" s="1"/>
  <c r="D89" i="167"/>
  <c r="D96" i="167"/>
  <c r="D102" i="167"/>
  <c r="D105" i="167"/>
  <c r="E108" i="167"/>
  <c r="D191" i="167"/>
  <c r="D236" i="167"/>
  <c r="D234" i="167"/>
  <c r="D232" i="167"/>
  <c r="D230" i="167"/>
  <c r="D228" i="167"/>
  <c r="D235" i="167"/>
  <c r="D233" i="167"/>
  <c r="D231" i="167"/>
  <c r="D229" i="167"/>
  <c r="E80" i="50"/>
  <c r="E228" i="167" a="1"/>
  <c r="D80" i="167"/>
  <c r="D83" i="167"/>
  <c r="D128" i="167"/>
  <c r="D221" i="167"/>
  <c r="D219" i="167"/>
  <c r="D217" i="167"/>
  <c r="D215" i="167"/>
  <c r="D213" i="167"/>
  <c r="D220" i="167"/>
  <c r="D218" i="167"/>
  <c r="D216" i="167"/>
  <c r="D214" i="167"/>
  <c r="D113" i="167"/>
  <c r="D114" i="167"/>
  <c r="D121" i="167"/>
  <c r="D127" i="167"/>
  <c r="E46" i="167"/>
  <c r="E77" i="50" s="1"/>
  <c r="E18" i="168" s="1"/>
  <c r="D78" i="167"/>
  <c r="D85" i="167"/>
  <c r="D91" i="167"/>
  <c r="D94" i="167"/>
  <c r="D100" i="167"/>
  <c r="D107" i="167"/>
  <c r="D111" i="167"/>
  <c r="D116" i="167"/>
  <c r="D119" i="167"/>
  <c r="D123" i="167"/>
  <c r="D124" i="167"/>
  <c r="D125" i="167"/>
  <c r="D129" i="167"/>
  <c r="D206" i="167"/>
  <c r="D204" i="167"/>
  <c r="D202" i="167"/>
  <c r="D200" i="167"/>
  <c r="D14" i="167"/>
  <c r="D198" i="167"/>
  <c r="D205" i="167"/>
  <c r="D203" i="167"/>
  <c r="D201" i="167"/>
  <c r="D199" i="167"/>
  <c r="D13" i="167"/>
  <c r="C74" i="167"/>
  <c r="C76" i="167"/>
  <c r="C78" i="167"/>
  <c r="C80" i="167"/>
  <c r="C82" i="167"/>
  <c r="C84" i="167"/>
  <c r="C86" i="167"/>
  <c r="C88" i="167"/>
  <c r="C90" i="167"/>
  <c r="C92" i="167"/>
  <c r="C94" i="167"/>
  <c r="C96" i="167"/>
  <c r="C98" i="167"/>
  <c r="C100" i="167"/>
  <c r="C102" i="167"/>
  <c r="C104" i="167"/>
  <c r="C106" i="167"/>
  <c r="C108" i="167"/>
  <c r="C110" i="167"/>
  <c r="C112" i="167"/>
  <c r="C114" i="167"/>
  <c r="C116" i="167"/>
  <c r="C118" i="167"/>
  <c r="C120" i="167"/>
  <c r="C122" i="167"/>
  <c r="C124" i="167"/>
  <c r="C126" i="167"/>
  <c r="C128" i="167"/>
  <c r="D75" i="167"/>
  <c r="D76" i="167"/>
  <c r="D77" i="167"/>
  <c r="D79" i="167"/>
  <c r="D81" i="167"/>
  <c r="D82" i="167"/>
  <c r="D84" i="167"/>
  <c r="D86" i="167"/>
  <c r="D87" i="167"/>
  <c r="D88" i="167"/>
  <c r="D90" i="167"/>
  <c r="D92" i="167"/>
  <c r="D93" i="167"/>
  <c r="D95" i="167"/>
  <c r="D97" i="167"/>
  <c r="D98" i="167"/>
  <c r="D99" i="167"/>
  <c r="D101" i="167"/>
  <c r="D103" i="167"/>
  <c r="D104" i="167"/>
  <c r="D109" i="167"/>
  <c r="D110" i="167"/>
  <c r="D112" i="167"/>
  <c r="D115" i="167"/>
  <c r="D117" i="167"/>
  <c r="D118" i="167"/>
  <c r="D120" i="167"/>
  <c r="D122" i="167"/>
  <c r="D126" i="167"/>
  <c r="C137" i="167"/>
  <c r="C141" i="167"/>
  <c r="C145" i="167"/>
  <c r="C149" i="167"/>
  <c r="C153" i="167"/>
  <c r="C157" i="167"/>
  <c r="C161" i="167"/>
  <c r="C165" i="167"/>
  <c r="C169" i="167"/>
  <c r="C173" i="167"/>
  <c r="C177" i="167"/>
  <c r="C181" i="167"/>
  <c r="C185" i="167"/>
  <c r="C75" i="167"/>
  <c r="C77" i="167"/>
  <c r="C79" i="167"/>
  <c r="C81" i="167"/>
  <c r="C83" i="167"/>
  <c r="C85" i="167"/>
  <c r="C87" i="167"/>
  <c r="C89" i="167"/>
  <c r="C91" i="167"/>
  <c r="C93" i="167"/>
  <c r="C95" i="167"/>
  <c r="C97" i="167"/>
  <c r="C99" i="167"/>
  <c r="C101" i="167"/>
  <c r="C103" i="167"/>
  <c r="C105" i="167"/>
  <c r="C107" i="167"/>
  <c r="C109" i="167"/>
  <c r="C111" i="167"/>
  <c r="C113" i="167"/>
  <c r="C115" i="167"/>
  <c r="C117" i="167"/>
  <c r="C119" i="167"/>
  <c r="C121" i="167"/>
  <c r="C123" i="167"/>
  <c r="C125" i="167"/>
  <c r="C127" i="167"/>
  <c r="C190" i="167"/>
  <c r="C188" i="167"/>
  <c r="C186" i="167"/>
  <c r="C184" i="167"/>
  <c r="C182" i="167"/>
  <c r="C180" i="167"/>
  <c r="C178" i="167"/>
  <c r="C176" i="167"/>
  <c r="C174" i="167"/>
  <c r="C172" i="167"/>
  <c r="C170" i="167"/>
  <c r="C168" i="167"/>
  <c r="C166" i="167"/>
  <c r="C164" i="167"/>
  <c r="C162" i="167"/>
  <c r="C160" i="167"/>
  <c r="C158" i="167"/>
  <c r="C156" i="167"/>
  <c r="C154" i="167"/>
  <c r="C152" i="167"/>
  <c r="C150" i="167"/>
  <c r="C148" i="167"/>
  <c r="C146" i="167"/>
  <c r="C144" i="167"/>
  <c r="C142" i="167"/>
  <c r="C140" i="167"/>
  <c r="C138" i="167"/>
  <c r="C136" i="167"/>
  <c r="C139" i="167"/>
  <c r="C143" i="167"/>
  <c r="C147" i="167"/>
  <c r="C151" i="167"/>
  <c r="C155" i="167"/>
  <c r="C159" i="167"/>
  <c r="C163" i="167"/>
  <c r="C167" i="167"/>
  <c r="C171" i="167"/>
  <c r="C175" i="167"/>
  <c r="C179" i="167"/>
  <c r="C183" i="167"/>
  <c r="C187" i="167"/>
  <c r="C191" i="167"/>
  <c r="D137" i="167"/>
  <c r="D139" i="167"/>
  <c r="D141" i="167"/>
  <c r="D144" i="167"/>
  <c r="D146" i="167"/>
  <c r="D148" i="167"/>
  <c r="D151" i="167"/>
  <c r="D153" i="167"/>
  <c r="D155" i="167"/>
  <c r="D158" i="167"/>
  <c r="D160" i="167"/>
  <c r="D162" i="167"/>
  <c r="D165" i="167"/>
  <c r="D167" i="167"/>
  <c r="D172" i="167"/>
  <c r="D174" i="167"/>
  <c r="D176" i="167"/>
  <c r="D178" i="167"/>
  <c r="D180" i="167"/>
  <c r="D182" i="167"/>
  <c r="D184" i="167"/>
  <c r="D186" i="167"/>
  <c r="D188" i="167"/>
  <c r="D190" i="167"/>
  <c r="D138" i="167"/>
  <c r="D140" i="167"/>
  <c r="D142" i="167"/>
  <c r="D145" i="167"/>
  <c r="D147" i="167"/>
  <c r="D149" i="167"/>
  <c r="D152" i="167"/>
  <c r="D154" i="167"/>
  <c r="D156" i="167"/>
  <c r="D159" i="167"/>
  <c r="D161" i="167"/>
  <c r="D163" i="167"/>
  <c r="D166" i="167"/>
  <c r="D171" i="167"/>
  <c r="D173" i="167"/>
  <c r="D175" i="167"/>
  <c r="D177" i="167"/>
  <c r="D179" i="167"/>
  <c r="D181" i="167"/>
  <c r="D183" i="167"/>
  <c r="D185" i="167"/>
  <c r="D187" i="167"/>
  <c r="D189" i="167"/>
  <c r="B6" i="54"/>
  <c r="D80" i="50"/>
  <c r="D79" i="50"/>
  <c r="D78" i="50"/>
  <c r="D77" i="50"/>
  <c r="D76" i="50"/>
  <c r="D75" i="50"/>
  <c r="E73" i="50"/>
  <c r="C39" i="50"/>
  <c r="E76" i="50" l="1"/>
  <c r="E75" i="50" s="1"/>
  <c r="G216" i="176"/>
  <c r="E136" i="167" a="1"/>
  <c r="E191" i="167" s="1"/>
  <c r="E228" i="167"/>
  <c r="E229" i="167"/>
  <c r="E233" i="167"/>
  <c r="E231" i="167"/>
  <c r="E235" i="167"/>
  <c r="E234" i="167"/>
  <c r="E230" i="167"/>
  <c r="E236" i="167"/>
  <c r="E232" i="167"/>
  <c r="E136" i="167" l="1"/>
  <c r="E140" i="167"/>
  <c r="E144" i="167"/>
  <c r="E148" i="167"/>
  <c r="E152" i="167"/>
  <c r="E156" i="167"/>
  <c r="E160" i="167"/>
  <c r="E164" i="167"/>
  <c r="E168" i="167"/>
  <c r="E172" i="167"/>
  <c r="E176" i="167"/>
  <c r="E180" i="167"/>
  <c r="E184" i="167"/>
  <c r="E188" i="167"/>
  <c r="E137" i="167"/>
  <c r="E141" i="167"/>
  <c r="E145" i="167"/>
  <c r="E149" i="167"/>
  <c r="E153" i="167"/>
  <c r="E157" i="167"/>
  <c r="E161" i="167"/>
  <c r="E165" i="167"/>
  <c r="E169" i="167"/>
  <c r="E173" i="167"/>
  <c r="E177" i="167"/>
  <c r="E181" i="167"/>
  <c r="E185" i="167"/>
  <c r="E189" i="167"/>
  <c r="E138" i="167"/>
  <c r="E142" i="167"/>
  <c r="E146" i="167"/>
  <c r="E150" i="167"/>
  <c r="E154" i="167"/>
  <c r="E158" i="167"/>
  <c r="E162" i="167"/>
  <c r="E166" i="167"/>
  <c r="E170" i="167"/>
  <c r="E174" i="167"/>
  <c r="E178" i="167"/>
  <c r="E182" i="167"/>
  <c r="E186" i="167"/>
  <c r="E190" i="167"/>
  <c r="E139" i="167"/>
  <c r="E143" i="167"/>
  <c r="E147" i="167"/>
  <c r="E151" i="167"/>
  <c r="E155" i="167"/>
  <c r="E159" i="167"/>
  <c r="E163" i="167"/>
  <c r="E167" i="167"/>
  <c r="E171" i="167"/>
  <c r="E175" i="167"/>
  <c r="E179" i="167"/>
  <c r="E183" i="167"/>
  <c r="E187" i="167"/>
  <c r="B62" i="54"/>
  <c r="B60" i="54"/>
  <c r="B59" i="54"/>
  <c r="B58" i="54"/>
  <c r="B55" i="54"/>
  <c r="B57" i="54"/>
  <c r="B54" i="54"/>
  <c r="B52" i="54"/>
  <c r="B50" i="54"/>
  <c r="B49" i="54"/>
  <c r="B47" i="54"/>
  <c r="B45" i="54"/>
  <c r="B43" i="54"/>
  <c r="B41" i="54"/>
  <c r="B39" i="54"/>
  <c r="B35" i="54"/>
  <c r="B31" i="54"/>
  <c r="B30" i="54"/>
  <c r="B29" i="54"/>
  <c r="B28" i="54"/>
  <c r="B27" i="54"/>
  <c r="B26" i="54"/>
  <c r="B20" i="54"/>
  <c r="B19" i="54"/>
  <c r="B18" i="54"/>
  <c r="B17" i="54"/>
  <c r="B16" i="54"/>
  <c r="B9" i="54"/>
  <c r="B8" i="54"/>
  <c r="B7" i="54"/>
  <c r="C32" i="164" l="1"/>
  <c r="D24" i="164"/>
  <c r="C71" i="164"/>
  <c r="D33" i="164"/>
  <c r="D34" i="164" s="1"/>
  <c r="C25" i="164"/>
  <c r="C13" i="164"/>
  <c r="C35" i="164" s="1"/>
  <c r="C12" i="164"/>
  <c r="C34" i="164" s="1"/>
  <c r="E8" i="164"/>
  <c r="C20" i="164"/>
  <c r="E9" i="166"/>
  <c r="E14" i="166" s="1"/>
  <c r="F14" i="166" a="1"/>
  <c r="I14" i="166" s="1"/>
  <c r="G18" i="166"/>
  <c r="G17" i="166"/>
  <c r="G16" i="166"/>
  <c r="B28" i="166"/>
  <c r="C32" i="166"/>
  <c r="B32" i="166"/>
  <c r="C31" i="166"/>
  <c r="B31" i="166"/>
  <c r="C30" i="166"/>
  <c r="B30" i="166"/>
  <c r="C29" i="166"/>
  <c r="B29" i="166"/>
  <c r="B24" i="166"/>
  <c r="C11" i="166"/>
  <c r="B20" i="166"/>
  <c r="B16" i="166"/>
  <c r="C9" i="166"/>
  <c r="C10" i="166"/>
  <c r="C12" i="166" s="1" a="1"/>
  <c r="C14" i="166" s="1"/>
  <c r="H7" i="166"/>
  <c r="G7" i="166"/>
  <c r="F7" i="166"/>
  <c r="F6" i="166"/>
  <c r="E6" i="166"/>
  <c r="B6" i="166"/>
  <c r="B5" i="166"/>
  <c r="B61" i="54" s="1"/>
  <c r="D31" i="164" l="1"/>
  <c r="D29" i="164"/>
  <c r="D27" i="164"/>
  <c r="D30" i="164"/>
  <c r="D28" i="164"/>
  <c r="D32" i="164"/>
  <c r="D26" i="164"/>
  <c r="C13" i="166"/>
  <c r="C12" i="166"/>
  <c r="H14" i="166"/>
  <c r="D25" i="164"/>
  <c r="F14" i="166"/>
  <c r="E11" i="166"/>
  <c r="E12" i="166"/>
  <c r="D35" i="164"/>
  <c r="G14" i="166"/>
  <c r="F11" i="166" a="1"/>
  <c r="G11" i="166" s="1"/>
  <c r="C52" i="163"/>
  <c r="C51" i="163"/>
  <c r="C50" i="163"/>
  <c r="C49" i="163"/>
  <c r="C48" i="163"/>
  <c r="C47" i="163"/>
  <c r="C46" i="163"/>
  <c r="F44" i="163"/>
  <c r="B73" i="161"/>
  <c r="B72" i="161"/>
  <c r="B71" i="161"/>
  <c r="B70" i="161"/>
  <c r="B69" i="161"/>
  <c r="B68" i="161"/>
  <c r="B67" i="161"/>
  <c r="B66" i="161"/>
  <c r="B65" i="161"/>
  <c r="B64" i="161"/>
  <c r="B63" i="161"/>
  <c r="B62" i="161"/>
  <c r="B61" i="161"/>
  <c r="B60" i="161"/>
  <c r="B59" i="161"/>
  <c r="B58" i="161"/>
  <c r="B57" i="161"/>
  <c r="B56" i="161"/>
  <c r="B55" i="161"/>
  <c r="B54" i="161"/>
  <c r="B53" i="161"/>
  <c r="B52" i="161"/>
  <c r="B51" i="161"/>
  <c r="B50" i="161"/>
  <c r="B49" i="161"/>
  <c r="B48" i="161"/>
  <c r="B47" i="161"/>
  <c r="B46" i="161"/>
  <c r="B45" i="161"/>
  <c r="B44" i="161"/>
  <c r="B43" i="161"/>
  <c r="B42" i="161"/>
  <c r="B41" i="161"/>
  <c r="B40" i="161"/>
  <c r="B39" i="161"/>
  <c r="B38" i="161"/>
  <c r="B37" i="161"/>
  <c r="B36" i="161"/>
  <c r="B35" i="161"/>
  <c r="B34" i="161"/>
  <c r="B33" i="161"/>
  <c r="B32" i="161"/>
  <c r="B31" i="161"/>
  <c r="B30" i="161"/>
  <c r="B29" i="161"/>
  <c r="B28" i="161"/>
  <c r="B27" i="161"/>
  <c r="B26" i="161"/>
  <c r="B25" i="161"/>
  <c r="B24" i="161"/>
  <c r="B23" i="161"/>
  <c r="B22" i="161"/>
  <c r="B21" i="161"/>
  <c r="B20" i="161"/>
  <c r="B19" i="161"/>
  <c r="B18" i="161"/>
  <c r="B17" i="161"/>
  <c r="B16" i="161"/>
  <c r="B15" i="161"/>
  <c r="B14" i="161"/>
  <c r="B13" i="161"/>
  <c r="B12" i="161"/>
  <c r="B11" i="161"/>
  <c r="F6" i="163"/>
  <c r="F32" i="163"/>
  <c r="F16" i="163"/>
  <c r="F8" i="163"/>
  <c r="K8" i="162"/>
  <c r="J8" i="162"/>
  <c r="K7" i="162"/>
  <c r="J6" i="162"/>
  <c r="J7" i="162"/>
  <c r="K22" i="162"/>
  <c r="K15" i="162"/>
  <c r="J15" i="162"/>
  <c r="K10" i="162"/>
  <c r="J22" i="162"/>
  <c r="M7" i="161"/>
  <c r="L9" i="161"/>
  <c r="K9" i="161"/>
  <c r="J9" i="161"/>
  <c r="I9" i="161"/>
  <c r="H9" i="161"/>
  <c r="G9" i="161"/>
  <c r="F9" i="161"/>
  <c r="E9" i="161"/>
  <c r="E8" i="161"/>
  <c r="C7" i="161"/>
  <c r="M66" i="161"/>
  <c r="E21" i="162" s="1"/>
  <c r="M65" i="161"/>
  <c r="E20" i="162" s="1"/>
  <c r="M64" i="161"/>
  <c r="E19" i="162" s="1"/>
  <c r="M63" i="161"/>
  <c r="M62" i="161"/>
  <c r="M61" i="161"/>
  <c r="M60" i="161" s="1"/>
  <c r="E18" i="162" s="1"/>
  <c r="M59" i="161"/>
  <c r="M58" i="161"/>
  <c r="M57" i="161"/>
  <c r="G60" i="161"/>
  <c r="H60" i="161"/>
  <c r="I60" i="161"/>
  <c r="J60" i="161"/>
  <c r="K60" i="161"/>
  <c r="L60" i="161"/>
  <c r="F60" i="161"/>
  <c r="G56" i="161"/>
  <c r="H56" i="161"/>
  <c r="I56" i="161"/>
  <c r="J56" i="161"/>
  <c r="K56" i="161"/>
  <c r="L56" i="161"/>
  <c r="F56" i="161"/>
  <c r="G52" i="161"/>
  <c r="H52" i="161"/>
  <c r="I52" i="161"/>
  <c r="J52" i="161"/>
  <c r="K52" i="161"/>
  <c r="L52" i="161"/>
  <c r="F52" i="161"/>
  <c r="E60" i="161"/>
  <c r="M50" i="161"/>
  <c r="M49" i="161"/>
  <c r="M48" i="161"/>
  <c r="M47" i="161"/>
  <c r="M45" i="161"/>
  <c r="M44" i="161"/>
  <c r="M43" i="161"/>
  <c r="M42" i="161"/>
  <c r="M38" i="161"/>
  <c r="M37" i="161"/>
  <c r="M36" i="161"/>
  <c r="M35" i="161"/>
  <c r="M33" i="161"/>
  <c r="M32" i="161"/>
  <c r="M31" i="161"/>
  <c r="M30" i="161"/>
  <c r="M28" i="161"/>
  <c r="M27" i="161"/>
  <c r="M26" i="161"/>
  <c r="M25" i="161"/>
  <c r="M22" i="161"/>
  <c r="M21" i="161"/>
  <c r="M20" i="161"/>
  <c r="M19" i="161"/>
  <c r="M17" i="161"/>
  <c r="M16" i="161"/>
  <c r="M15" i="161"/>
  <c r="G46" i="161"/>
  <c r="H46" i="161"/>
  <c r="I46" i="161"/>
  <c r="J46" i="161"/>
  <c r="K46" i="161"/>
  <c r="L46" i="161"/>
  <c r="F46" i="161"/>
  <c r="G41" i="161"/>
  <c r="H41" i="161"/>
  <c r="H40" i="161" s="1"/>
  <c r="I41" i="161"/>
  <c r="J41" i="161"/>
  <c r="K41" i="161"/>
  <c r="K40" i="161" s="1"/>
  <c r="L41" i="161"/>
  <c r="F41" i="161"/>
  <c r="G34" i="161"/>
  <c r="H34" i="161"/>
  <c r="I34" i="161"/>
  <c r="J34" i="161"/>
  <c r="K34" i="161"/>
  <c r="L34" i="161"/>
  <c r="F34" i="161"/>
  <c r="G29" i="161"/>
  <c r="H29" i="161"/>
  <c r="I29" i="161"/>
  <c r="J29" i="161"/>
  <c r="K29" i="161"/>
  <c r="L29" i="161"/>
  <c r="F29" i="161"/>
  <c r="G24" i="161"/>
  <c r="H24" i="161"/>
  <c r="H23" i="161" s="1"/>
  <c r="I24" i="161"/>
  <c r="J24" i="161"/>
  <c r="J23" i="161" s="1"/>
  <c r="K24" i="161"/>
  <c r="L24" i="161"/>
  <c r="F24" i="161"/>
  <c r="G18" i="161"/>
  <c r="H18" i="161"/>
  <c r="I18" i="161"/>
  <c r="J18" i="161"/>
  <c r="K18" i="161"/>
  <c r="L18" i="161"/>
  <c r="F18" i="161"/>
  <c r="L13" i="161"/>
  <c r="G13" i="161"/>
  <c r="H13" i="161"/>
  <c r="I13" i="161"/>
  <c r="J13" i="161"/>
  <c r="K13" i="161"/>
  <c r="F13" i="161"/>
  <c r="E46" i="161"/>
  <c r="E41" i="161"/>
  <c r="B10" i="161"/>
  <c r="C3" i="161"/>
  <c r="G10" i="158"/>
  <c r="G9" i="158"/>
  <c r="K288" i="161" l="1"/>
  <c r="I288" i="161"/>
  <c r="G288" i="161"/>
  <c r="L218" i="161"/>
  <c r="J218" i="161"/>
  <c r="H218" i="161"/>
  <c r="F218" i="161"/>
  <c r="K148" i="161"/>
  <c r="I148" i="161"/>
  <c r="G148" i="161"/>
  <c r="L288" i="161"/>
  <c r="J288" i="161"/>
  <c r="H288" i="161"/>
  <c r="F288" i="161"/>
  <c r="K218" i="161"/>
  <c r="I218" i="161"/>
  <c r="G218" i="161"/>
  <c r="J148" i="161"/>
  <c r="F148" i="161"/>
  <c r="L148" i="161"/>
  <c r="H148" i="161"/>
  <c r="C17" i="155"/>
  <c r="C133" i="178"/>
  <c r="C71" i="178"/>
  <c r="C9" i="178"/>
  <c r="C8" i="166"/>
  <c r="C220" i="161"/>
  <c r="C290" i="161"/>
  <c r="C150" i="161"/>
  <c r="B24" i="64" a="1"/>
  <c r="B28" i="64" s="1"/>
  <c r="B133" i="178" a="1"/>
  <c r="B71" i="178" a="1"/>
  <c r="B9" i="178" a="1"/>
  <c r="B8" i="166"/>
  <c r="D9" i="166" a="1"/>
  <c r="E80" i="161" a="1"/>
  <c r="E133" i="178"/>
  <c r="E71" i="178"/>
  <c r="E9" i="178"/>
  <c r="E8" i="166" a="1"/>
  <c r="E290" i="161" a="1"/>
  <c r="E150" i="161" a="1"/>
  <c r="E220" i="161" a="1"/>
  <c r="G51" i="161"/>
  <c r="G40" i="161"/>
  <c r="M46" i="161"/>
  <c r="M24" i="161"/>
  <c r="J12" i="161"/>
  <c r="L12" i="161"/>
  <c r="G23" i="161"/>
  <c r="C45" i="163"/>
  <c r="C72" i="143"/>
  <c r="C13" i="64"/>
  <c r="C10" i="161"/>
  <c r="C9" i="143"/>
  <c r="L8" i="161"/>
  <c r="K78" i="161"/>
  <c r="I78" i="161"/>
  <c r="G78" i="161"/>
  <c r="L78" i="161"/>
  <c r="J78" i="161"/>
  <c r="H78" i="161"/>
  <c r="F78" i="161"/>
  <c r="B7" i="163"/>
  <c r="L80" i="161"/>
  <c r="E80" i="161"/>
  <c r="I80" i="161"/>
  <c r="M80" i="161"/>
  <c r="H80" i="161"/>
  <c r="G80" i="161"/>
  <c r="K80" i="161"/>
  <c r="F80" i="161"/>
  <c r="J80" i="161"/>
  <c r="D9" i="162"/>
  <c r="E135" i="143"/>
  <c r="E24" i="64"/>
  <c r="E64" i="64"/>
  <c r="E90" i="64"/>
  <c r="E9" i="165"/>
  <c r="H12" i="161"/>
  <c r="M18" i="161"/>
  <c r="M29" i="161"/>
  <c r="M34" i="161"/>
  <c r="M41" i="161"/>
  <c r="K51" i="161"/>
  <c r="M56" i="161"/>
  <c r="E17" i="162" s="1"/>
  <c r="C32" i="155"/>
  <c r="C80" i="161"/>
  <c r="E10" i="161" a="1"/>
  <c r="E10" i="161" s="1"/>
  <c r="C9" i="162"/>
  <c r="C7" i="163"/>
  <c r="B11" i="158" a="1"/>
  <c r="B11" i="158" s="1"/>
  <c r="E9" i="143"/>
  <c r="E72" i="143"/>
  <c r="E8" i="155"/>
  <c r="E17" i="155"/>
  <c r="E13" i="64"/>
  <c r="E35" i="64"/>
  <c r="C90" i="64"/>
  <c r="C9" i="165"/>
  <c r="K27" i="162"/>
  <c r="J10" i="161"/>
  <c r="B11" i="160" a="1"/>
  <c r="B11" i="160" s="1"/>
  <c r="B9" i="143" a="1"/>
  <c r="B35" i="64" a="1"/>
  <c r="B55" i="64" s="1"/>
  <c r="B11" i="152" a="1"/>
  <c r="K11" i="152" s="1"/>
  <c r="B72" i="143" a="1"/>
  <c r="C35" i="64"/>
  <c r="B9" i="165" a="1"/>
  <c r="B45" i="165" s="1"/>
  <c r="B11" i="157" a="1"/>
  <c r="B11" i="149" a="1"/>
  <c r="K11" i="149" s="1"/>
  <c r="B8" i="155" a="1"/>
  <c r="B64" i="64" a="1"/>
  <c r="B84" i="64" s="1"/>
  <c r="B11" i="150" a="1"/>
  <c r="K11" i="150" s="1"/>
  <c r="B32" i="155" a="1"/>
  <c r="B40" i="155" s="1"/>
  <c r="F8" i="161"/>
  <c r="C73" i="169"/>
  <c r="C24" i="168"/>
  <c r="C13" i="168"/>
  <c r="C90" i="168"/>
  <c r="C64" i="168"/>
  <c r="C35" i="168"/>
  <c r="C10" i="169"/>
  <c r="C136" i="169"/>
  <c r="C73" i="167"/>
  <c r="C11" i="167"/>
  <c r="C135" i="167"/>
  <c r="C74" i="50"/>
  <c r="C9" i="164"/>
  <c r="C133" i="165"/>
  <c r="C62" i="50"/>
  <c r="C36" i="50"/>
  <c r="C10" i="50"/>
  <c r="C71" i="165"/>
  <c r="F51" i="161"/>
  <c r="G8" i="161"/>
  <c r="E13" i="168"/>
  <c r="E90" i="168"/>
  <c r="E64" i="168"/>
  <c r="E35" i="168"/>
  <c r="E10" i="169"/>
  <c r="E136" i="169"/>
  <c r="E24" i="168"/>
  <c r="E73" i="169"/>
  <c r="E135" i="167"/>
  <c r="E73" i="167"/>
  <c r="E11" i="167"/>
  <c r="E74" i="50"/>
  <c r="E9" i="164"/>
  <c r="E133" i="165"/>
  <c r="E62" i="50"/>
  <c r="E10" i="50"/>
  <c r="E71" i="165"/>
  <c r="E36" i="50"/>
  <c r="B11" i="148" a="1"/>
  <c r="K11" i="148" s="1"/>
  <c r="B12" i="154" a="1"/>
  <c r="C8" i="155"/>
  <c r="E32" i="155"/>
  <c r="C64" i="64"/>
  <c r="B11" i="147" a="1"/>
  <c r="K11" i="147" s="1"/>
  <c r="B13" i="64" a="1"/>
  <c r="B13" i="64" s="1"/>
  <c r="B11" i="146" a="1"/>
  <c r="J11" i="146" s="1"/>
  <c r="B90" i="64" a="1"/>
  <c r="B110" i="64" s="1"/>
  <c r="L23" i="161"/>
  <c r="L51" i="161"/>
  <c r="H8" i="161"/>
  <c r="I8" i="161"/>
  <c r="K23" i="161"/>
  <c r="J8" i="161"/>
  <c r="E7" i="163" a="1"/>
  <c r="E7" i="163" s="1"/>
  <c r="B11" i="156" a="1"/>
  <c r="I40" i="161"/>
  <c r="J51" i="161"/>
  <c r="K8" i="161"/>
  <c r="B135" i="143" a="1"/>
  <c r="B191" i="143" s="1"/>
  <c r="I23" i="161"/>
  <c r="J40" i="161"/>
  <c r="B10" i="162" a="1"/>
  <c r="B23" i="162" s="1"/>
  <c r="F45" i="163"/>
  <c r="C135" i="143"/>
  <c r="C24" i="64"/>
  <c r="C11" i="158"/>
  <c r="I51" i="161"/>
  <c r="B62" i="50" a="1"/>
  <c r="B74" i="50" a="1"/>
  <c r="B11" i="174" a="1"/>
  <c r="B35" i="168" a="1"/>
  <c r="B73" i="169" a="1"/>
  <c r="B11" i="175" a="1"/>
  <c r="B24" i="168" a="1"/>
  <c r="B13" i="168" a="1"/>
  <c r="B136" i="169" a="1"/>
  <c r="B10" i="169" a="1"/>
  <c r="B11" i="177" a="1"/>
  <c r="B11" i="176" a="1"/>
  <c r="B11" i="170" a="1"/>
  <c r="B64" i="168" a="1"/>
  <c r="B11" i="171" a="1"/>
  <c r="B11" i="172" a="1"/>
  <c r="B90" i="168" a="1"/>
  <c r="B11" i="173" a="1"/>
  <c r="B73" i="167" a="1"/>
  <c r="B135" i="167" a="1"/>
  <c r="B11" i="167" a="1"/>
  <c r="B133" i="165" a="1"/>
  <c r="B71" i="165" a="1"/>
  <c r="B36" i="50" a="1"/>
  <c r="B10" i="50" a="1"/>
  <c r="B9" i="162"/>
  <c r="B8" i="163" a="1"/>
  <c r="B29" i="163" s="1"/>
  <c r="H51" i="161"/>
  <c r="B45" i="163" a="1"/>
  <c r="B49" i="163" s="1"/>
  <c r="G11" i="158"/>
  <c r="E11" i="158"/>
  <c r="B17" i="155" a="1"/>
  <c r="B19" i="155" s="1"/>
  <c r="B64" i="143"/>
  <c r="B56" i="143"/>
  <c r="B60" i="143"/>
  <c r="B52" i="143"/>
  <c r="B44" i="143"/>
  <c r="B36" i="143"/>
  <c r="B28" i="143"/>
  <c r="B20" i="143"/>
  <c r="B12" i="143"/>
  <c r="B80" i="143"/>
  <c r="B96" i="143"/>
  <c r="B112" i="143"/>
  <c r="B128" i="143"/>
  <c r="B25" i="155"/>
  <c r="B21" i="155"/>
  <c r="B16" i="64"/>
  <c r="B42" i="64"/>
  <c r="B61" i="165"/>
  <c r="B43" i="165"/>
  <c r="B37" i="165"/>
  <c r="B19" i="165"/>
  <c r="B13" i="165"/>
  <c r="K11" i="160"/>
  <c r="I11" i="160"/>
  <c r="G11" i="160"/>
  <c r="E11" i="160"/>
  <c r="C11" i="160"/>
  <c r="J11" i="160"/>
  <c r="H11" i="160"/>
  <c r="F11" i="160"/>
  <c r="D11" i="160"/>
  <c r="F11" i="149"/>
  <c r="B11" i="149"/>
  <c r="J11" i="149"/>
  <c r="B27" i="162"/>
  <c r="B11" i="152"/>
  <c r="F11" i="152"/>
  <c r="J11" i="152"/>
  <c r="D11" i="152"/>
  <c r="H11" i="152"/>
  <c r="D11" i="150"/>
  <c r="H11" i="150"/>
  <c r="B11" i="150"/>
  <c r="F11" i="150"/>
  <c r="J11" i="150"/>
  <c r="D11" i="149"/>
  <c r="H11" i="149"/>
  <c r="B11" i="148"/>
  <c r="F11" i="148"/>
  <c r="J11" i="148"/>
  <c r="D11" i="148"/>
  <c r="H11" i="148"/>
  <c r="D11" i="147"/>
  <c r="H11" i="147"/>
  <c r="B11" i="147"/>
  <c r="F11" i="147"/>
  <c r="J11" i="147"/>
  <c r="B66" i="143"/>
  <c r="B62" i="143"/>
  <c r="B58" i="143"/>
  <c r="B54" i="143"/>
  <c r="B50" i="143"/>
  <c r="B46" i="143"/>
  <c r="B42" i="143"/>
  <c r="B38" i="143"/>
  <c r="B34" i="143"/>
  <c r="B30" i="143"/>
  <c r="B26" i="143"/>
  <c r="B22" i="143"/>
  <c r="B18" i="143"/>
  <c r="B14" i="143"/>
  <c r="B10" i="143"/>
  <c r="B76" i="143"/>
  <c r="B84" i="143"/>
  <c r="B92" i="143"/>
  <c r="B100" i="143"/>
  <c r="B108" i="143"/>
  <c r="B116" i="143"/>
  <c r="B124" i="143"/>
  <c r="B65" i="143"/>
  <c r="B63" i="143"/>
  <c r="B61" i="143"/>
  <c r="B59" i="143"/>
  <c r="B57" i="143"/>
  <c r="B55" i="143"/>
  <c r="B53" i="143"/>
  <c r="B51" i="143"/>
  <c r="B49" i="143"/>
  <c r="B47" i="143"/>
  <c r="B45" i="143"/>
  <c r="B43" i="143"/>
  <c r="B41" i="143"/>
  <c r="B39" i="143"/>
  <c r="B37" i="143"/>
  <c r="B35" i="143"/>
  <c r="B33" i="143"/>
  <c r="B31" i="143"/>
  <c r="B29" i="143"/>
  <c r="B27" i="143"/>
  <c r="B25" i="143"/>
  <c r="B23" i="143"/>
  <c r="B21" i="143"/>
  <c r="B19" i="143"/>
  <c r="B17" i="143"/>
  <c r="B15" i="143"/>
  <c r="B13" i="143"/>
  <c r="B11" i="143"/>
  <c r="B74" i="143"/>
  <c r="B78" i="143"/>
  <c r="B82" i="143"/>
  <c r="B86" i="143"/>
  <c r="B90" i="143"/>
  <c r="B94" i="143"/>
  <c r="B98" i="143"/>
  <c r="B102" i="143"/>
  <c r="B106" i="143"/>
  <c r="B110" i="143"/>
  <c r="B114" i="143"/>
  <c r="B118" i="143"/>
  <c r="B122" i="143"/>
  <c r="B126" i="143"/>
  <c r="B54" i="64"/>
  <c r="B46" i="64"/>
  <c r="B38" i="64"/>
  <c r="B14" i="64"/>
  <c r="B52" i="64"/>
  <c r="B48" i="64"/>
  <c r="B44" i="64"/>
  <c r="B40" i="64"/>
  <c r="B36" i="64"/>
  <c r="B53" i="64"/>
  <c r="B51" i="64"/>
  <c r="B49" i="64"/>
  <c r="B47" i="64"/>
  <c r="B45" i="64"/>
  <c r="B43" i="64"/>
  <c r="B41" i="64"/>
  <c r="B39" i="64"/>
  <c r="B37" i="64"/>
  <c r="H11" i="166"/>
  <c r="I11" i="166"/>
  <c r="F11" i="166"/>
  <c r="B91" i="64"/>
  <c r="B93" i="64"/>
  <c r="B95" i="64"/>
  <c r="B97" i="64"/>
  <c r="B99" i="64"/>
  <c r="B101" i="64"/>
  <c r="B103" i="64"/>
  <c r="B105" i="64"/>
  <c r="B107" i="64"/>
  <c r="B109" i="64"/>
  <c r="B90" i="64"/>
  <c r="B92" i="64"/>
  <c r="B94" i="64"/>
  <c r="B96" i="64"/>
  <c r="B98" i="64"/>
  <c r="B100" i="64"/>
  <c r="B102" i="64"/>
  <c r="B104" i="64"/>
  <c r="B106" i="64"/>
  <c r="B108" i="64"/>
  <c r="B65" i="64"/>
  <c r="B67" i="64"/>
  <c r="B69" i="64"/>
  <c r="B71" i="64"/>
  <c r="B73" i="64"/>
  <c r="B75" i="64"/>
  <c r="B77" i="64"/>
  <c r="B79" i="64"/>
  <c r="B81" i="64"/>
  <c r="B83" i="64"/>
  <c r="B64" i="64"/>
  <c r="B66" i="64"/>
  <c r="B68" i="64"/>
  <c r="B70" i="64"/>
  <c r="B72" i="64"/>
  <c r="B74" i="64"/>
  <c r="B76" i="64"/>
  <c r="B78" i="64"/>
  <c r="B80" i="64"/>
  <c r="B82" i="64"/>
  <c r="B25" i="64"/>
  <c r="B27" i="64"/>
  <c r="B24" i="64"/>
  <c r="B26" i="64"/>
  <c r="B17" i="64"/>
  <c r="B15" i="64"/>
  <c r="B33" i="155"/>
  <c r="B35" i="155"/>
  <c r="B37" i="155"/>
  <c r="B39" i="155"/>
  <c r="B41" i="155"/>
  <c r="B32" i="155"/>
  <c r="B34" i="155"/>
  <c r="B36" i="155"/>
  <c r="B38" i="155"/>
  <c r="B136" i="143"/>
  <c r="B138" i="143"/>
  <c r="B140" i="143"/>
  <c r="B142" i="143"/>
  <c r="B146" i="143"/>
  <c r="B148" i="143"/>
  <c r="B150" i="143"/>
  <c r="B152" i="143"/>
  <c r="B154" i="143"/>
  <c r="B156" i="143"/>
  <c r="B158" i="143"/>
  <c r="B160" i="143"/>
  <c r="B162" i="143"/>
  <c r="B164" i="143"/>
  <c r="B166" i="143"/>
  <c r="B170" i="143"/>
  <c r="B172" i="143"/>
  <c r="B174" i="143"/>
  <c r="B176" i="143"/>
  <c r="B178" i="143"/>
  <c r="B180" i="143"/>
  <c r="B182" i="143"/>
  <c r="B184" i="143"/>
  <c r="B186" i="143"/>
  <c r="B188" i="143"/>
  <c r="B190" i="143"/>
  <c r="B135" i="143"/>
  <c r="B137" i="143"/>
  <c r="B139" i="143"/>
  <c r="B141" i="143"/>
  <c r="B143" i="143"/>
  <c r="B145" i="143"/>
  <c r="B147" i="143"/>
  <c r="B149" i="143"/>
  <c r="B151" i="143"/>
  <c r="B153" i="143"/>
  <c r="B155" i="143"/>
  <c r="B159" i="143"/>
  <c r="B161" i="143"/>
  <c r="B163" i="143"/>
  <c r="B165" i="143"/>
  <c r="B167" i="143"/>
  <c r="B169" i="143"/>
  <c r="B171" i="143"/>
  <c r="B173" i="143"/>
  <c r="B175" i="143"/>
  <c r="B177" i="143"/>
  <c r="B179" i="143"/>
  <c r="B183" i="143"/>
  <c r="B185" i="143"/>
  <c r="B187" i="143"/>
  <c r="B189" i="143"/>
  <c r="B73" i="143"/>
  <c r="B75" i="143"/>
  <c r="B77" i="143"/>
  <c r="B79" i="143"/>
  <c r="B81" i="143"/>
  <c r="B83" i="143"/>
  <c r="B85" i="143"/>
  <c r="B87" i="143"/>
  <c r="B89" i="143"/>
  <c r="B91" i="143"/>
  <c r="B93" i="143"/>
  <c r="B95" i="143"/>
  <c r="B97" i="143"/>
  <c r="B99" i="143"/>
  <c r="B101" i="143"/>
  <c r="B103" i="143"/>
  <c r="B105" i="143"/>
  <c r="B107" i="143"/>
  <c r="B109" i="143"/>
  <c r="B111" i="143"/>
  <c r="B113" i="143"/>
  <c r="B115" i="143"/>
  <c r="B117" i="143"/>
  <c r="B119" i="143"/>
  <c r="B121" i="143"/>
  <c r="B123" i="143"/>
  <c r="B125" i="143"/>
  <c r="B127" i="143"/>
  <c r="C11" i="146"/>
  <c r="E11" i="146"/>
  <c r="G11" i="146"/>
  <c r="B11" i="146"/>
  <c r="D11" i="146"/>
  <c r="F11" i="146"/>
  <c r="H11" i="146"/>
  <c r="C11" i="147"/>
  <c r="E11" i="147"/>
  <c r="G11" i="147"/>
  <c r="I11" i="147"/>
  <c r="C11" i="148"/>
  <c r="E11" i="148"/>
  <c r="G11" i="148"/>
  <c r="I11" i="148"/>
  <c r="C11" i="149"/>
  <c r="E11" i="149"/>
  <c r="G11" i="149"/>
  <c r="I11" i="149"/>
  <c r="C11" i="150"/>
  <c r="E11" i="150"/>
  <c r="G11" i="150"/>
  <c r="I11" i="150"/>
  <c r="C11" i="152"/>
  <c r="E11" i="152"/>
  <c r="G11" i="152"/>
  <c r="I11" i="152"/>
  <c r="C11" i="156"/>
  <c r="E11" i="156"/>
  <c r="C11" i="157"/>
  <c r="E11" i="157"/>
  <c r="H11" i="158"/>
  <c r="F11" i="158"/>
  <c r="D11" i="158"/>
  <c r="F7" i="163"/>
  <c r="B47" i="163"/>
  <c r="B50" i="163"/>
  <c r="B24" i="162"/>
  <c r="B12" i="162"/>
  <c r="M10" i="161"/>
  <c r="K10" i="161"/>
  <c r="K9" i="162" s="1"/>
  <c r="I10" i="161"/>
  <c r="I9" i="162" s="1"/>
  <c r="G10" i="161"/>
  <c r="G9" i="162" s="1"/>
  <c r="M40" i="161"/>
  <c r="E14" i="162" s="1"/>
  <c r="L40" i="161"/>
  <c r="F40" i="161"/>
  <c r="H11" i="161"/>
  <c r="F23" i="161"/>
  <c r="J11" i="161"/>
  <c r="K12" i="161"/>
  <c r="K11" i="161" s="1"/>
  <c r="I12" i="161"/>
  <c r="I11" i="161" s="1"/>
  <c r="G12" i="161"/>
  <c r="G11" i="161" s="1"/>
  <c r="F12" i="161"/>
  <c r="E40" i="161"/>
  <c r="D8" i="157"/>
  <c r="G10" i="157"/>
  <c r="G9" i="157"/>
  <c r="E8" i="156"/>
  <c r="E8" i="157" s="1"/>
  <c r="D8" i="156"/>
  <c r="C8" i="156"/>
  <c r="C8" i="157" s="1"/>
  <c r="G10" i="156"/>
  <c r="G9" i="156"/>
  <c r="J10" i="160"/>
  <c r="J9" i="160"/>
  <c r="J10" i="152"/>
  <c r="J9" i="152"/>
  <c r="J10" i="150"/>
  <c r="J9" i="150"/>
  <c r="J10" i="149"/>
  <c r="J9" i="149"/>
  <c r="J10" i="148"/>
  <c r="J9" i="148"/>
  <c r="J10" i="147"/>
  <c r="J9" i="147"/>
  <c r="H8" i="146"/>
  <c r="E9" i="154"/>
  <c r="E8" i="152" s="1"/>
  <c r="D8" i="146"/>
  <c r="D9" i="154"/>
  <c r="D8" i="152" s="1"/>
  <c r="J10" i="146"/>
  <c r="J9" i="146"/>
  <c r="J9" i="154"/>
  <c r="H8" i="157" s="1"/>
  <c r="H9" i="154"/>
  <c r="I8" i="160" s="1"/>
  <c r="G9" i="154"/>
  <c r="G8" i="149" s="1"/>
  <c r="F9" i="154"/>
  <c r="F8" i="150" s="1"/>
  <c r="C9" i="154"/>
  <c r="C8" i="160" s="1"/>
  <c r="I11" i="154"/>
  <c r="I10" i="154"/>
  <c r="E134" i="143"/>
  <c r="E126" i="143"/>
  <c r="E123" i="143"/>
  <c r="E118" i="143"/>
  <c r="E117" i="143"/>
  <c r="E111" i="143"/>
  <c r="E107" i="143"/>
  <c r="E103" i="143"/>
  <c r="E102" i="143" s="1"/>
  <c r="E96" i="143"/>
  <c r="E91" i="143"/>
  <c r="E86" i="143"/>
  <c r="E85" i="143" s="1"/>
  <c r="E80" i="143"/>
  <c r="E75" i="143"/>
  <c r="E71" i="143"/>
  <c r="E63" i="143"/>
  <c r="E60" i="143"/>
  <c r="E55" i="143"/>
  <c r="D59" i="143"/>
  <c r="D57" i="143"/>
  <c r="D65" i="143"/>
  <c r="D64" i="143"/>
  <c r="D66" i="143"/>
  <c r="D63" i="143"/>
  <c r="D62" i="143"/>
  <c r="D61" i="143"/>
  <c r="D60" i="143"/>
  <c r="D58" i="143"/>
  <c r="D56" i="143"/>
  <c r="D55" i="143"/>
  <c r="D54" i="143"/>
  <c r="D53" i="143"/>
  <c r="D52" i="143"/>
  <c r="D51" i="143"/>
  <c r="D50" i="143"/>
  <c r="D49" i="143"/>
  <c r="E48" i="143"/>
  <c r="D48" i="143"/>
  <c r="D47" i="143"/>
  <c r="D46" i="143"/>
  <c r="D45" i="143"/>
  <c r="E44" i="143"/>
  <c r="D44" i="143"/>
  <c r="D43" i="143"/>
  <c r="D42" i="143"/>
  <c r="D41" i="143"/>
  <c r="E40" i="143"/>
  <c r="D40" i="143"/>
  <c r="D39" i="143"/>
  <c r="D38" i="143"/>
  <c r="D37" i="143"/>
  <c r="D36" i="143"/>
  <c r="D35" i="143"/>
  <c r="D34" i="143"/>
  <c r="E33" i="143"/>
  <c r="D33" i="143"/>
  <c r="D32" i="143"/>
  <c r="D31" i="143"/>
  <c r="D30" i="143"/>
  <c r="D29" i="143"/>
  <c r="E28" i="143"/>
  <c r="D28" i="143"/>
  <c r="D27" i="143"/>
  <c r="D26" i="143"/>
  <c r="D25" i="143"/>
  <c r="D24" i="143"/>
  <c r="E23" i="143"/>
  <c r="E22" i="143" s="1"/>
  <c r="E19" i="50" s="1"/>
  <c r="D23" i="143"/>
  <c r="D22" i="143"/>
  <c r="D21" i="143"/>
  <c r="D20" i="143"/>
  <c r="D19" i="143"/>
  <c r="D18" i="143"/>
  <c r="E17" i="143"/>
  <c r="D17" i="143"/>
  <c r="D16" i="143"/>
  <c r="D15" i="143"/>
  <c r="D14" i="143"/>
  <c r="D13" i="143"/>
  <c r="E12" i="143"/>
  <c r="E11" i="143" s="1"/>
  <c r="E18" i="50" s="1"/>
  <c r="D12" i="143"/>
  <c r="D11" i="143"/>
  <c r="D10" i="143"/>
  <c r="E8" i="143"/>
  <c r="K8" i="147" l="1"/>
  <c r="E8" i="147"/>
  <c r="K8" i="148"/>
  <c r="I8" i="148"/>
  <c r="F8" i="149"/>
  <c r="C8" i="150"/>
  <c r="I8" i="150"/>
  <c r="C8" i="152"/>
  <c r="K8" i="152"/>
  <c r="F8" i="160"/>
  <c r="H8" i="156"/>
  <c r="F8" i="156"/>
  <c r="F10" i="161"/>
  <c r="F9" i="162" s="1"/>
  <c r="L150" i="161"/>
  <c r="K150" i="161"/>
  <c r="G150" i="161"/>
  <c r="M150" i="161"/>
  <c r="E150" i="161"/>
  <c r="I150" i="161"/>
  <c r="H150" i="161"/>
  <c r="F150" i="161"/>
  <c r="J150" i="161"/>
  <c r="G8" i="166"/>
  <c r="E8" i="166"/>
  <c r="F8" i="166"/>
  <c r="I8" i="166"/>
  <c r="H8" i="166"/>
  <c r="B126" i="178"/>
  <c r="B77" i="178"/>
  <c r="B71" i="178"/>
  <c r="B91" i="178"/>
  <c r="B111" i="178"/>
  <c r="B92" i="178"/>
  <c r="B73" i="178"/>
  <c r="B93" i="178"/>
  <c r="B109" i="178"/>
  <c r="B88" i="178"/>
  <c r="B74" i="178"/>
  <c r="B104" i="178"/>
  <c r="B81" i="178"/>
  <c r="B101" i="178"/>
  <c r="B121" i="178"/>
  <c r="B80" i="178"/>
  <c r="B100" i="178"/>
  <c r="B120" i="178"/>
  <c r="B82" i="178"/>
  <c r="B102" i="178"/>
  <c r="B122" i="178"/>
  <c r="B83" i="178"/>
  <c r="B103" i="178"/>
  <c r="B123" i="178"/>
  <c r="B84" i="178"/>
  <c r="B117" i="178"/>
  <c r="B108" i="178"/>
  <c r="B89" i="178"/>
  <c r="B119" i="178"/>
  <c r="B87" i="178"/>
  <c r="B127" i="178"/>
  <c r="B98" i="178"/>
  <c r="B94" i="178"/>
  <c r="B114" i="178"/>
  <c r="B85" i="178"/>
  <c r="B105" i="178"/>
  <c r="B125" i="178"/>
  <c r="B86" i="178"/>
  <c r="B106" i="178"/>
  <c r="B90" i="178"/>
  <c r="B110" i="178"/>
  <c r="B72" i="178"/>
  <c r="B112" i="178"/>
  <c r="B113" i="178"/>
  <c r="B97" i="178"/>
  <c r="B78" i="178"/>
  <c r="B79" i="178"/>
  <c r="B99" i="178"/>
  <c r="B107" i="178"/>
  <c r="B118" i="178"/>
  <c r="B124" i="178"/>
  <c r="B75" i="178"/>
  <c r="B95" i="178"/>
  <c r="B115" i="178"/>
  <c r="B76" i="178"/>
  <c r="B96" i="178"/>
  <c r="B116" i="178"/>
  <c r="C8" i="146"/>
  <c r="C8" i="147"/>
  <c r="I8" i="147"/>
  <c r="C8" i="148"/>
  <c r="C8" i="149"/>
  <c r="K8" i="149"/>
  <c r="E8" i="150"/>
  <c r="K8" i="150"/>
  <c r="I8" i="152"/>
  <c r="K8" i="160"/>
  <c r="J9" i="162"/>
  <c r="J8" i="166"/>
  <c r="M220" i="161"/>
  <c r="F220" i="161"/>
  <c r="J220" i="161"/>
  <c r="E220" i="161"/>
  <c r="I220" i="161"/>
  <c r="H220" i="161"/>
  <c r="L220" i="161"/>
  <c r="G220" i="161"/>
  <c r="K220" i="161"/>
  <c r="L290" i="161"/>
  <c r="K290" i="161"/>
  <c r="G290" i="161"/>
  <c r="M290" i="161"/>
  <c r="I290" i="161"/>
  <c r="E290" i="161"/>
  <c r="H290" i="161"/>
  <c r="F290" i="161"/>
  <c r="J290" i="161"/>
  <c r="D9" i="166"/>
  <c r="D14" i="166"/>
  <c r="D12" i="166"/>
  <c r="D13" i="166"/>
  <c r="D11" i="166"/>
  <c r="D10" i="166"/>
  <c r="B58" i="178"/>
  <c r="B31" i="178"/>
  <c r="B25" i="178"/>
  <c r="B19" i="178"/>
  <c r="B11" i="178"/>
  <c r="B35" i="178"/>
  <c r="B21" i="178"/>
  <c r="B9" i="178"/>
  <c r="B29" i="178"/>
  <c r="B15" i="178"/>
  <c r="B10" i="178"/>
  <c r="B22" i="178"/>
  <c r="B23" i="178"/>
  <c r="B24" i="178"/>
  <c r="B64" i="178"/>
  <c r="B46" i="178"/>
  <c r="B47" i="178"/>
  <c r="B38" i="178"/>
  <c r="B39" i="178"/>
  <c r="B59" i="178"/>
  <c r="B20" i="178"/>
  <c r="B40" i="178"/>
  <c r="B60" i="178"/>
  <c r="B51" i="178"/>
  <c r="B12" i="178"/>
  <c r="B32" i="178"/>
  <c r="B52" i="178"/>
  <c r="B13" i="178"/>
  <c r="B33" i="178"/>
  <c r="B53" i="178"/>
  <c r="B14" i="178"/>
  <c r="B34" i="178"/>
  <c r="B54" i="178"/>
  <c r="B45" i="178"/>
  <c r="B16" i="178"/>
  <c r="B36" i="178"/>
  <c r="B56" i="178"/>
  <c r="B17" i="178"/>
  <c r="B37" i="178"/>
  <c r="B57" i="178"/>
  <c r="B28" i="178"/>
  <c r="B48" i="178"/>
  <c r="B49" i="178"/>
  <c r="B30" i="178"/>
  <c r="B50" i="178"/>
  <c r="B41" i="178"/>
  <c r="B61" i="178"/>
  <c r="B42" i="178"/>
  <c r="B62" i="178"/>
  <c r="B43" i="178"/>
  <c r="B63" i="178"/>
  <c r="B44" i="178"/>
  <c r="B65" i="178"/>
  <c r="B26" i="178"/>
  <c r="B55" i="178"/>
  <c r="B27" i="178"/>
  <c r="B18" i="178"/>
  <c r="B186" i="178"/>
  <c r="B177" i="178"/>
  <c r="B167" i="178"/>
  <c r="B157" i="178"/>
  <c r="B147" i="178"/>
  <c r="B138" i="178"/>
  <c r="B187" i="178"/>
  <c r="B168" i="178"/>
  <c r="B158" i="178"/>
  <c r="B148" i="178"/>
  <c r="B139" i="178"/>
  <c r="B137" i="178"/>
  <c r="B189" i="178"/>
  <c r="B171" i="178"/>
  <c r="B178" i="178"/>
  <c r="B163" i="178"/>
  <c r="B145" i="178"/>
  <c r="B143" i="178"/>
  <c r="B164" i="178"/>
  <c r="B136" i="178"/>
  <c r="B156" i="178"/>
  <c r="B176" i="178"/>
  <c r="B188" i="178"/>
  <c r="B159" i="178"/>
  <c r="B179" i="178"/>
  <c r="B140" i="178"/>
  <c r="B160" i="178"/>
  <c r="B180" i="178"/>
  <c r="B141" i="178"/>
  <c r="B161" i="178"/>
  <c r="B181" i="178"/>
  <c r="B172" i="178"/>
  <c r="B183" i="178"/>
  <c r="B134" i="178"/>
  <c r="B174" i="178"/>
  <c r="B135" i="178"/>
  <c r="B155" i="178"/>
  <c r="B175" i="178"/>
  <c r="B142" i="178"/>
  <c r="B162" i="178"/>
  <c r="B133" i="178"/>
  <c r="B153" i="178"/>
  <c r="B144" i="178"/>
  <c r="B184" i="178"/>
  <c r="B146" i="178"/>
  <c r="B166" i="178"/>
  <c r="B149" i="178"/>
  <c r="B169" i="178"/>
  <c r="B150" i="178"/>
  <c r="B170" i="178"/>
  <c r="B151" i="178"/>
  <c r="B154" i="178"/>
  <c r="B165" i="178"/>
  <c r="B185" i="178"/>
  <c r="B152" i="178"/>
  <c r="B182" i="178"/>
  <c r="B173" i="178"/>
  <c r="M23" i="161"/>
  <c r="E12" i="162" s="1"/>
  <c r="L11" i="161"/>
  <c r="F11" i="161"/>
  <c r="B48" i="163"/>
  <c r="B45" i="163"/>
  <c r="B23" i="155"/>
  <c r="L10" i="161"/>
  <c r="H10" i="161"/>
  <c r="H9" i="162" s="1"/>
  <c r="B18" i="162"/>
  <c r="B16" i="162"/>
  <c r="B22" i="162"/>
  <c r="B30" i="162"/>
  <c r="B32" i="163"/>
  <c r="B25" i="163"/>
  <c r="K11" i="173"/>
  <c r="H11" i="173"/>
  <c r="C11" i="173"/>
  <c r="J11" i="173"/>
  <c r="E11" i="173"/>
  <c r="G11" i="173"/>
  <c r="I11" i="173"/>
  <c r="B11" i="173"/>
  <c r="D11" i="173"/>
  <c r="F11" i="173"/>
  <c r="J11" i="175"/>
  <c r="C11" i="175"/>
  <c r="E11" i="175"/>
  <c r="G11" i="175"/>
  <c r="I11" i="175"/>
  <c r="K11" i="175"/>
  <c r="B11" i="175"/>
  <c r="D11" i="175"/>
  <c r="F11" i="175"/>
  <c r="H11" i="175"/>
  <c r="B10" i="162"/>
  <c r="B13" i="162"/>
  <c r="B17" i="162"/>
  <c r="B21" i="162"/>
  <c r="B25" i="162"/>
  <c r="B29" i="162"/>
  <c r="D8" i="148"/>
  <c r="G8" i="160"/>
  <c r="F8" i="157"/>
  <c r="B10" i="163"/>
  <c r="B34" i="163"/>
  <c r="K11" i="146"/>
  <c r="B21" i="165"/>
  <c r="B109" i="168"/>
  <c r="B90" i="168"/>
  <c r="B110" i="168"/>
  <c r="B106" i="168"/>
  <c r="B102" i="168"/>
  <c r="B98" i="168"/>
  <c r="B94" i="168"/>
  <c r="B91" i="168"/>
  <c r="B97" i="168"/>
  <c r="B92" i="168"/>
  <c r="B96" i="168"/>
  <c r="B99" i="168"/>
  <c r="B100" i="168"/>
  <c r="B101" i="168"/>
  <c r="B103" i="168"/>
  <c r="B104" i="168"/>
  <c r="B108" i="168"/>
  <c r="B105" i="168"/>
  <c r="B107" i="168"/>
  <c r="B93" i="168"/>
  <c r="B95" i="168"/>
  <c r="B116" i="169"/>
  <c r="B92" i="169"/>
  <c r="B87" i="169"/>
  <c r="B105" i="169"/>
  <c r="B88" i="169"/>
  <c r="B114" i="169"/>
  <c r="B90" i="169"/>
  <c r="B91" i="169"/>
  <c r="B109" i="169"/>
  <c r="B112" i="169"/>
  <c r="B95" i="169"/>
  <c r="B113" i="169"/>
  <c r="B84" i="169"/>
  <c r="B103" i="169"/>
  <c r="B121" i="169"/>
  <c r="B110" i="169"/>
  <c r="B86" i="169"/>
  <c r="B99" i="169"/>
  <c r="B73" i="169"/>
  <c r="B117" i="169"/>
  <c r="B130" i="169"/>
  <c r="B106" i="169"/>
  <c r="B82" i="169"/>
  <c r="B107" i="169"/>
  <c r="B77" i="169"/>
  <c r="B125" i="169"/>
  <c r="B128" i="169"/>
  <c r="B104" i="169"/>
  <c r="B80" i="169"/>
  <c r="B111" i="169"/>
  <c r="B81" i="169"/>
  <c r="B129" i="169"/>
  <c r="B74" i="169"/>
  <c r="B126" i="169"/>
  <c r="B102" i="169"/>
  <c r="B78" i="169"/>
  <c r="B115" i="169"/>
  <c r="B85" i="169"/>
  <c r="B89" i="169"/>
  <c r="B124" i="169"/>
  <c r="B100" i="169"/>
  <c r="B119" i="169"/>
  <c r="B75" i="169"/>
  <c r="B122" i="169"/>
  <c r="B98" i="169"/>
  <c r="B76" i="169"/>
  <c r="B123" i="169"/>
  <c r="B93" i="169"/>
  <c r="B120" i="169"/>
  <c r="B96" i="169"/>
  <c r="B79" i="169"/>
  <c r="B127" i="169"/>
  <c r="B97" i="169"/>
  <c r="B118" i="169"/>
  <c r="B94" i="169"/>
  <c r="B83" i="169"/>
  <c r="B101" i="169"/>
  <c r="B108" i="169"/>
  <c r="B8" i="163"/>
  <c r="B35" i="163"/>
  <c r="B39" i="163"/>
  <c r="B23" i="163"/>
  <c r="B27" i="163"/>
  <c r="B31" i="163"/>
  <c r="B11" i="163"/>
  <c r="B15" i="163"/>
  <c r="B19" i="163"/>
  <c r="B9" i="165"/>
  <c r="B12" i="165"/>
  <c r="B36" i="165"/>
  <c r="B60" i="165"/>
  <c r="B14" i="165"/>
  <c r="B38" i="165"/>
  <c r="B62" i="165"/>
  <c r="B16" i="165"/>
  <c r="B40" i="165"/>
  <c r="B64" i="165"/>
  <c r="B18" i="165"/>
  <c r="B42" i="165"/>
  <c r="B20" i="165"/>
  <c r="B44" i="165"/>
  <c r="B22" i="165"/>
  <c r="B46" i="165"/>
  <c r="B24" i="165"/>
  <c r="B48" i="165"/>
  <c r="B26" i="165"/>
  <c r="B50" i="165"/>
  <c r="B30" i="165"/>
  <c r="B54" i="165"/>
  <c r="B28" i="165"/>
  <c r="B52" i="165"/>
  <c r="B32" i="165"/>
  <c r="B56" i="165"/>
  <c r="B10" i="165"/>
  <c r="B34" i="165"/>
  <c r="B58" i="165"/>
  <c r="E74" i="143"/>
  <c r="E73" i="143" s="1"/>
  <c r="K8" i="146"/>
  <c r="E8" i="148"/>
  <c r="B12" i="163"/>
  <c r="B36" i="163"/>
  <c r="B33" i="163"/>
  <c r="I11" i="146"/>
  <c r="B181" i="143"/>
  <c r="B157" i="143"/>
  <c r="B192" i="143"/>
  <c r="B168" i="143"/>
  <c r="B144" i="143"/>
  <c r="B11" i="162"/>
  <c r="B23" i="165"/>
  <c r="B47" i="165"/>
  <c r="B10" i="50"/>
  <c r="B17" i="50"/>
  <c r="B14" i="50"/>
  <c r="B15" i="50"/>
  <c r="B12" i="50"/>
  <c r="B13" i="50"/>
  <c r="B11" i="50"/>
  <c r="B30" i="50"/>
  <c r="B28" i="50"/>
  <c r="B29" i="50"/>
  <c r="B26" i="50"/>
  <c r="B27" i="50"/>
  <c r="B24" i="50"/>
  <c r="B23" i="50"/>
  <c r="B25" i="50"/>
  <c r="B22" i="50"/>
  <c r="B20" i="50"/>
  <c r="B21" i="50"/>
  <c r="B18" i="50"/>
  <c r="B19" i="50"/>
  <c r="B16" i="50"/>
  <c r="K11" i="172"/>
  <c r="F11" i="172"/>
  <c r="J11" i="172"/>
  <c r="C11" i="172"/>
  <c r="E11" i="172"/>
  <c r="G11" i="172"/>
  <c r="D11" i="172"/>
  <c r="I11" i="172"/>
  <c r="H11" i="172"/>
  <c r="B11" i="172"/>
  <c r="B54" i="168"/>
  <c r="B47" i="168"/>
  <c r="B55" i="168"/>
  <c r="B51" i="168"/>
  <c r="B43" i="168"/>
  <c r="B39" i="168"/>
  <c r="B35" i="168"/>
  <c r="B49" i="168"/>
  <c r="B40" i="168"/>
  <c r="B53" i="168"/>
  <c r="B42" i="168"/>
  <c r="B44" i="168"/>
  <c r="B50" i="168"/>
  <c r="B52" i="168"/>
  <c r="B36" i="168"/>
  <c r="B48" i="168"/>
  <c r="B37" i="168"/>
  <c r="B41" i="168"/>
  <c r="B45" i="168"/>
  <c r="B38" i="168"/>
  <c r="B46" i="168"/>
  <c r="B129" i="143"/>
  <c r="B120" i="143"/>
  <c r="B104" i="143"/>
  <c r="B72" i="143"/>
  <c r="B88" i="143"/>
  <c r="F8" i="148"/>
  <c r="F8" i="152"/>
  <c r="B14" i="163"/>
  <c r="B38" i="163"/>
  <c r="B37" i="163"/>
  <c r="B15" i="162"/>
  <c r="B25" i="165"/>
  <c r="B49" i="165"/>
  <c r="B55" i="50"/>
  <c r="B40" i="50"/>
  <c r="B43" i="50"/>
  <c r="B44" i="50"/>
  <c r="B45" i="50"/>
  <c r="B48" i="50"/>
  <c r="B47" i="50"/>
  <c r="B52" i="50"/>
  <c r="B49" i="50"/>
  <c r="B56" i="50"/>
  <c r="B51" i="50"/>
  <c r="B53" i="50"/>
  <c r="B38" i="50"/>
  <c r="B42" i="50"/>
  <c r="B46" i="50"/>
  <c r="B50" i="50"/>
  <c r="B37" i="50"/>
  <c r="B54" i="50"/>
  <c r="B39" i="50"/>
  <c r="B36" i="50"/>
  <c r="B41" i="50"/>
  <c r="K11" i="171"/>
  <c r="G11" i="171"/>
  <c r="I11" i="171"/>
  <c r="D11" i="171"/>
  <c r="H11" i="171"/>
  <c r="B11" i="171"/>
  <c r="F11" i="171"/>
  <c r="J11" i="171"/>
  <c r="C11" i="171"/>
  <c r="E11" i="171"/>
  <c r="J11" i="174"/>
  <c r="C11" i="174"/>
  <c r="G11" i="174"/>
  <c r="E11" i="174"/>
  <c r="I11" i="174"/>
  <c r="K11" i="174"/>
  <c r="B11" i="174"/>
  <c r="D11" i="174"/>
  <c r="F11" i="174"/>
  <c r="H11" i="174"/>
  <c r="D8" i="170"/>
  <c r="D8" i="171"/>
  <c r="D8" i="172"/>
  <c r="D8" i="173"/>
  <c r="D8" i="174"/>
  <c r="D8" i="175"/>
  <c r="D8" i="147"/>
  <c r="G8" i="148"/>
  <c r="D8" i="150"/>
  <c r="G8" i="152"/>
  <c r="B14" i="162"/>
  <c r="B16" i="163"/>
  <c r="B19" i="162"/>
  <c r="B27" i="165"/>
  <c r="B51" i="165"/>
  <c r="B84" i="168"/>
  <c r="B69" i="168"/>
  <c r="B68" i="168"/>
  <c r="B71" i="168"/>
  <c r="B70" i="168"/>
  <c r="B73" i="168"/>
  <c r="B72" i="168"/>
  <c r="B75" i="168"/>
  <c r="B79" i="168"/>
  <c r="B78" i="168"/>
  <c r="B64" i="168"/>
  <c r="B81" i="168"/>
  <c r="B80" i="168"/>
  <c r="B82" i="168"/>
  <c r="B83" i="168"/>
  <c r="B76" i="168"/>
  <c r="B65" i="168"/>
  <c r="B67" i="168"/>
  <c r="B66" i="168"/>
  <c r="B74" i="168"/>
  <c r="B77" i="168"/>
  <c r="B74" i="50"/>
  <c r="B77" i="50"/>
  <c r="B78" i="50"/>
  <c r="B79" i="50"/>
  <c r="B80" i="50"/>
  <c r="B75" i="50"/>
  <c r="B76" i="50"/>
  <c r="B35" i="64"/>
  <c r="B50" i="64"/>
  <c r="B18" i="163"/>
  <c r="B29" i="165"/>
  <c r="B53" i="165"/>
  <c r="B126" i="165"/>
  <c r="B89" i="165"/>
  <c r="B71" i="165"/>
  <c r="B119" i="165"/>
  <c r="B86" i="165"/>
  <c r="B110" i="165"/>
  <c r="B93" i="165"/>
  <c r="B75" i="165"/>
  <c r="B123" i="165"/>
  <c r="B88" i="165"/>
  <c r="B112" i="165"/>
  <c r="B97" i="165"/>
  <c r="B79" i="165"/>
  <c r="B127" i="165"/>
  <c r="B90" i="165"/>
  <c r="B114" i="165"/>
  <c r="B101" i="165"/>
  <c r="B83" i="165"/>
  <c r="B92" i="165"/>
  <c r="B116" i="165"/>
  <c r="B105" i="165"/>
  <c r="B87" i="165"/>
  <c r="B94" i="165"/>
  <c r="B118" i="165"/>
  <c r="B109" i="165"/>
  <c r="B91" i="165"/>
  <c r="B72" i="165"/>
  <c r="B96" i="165"/>
  <c r="B120" i="165"/>
  <c r="B113" i="165"/>
  <c r="B95" i="165"/>
  <c r="B74" i="165"/>
  <c r="B98" i="165"/>
  <c r="B122" i="165"/>
  <c r="B117" i="165"/>
  <c r="B99" i="165"/>
  <c r="B76" i="165"/>
  <c r="B100" i="165"/>
  <c r="B124" i="165"/>
  <c r="B125" i="165"/>
  <c r="B104" i="165"/>
  <c r="B73" i="165"/>
  <c r="B121" i="165"/>
  <c r="B103" i="165"/>
  <c r="B78" i="165"/>
  <c r="B102" i="165"/>
  <c r="B77" i="165"/>
  <c r="B107" i="165"/>
  <c r="B80" i="165"/>
  <c r="B81" i="165"/>
  <c r="B111" i="165"/>
  <c r="B82" i="165"/>
  <c r="B106" i="165"/>
  <c r="B85" i="165"/>
  <c r="B115" i="165"/>
  <c r="B84" i="165"/>
  <c r="B108" i="165"/>
  <c r="J11" i="170"/>
  <c r="C11" i="170"/>
  <c r="E11" i="170"/>
  <c r="G11" i="170"/>
  <c r="I11" i="170"/>
  <c r="K11" i="170"/>
  <c r="B11" i="170"/>
  <c r="D11" i="170"/>
  <c r="F11" i="170"/>
  <c r="H11" i="170"/>
  <c r="B65" i="50"/>
  <c r="B67" i="50"/>
  <c r="B63" i="50"/>
  <c r="B62" i="50"/>
  <c r="B64" i="50"/>
  <c r="B66" i="50"/>
  <c r="B68" i="50"/>
  <c r="B9" i="143"/>
  <c r="B16" i="143"/>
  <c r="B24" i="143"/>
  <c r="B32" i="143"/>
  <c r="B40" i="143"/>
  <c r="B48" i="143"/>
  <c r="B20" i="163"/>
  <c r="B31" i="165"/>
  <c r="B55" i="165"/>
  <c r="B188" i="165"/>
  <c r="B143" i="165"/>
  <c r="B169" i="165"/>
  <c r="B154" i="165"/>
  <c r="B178" i="165"/>
  <c r="B147" i="165"/>
  <c r="B173" i="165"/>
  <c r="B156" i="165"/>
  <c r="B180" i="165"/>
  <c r="B151" i="165"/>
  <c r="B177" i="165"/>
  <c r="B134" i="165"/>
  <c r="B158" i="165"/>
  <c r="B182" i="165"/>
  <c r="B155" i="165"/>
  <c r="B133" i="165"/>
  <c r="B181" i="165"/>
  <c r="B136" i="165"/>
  <c r="B160" i="165"/>
  <c r="B184" i="165"/>
  <c r="B159" i="165"/>
  <c r="B137" i="165"/>
  <c r="B185" i="165"/>
  <c r="B138" i="165"/>
  <c r="B162" i="165"/>
  <c r="B186" i="165"/>
  <c r="B163" i="165"/>
  <c r="B141" i="165"/>
  <c r="B189" i="165"/>
  <c r="B140" i="165"/>
  <c r="B164" i="165"/>
  <c r="B167" i="165"/>
  <c r="B145" i="165"/>
  <c r="B142" i="165"/>
  <c r="B166" i="165"/>
  <c r="B171" i="165"/>
  <c r="B149" i="165"/>
  <c r="B144" i="165"/>
  <c r="B168" i="165"/>
  <c r="B172" i="165"/>
  <c r="B175" i="165"/>
  <c r="B153" i="165"/>
  <c r="B146" i="165"/>
  <c r="B170" i="165"/>
  <c r="B179" i="165"/>
  <c r="B157" i="165"/>
  <c r="B148" i="165"/>
  <c r="B135" i="165"/>
  <c r="B183" i="165"/>
  <c r="B161" i="165"/>
  <c r="B150" i="165"/>
  <c r="B174" i="165"/>
  <c r="B139" i="165"/>
  <c r="B187" i="165"/>
  <c r="B165" i="165"/>
  <c r="B152" i="165"/>
  <c r="B176" i="165"/>
  <c r="H11" i="176"/>
  <c r="B11" i="176"/>
  <c r="F11" i="176"/>
  <c r="D11" i="176"/>
  <c r="C11" i="176"/>
  <c r="E11" i="176"/>
  <c r="G11" i="176"/>
  <c r="E8" i="170"/>
  <c r="E8" i="171"/>
  <c r="E8" i="172"/>
  <c r="E8" i="173"/>
  <c r="E8" i="174"/>
  <c r="E8" i="175"/>
  <c r="F8" i="147"/>
  <c r="C8" i="175"/>
  <c r="C8" i="170"/>
  <c r="C8" i="171"/>
  <c r="C8" i="172"/>
  <c r="C8" i="173"/>
  <c r="C8" i="174"/>
  <c r="E8" i="146"/>
  <c r="G8" i="147"/>
  <c r="D8" i="149"/>
  <c r="G8" i="150"/>
  <c r="B20" i="162"/>
  <c r="B22" i="163"/>
  <c r="B31" i="162"/>
  <c r="B33" i="165"/>
  <c r="B57" i="165"/>
  <c r="B17" i="155"/>
  <c r="B18" i="155"/>
  <c r="B20" i="155"/>
  <c r="B22" i="155"/>
  <c r="B24" i="155"/>
  <c r="B26" i="155"/>
  <c r="G11" i="177"/>
  <c r="H11" i="177"/>
  <c r="F11" i="177"/>
  <c r="D11" i="177"/>
  <c r="B11" i="177"/>
  <c r="C11" i="177"/>
  <c r="E11" i="177"/>
  <c r="G11" i="156"/>
  <c r="H11" i="156"/>
  <c r="F11" i="156"/>
  <c r="D11" i="156"/>
  <c r="B11" i="156"/>
  <c r="F8" i="170"/>
  <c r="F8" i="171"/>
  <c r="F8" i="172"/>
  <c r="F8" i="173"/>
  <c r="F8" i="174"/>
  <c r="F8" i="175"/>
  <c r="F8" i="146"/>
  <c r="E8" i="149"/>
  <c r="B24" i="163"/>
  <c r="B9" i="163"/>
  <c r="B11" i="165"/>
  <c r="B35" i="165"/>
  <c r="B59" i="165"/>
  <c r="B66" i="169"/>
  <c r="B13" i="169"/>
  <c r="B37" i="169"/>
  <c r="B61" i="169"/>
  <c r="B12" i="169"/>
  <c r="B36" i="169"/>
  <c r="B60" i="169"/>
  <c r="B17" i="169"/>
  <c r="B65" i="169"/>
  <c r="B16" i="169"/>
  <c r="B64" i="169"/>
  <c r="B15" i="169"/>
  <c r="B39" i="169"/>
  <c r="B63" i="169"/>
  <c r="B14" i="169"/>
  <c r="B38" i="169"/>
  <c r="B62" i="169"/>
  <c r="B41" i="169"/>
  <c r="B40" i="169"/>
  <c r="B19" i="169"/>
  <c r="B43" i="169"/>
  <c r="B67" i="169"/>
  <c r="B18" i="169"/>
  <c r="B42" i="169"/>
  <c r="B21" i="169"/>
  <c r="B45" i="169"/>
  <c r="B23" i="169"/>
  <c r="B47" i="169"/>
  <c r="B22" i="169"/>
  <c r="B46" i="169"/>
  <c r="B25" i="169"/>
  <c r="B49" i="169"/>
  <c r="B24" i="169"/>
  <c r="B48" i="169"/>
  <c r="B27" i="169"/>
  <c r="B51" i="169"/>
  <c r="B26" i="169"/>
  <c r="B50" i="169"/>
  <c r="B29" i="169"/>
  <c r="B53" i="169"/>
  <c r="B28" i="169"/>
  <c r="B52" i="169"/>
  <c r="B20" i="169"/>
  <c r="B31" i="169"/>
  <c r="B55" i="169"/>
  <c r="B30" i="169"/>
  <c r="B54" i="169"/>
  <c r="B33" i="169"/>
  <c r="B57" i="169"/>
  <c r="B32" i="169"/>
  <c r="B56" i="169"/>
  <c r="B11" i="169"/>
  <c r="B35" i="169"/>
  <c r="B59" i="169"/>
  <c r="B10" i="169"/>
  <c r="B34" i="169"/>
  <c r="B58" i="169"/>
  <c r="B44" i="169"/>
  <c r="B26" i="163"/>
  <c r="B13" i="163"/>
  <c r="B48" i="167"/>
  <c r="B24" i="167"/>
  <c r="B45" i="167"/>
  <c r="B21" i="167"/>
  <c r="B46" i="167"/>
  <c r="B43" i="167"/>
  <c r="B19" i="167"/>
  <c r="B44" i="167"/>
  <c r="B65" i="167"/>
  <c r="B41" i="167"/>
  <c r="B17" i="167"/>
  <c r="B66" i="167"/>
  <c r="B42" i="167"/>
  <c r="B63" i="167"/>
  <c r="B39" i="167"/>
  <c r="B15" i="167"/>
  <c r="B64" i="167"/>
  <c r="B40" i="167"/>
  <c r="B61" i="167"/>
  <c r="B37" i="167"/>
  <c r="B13" i="167"/>
  <c r="B62" i="167"/>
  <c r="B38" i="167"/>
  <c r="B59" i="167"/>
  <c r="B35" i="167"/>
  <c r="B11" i="167"/>
  <c r="B60" i="167"/>
  <c r="B36" i="167"/>
  <c r="B57" i="167"/>
  <c r="B33" i="167"/>
  <c r="B14" i="167"/>
  <c r="F212" i="167" s="1"/>
  <c r="B58" i="167"/>
  <c r="B34" i="167"/>
  <c r="B55" i="167"/>
  <c r="B31" i="167"/>
  <c r="B22" i="167"/>
  <c r="B56" i="167"/>
  <c r="B32" i="167"/>
  <c r="B53" i="167"/>
  <c r="B29" i="167"/>
  <c r="B12" i="167"/>
  <c r="B54" i="167"/>
  <c r="B30" i="167"/>
  <c r="B51" i="167"/>
  <c r="B27" i="167"/>
  <c r="B16" i="167"/>
  <c r="B52" i="167"/>
  <c r="B28" i="167"/>
  <c r="B49" i="167"/>
  <c r="B25" i="167"/>
  <c r="B20" i="167"/>
  <c r="B50" i="167"/>
  <c r="B26" i="167"/>
  <c r="B47" i="167"/>
  <c r="B23" i="167"/>
  <c r="B18" i="167"/>
  <c r="B67" i="167"/>
  <c r="B193" i="169"/>
  <c r="B186" i="169"/>
  <c r="B162" i="169"/>
  <c r="B138" i="169"/>
  <c r="B136" i="169"/>
  <c r="B184" i="169"/>
  <c r="B160" i="169"/>
  <c r="B182" i="169"/>
  <c r="B158" i="169"/>
  <c r="B180" i="169"/>
  <c r="B156" i="169"/>
  <c r="B178" i="169"/>
  <c r="B154" i="169"/>
  <c r="B176" i="169"/>
  <c r="B152" i="169"/>
  <c r="B174" i="169"/>
  <c r="B150" i="169"/>
  <c r="B172" i="169"/>
  <c r="B148" i="169"/>
  <c r="B170" i="169"/>
  <c r="B146" i="169"/>
  <c r="B192" i="169"/>
  <c r="B168" i="169"/>
  <c r="B144" i="169"/>
  <c r="B190" i="169"/>
  <c r="B166" i="169"/>
  <c r="B142" i="169"/>
  <c r="B188" i="169"/>
  <c r="B164" i="169"/>
  <c r="B140" i="169"/>
  <c r="B147" i="169"/>
  <c r="B171" i="169"/>
  <c r="B151" i="169"/>
  <c r="B149" i="169"/>
  <c r="B173" i="169"/>
  <c r="B175" i="169"/>
  <c r="B155" i="169"/>
  <c r="B179" i="169"/>
  <c r="B153" i="169"/>
  <c r="B177" i="169"/>
  <c r="B157" i="169"/>
  <c r="B181" i="169"/>
  <c r="B159" i="169"/>
  <c r="B183" i="169"/>
  <c r="B139" i="169"/>
  <c r="B187" i="169"/>
  <c r="B137" i="169"/>
  <c r="B161" i="169"/>
  <c r="B185" i="169"/>
  <c r="B163" i="169"/>
  <c r="B141" i="169"/>
  <c r="B165" i="169"/>
  <c r="B189" i="169"/>
  <c r="B143" i="169"/>
  <c r="B167" i="169"/>
  <c r="B191" i="169"/>
  <c r="B145" i="169"/>
  <c r="B169" i="169"/>
  <c r="B11" i="155"/>
  <c r="B8" i="155"/>
  <c r="B9" i="155"/>
  <c r="B10" i="155"/>
  <c r="C8" i="177"/>
  <c r="C8" i="158"/>
  <c r="I8" i="172"/>
  <c r="I8" i="173"/>
  <c r="I8" i="174"/>
  <c r="I8" i="175"/>
  <c r="F8" i="177"/>
  <c r="F8" i="176"/>
  <c r="I8" i="170"/>
  <c r="I8" i="171"/>
  <c r="F8" i="158"/>
  <c r="D8" i="160"/>
  <c r="B26" i="162"/>
  <c r="B28" i="163"/>
  <c r="B15" i="165"/>
  <c r="B39" i="165"/>
  <c r="B63" i="165"/>
  <c r="B46" i="163"/>
  <c r="B51" i="163"/>
  <c r="B52" i="163"/>
  <c r="B184" i="167"/>
  <c r="B177" i="167"/>
  <c r="B171" i="167"/>
  <c r="B185" i="167"/>
  <c r="B156" i="167"/>
  <c r="B180" i="167"/>
  <c r="B181" i="167"/>
  <c r="B175" i="167"/>
  <c r="B158" i="167"/>
  <c r="B182" i="167"/>
  <c r="B183" i="167"/>
  <c r="B137" i="167"/>
  <c r="B188" i="167"/>
  <c r="B179" i="167"/>
  <c r="B136" i="167"/>
  <c r="B160" i="167"/>
  <c r="B186" i="167"/>
  <c r="B141" i="167"/>
  <c r="B135" i="167"/>
  <c r="B138" i="167"/>
  <c r="B162" i="167"/>
  <c r="B190" i="167"/>
  <c r="B145" i="167"/>
  <c r="B139" i="167"/>
  <c r="B140" i="167"/>
  <c r="B164" i="167"/>
  <c r="B149" i="167"/>
  <c r="B143" i="167"/>
  <c r="B142" i="167"/>
  <c r="B166" i="167"/>
  <c r="B153" i="167"/>
  <c r="B147" i="167"/>
  <c r="B144" i="167"/>
  <c r="B168" i="167"/>
  <c r="B157" i="167"/>
  <c r="B151" i="167"/>
  <c r="B146" i="167"/>
  <c r="B170" i="167"/>
  <c r="B161" i="167"/>
  <c r="B155" i="167"/>
  <c r="B148" i="167"/>
  <c r="B172" i="167"/>
  <c r="B165" i="167"/>
  <c r="B159" i="167"/>
  <c r="B191" i="167"/>
  <c r="B150" i="167"/>
  <c r="B174" i="167"/>
  <c r="B169" i="167"/>
  <c r="B189" i="167"/>
  <c r="B163" i="167"/>
  <c r="B152" i="167"/>
  <c r="B176" i="167"/>
  <c r="B173" i="167"/>
  <c r="B167" i="167"/>
  <c r="B187" i="167"/>
  <c r="B154" i="167"/>
  <c r="B178" i="167"/>
  <c r="B16" i="168"/>
  <c r="B15" i="168"/>
  <c r="B13" i="168"/>
  <c r="B14" i="168"/>
  <c r="B17" i="168"/>
  <c r="F12" i="154"/>
  <c r="G12" i="154"/>
  <c r="H12" i="154"/>
  <c r="I12" i="154"/>
  <c r="J12" i="154"/>
  <c r="B12" i="154"/>
  <c r="C12" i="154"/>
  <c r="D12" i="154"/>
  <c r="E12" i="154"/>
  <c r="G8" i="170"/>
  <c r="G8" i="171"/>
  <c r="G8" i="172"/>
  <c r="G8" i="173"/>
  <c r="G8" i="174"/>
  <c r="G8" i="175"/>
  <c r="G8" i="146"/>
  <c r="H8" i="160"/>
  <c r="H8" i="172"/>
  <c r="H8" i="173"/>
  <c r="H8" i="174"/>
  <c r="H8" i="175"/>
  <c r="H8" i="170"/>
  <c r="D8" i="177"/>
  <c r="D8" i="158"/>
  <c r="B17" i="163"/>
  <c r="K8" i="173"/>
  <c r="K8" i="174"/>
  <c r="K8" i="175"/>
  <c r="H8" i="177"/>
  <c r="H8" i="176"/>
  <c r="K8" i="170"/>
  <c r="K8" i="171"/>
  <c r="K8" i="172"/>
  <c r="H8" i="158"/>
  <c r="I8" i="146"/>
  <c r="I8" i="149"/>
  <c r="E8" i="160"/>
  <c r="E8" i="177"/>
  <c r="E8" i="158"/>
  <c r="B28" i="162"/>
  <c r="B30" i="163"/>
  <c r="B21" i="163"/>
  <c r="B17" i="165"/>
  <c r="B41" i="165"/>
  <c r="B65" i="165"/>
  <c r="B128" i="167"/>
  <c r="B74" i="167"/>
  <c r="B83" i="167"/>
  <c r="B107" i="167"/>
  <c r="B100" i="167"/>
  <c r="B126" i="167"/>
  <c r="B78" i="167"/>
  <c r="B109" i="167"/>
  <c r="B102" i="167"/>
  <c r="B80" i="167"/>
  <c r="B87" i="167"/>
  <c r="B111" i="167"/>
  <c r="B104" i="167"/>
  <c r="B84" i="167"/>
  <c r="B89" i="167"/>
  <c r="B113" i="167"/>
  <c r="B106" i="167"/>
  <c r="B88" i="167"/>
  <c r="B91" i="167"/>
  <c r="B115" i="167"/>
  <c r="B108" i="167"/>
  <c r="B94" i="167"/>
  <c r="B93" i="167"/>
  <c r="B117" i="167"/>
  <c r="B76" i="167"/>
  <c r="B110" i="167"/>
  <c r="B116" i="167"/>
  <c r="B95" i="167"/>
  <c r="B119" i="167"/>
  <c r="B82" i="167"/>
  <c r="B112" i="167"/>
  <c r="B73" i="167"/>
  <c r="B97" i="167"/>
  <c r="B121" i="167"/>
  <c r="B86" i="167"/>
  <c r="B114" i="167"/>
  <c r="B75" i="167"/>
  <c r="B99" i="167"/>
  <c r="B123" i="167"/>
  <c r="B90" i="167"/>
  <c r="B118" i="167"/>
  <c r="B77" i="167"/>
  <c r="B101" i="167"/>
  <c r="B125" i="167"/>
  <c r="B92" i="167"/>
  <c r="B120" i="167"/>
  <c r="B96" i="167"/>
  <c r="B79" i="167"/>
  <c r="B103" i="167"/>
  <c r="B127" i="167"/>
  <c r="B122" i="167"/>
  <c r="B81" i="167"/>
  <c r="B105" i="167"/>
  <c r="B129" i="167"/>
  <c r="B98" i="167"/>
  <c r="B124" i="167"/>
  <c r="B85" i="167"/>
  <c r="B28" i="168"/>
  <c r="B25" i="168"/>
  <c r="B27" i="168"/>
  <c r="B24" i="168"/>
  <c r="B26" i="168"/>
  <c r="G11" i="157"/>
  <c r="H11" i="157"/>
  <c r="F11" i="157"/>
  <c r="D11" i="157"/>
  <c r="B11" i="157"/>
  <c r="H8" i="147"/>
  <c r="H8" i="148"/>
  <c r="H8" i="149"/>
  <c r="H8" i="150"/>
  <c r="H8" i="152"/>
  <c r="E10" i="143"/>
  <c r="E54" i="143"/>
  <c r="E21" i="50" s="1"/>
  <c r="E39" i="143"/>
  <c r="E20" i="50" s="1"/>
  <c r="D77" i="64"/>
  <c r="D41" i="155" s="1"/>
  <c r="E31" i="155"/>
  <c r="E24" i="155"/>
  <c r="E21" i="155"/>
  <c r="E18" i="155"/>
  <c r="E16" i="155"/>
  <c r="C9" i="155"/>
  <c r="D11" i="155"/>
  <c r="D10" i="155"/>
  <c r="E9" i="155"/>
  <c r="D9" i="155"/>
  <c r="E7" i="155"/>
  <c r="C227" i="167" l="1"/>
  <c r="C212" i="167"/>
  <c r="C197" i="167"/>
  <c r="B227" i="167" a="1"/>
  <c r="B212" i="167" a="1"/>
  <c r="B197" i="167" a="1"/>
  <c r="E212" i="167"/>
  <c r="E227" i="167"/>
  <c r="E197" i="167"/>
  <c r="E39" i="155" a="1"/>
  <c r="E40" i="155" s="1"/>
  <c r="E136" i="143" a="1"/>
  <c r="D79" i="64"/>
  <c r="D81" i="64"/>
  <c r="D83" i="64"/>
  <c r="D104" i="64"/>
  <c r="D106" i="64"/>
  <c r="D108" i="64"/>
  <c r="D110" i="64"/>
  <c r="D40" i="155"/>
  <c r="D39" i="155"/>
  <c r="D78" i="64"/>
  <c r="D80" i="64"/>
  <c r="D82" i="64"/>
  <c r="D84" i="64"/>
  <c r="D105" i="64"/>
  <c r="D107" i="64"/>
  <c r="D109" i="64"/>
  <c r="D103" i="64"/>
  <c r="E14" i="50"/>
  <c r="E36" i="155" a="1"/>
  <c r="E33" i="155" a="1"/>
  <c r="E33" i="155" s="1"/>
  <c r="B232" i="167" l="1"/>
  <c r="B228" i="167"/>
  <c r="B227" i="167"/>
  <c r="B230" i="167"/>
  <c r="B231" i="167"/>
  <c r="B229" i="167"/>
  <c r="B236" i="167"/>
  <c r="B234" i="167"/>
  <c r="B233" i="167"/>
  <c r="B235" i="167"/>
  <c r="B202" i="167"/>
  <c r="B204" i="167"/>
  <c r="B200" i="167"/>
  <c r="B198" i="167"/>
  <c r="B206" i="167"/>
  <c r="B201" i="167"/>
  <c r="B197" i="167"/>
  <c r="B203" i="167"/>
  <c r="B199" i="167"/>
  <c r="B205" i="167"/>
  <c r="E41" i="155"/>
  <c r="B217" i="167"/>
  <c r="B220" i="167"/>
  <c r="B213" i="167"/>
  <c r="B212" i="167"/>
  <c r="B215" i="167"/>
  <c r="B216" i="167"/>
  <c r="B221" i="167"/>
  <c r="B219" i="167"/>
  <c r="B218" i="167"/>
  <c r="B214" i="167"/>
  <c r="E35" i="155"/>
  <c r="E39" i="155"/>
  <c r="E34" i="155"/>
  <c r="E136" i="143"/>
  <c r="E138" i="143"/>
  <c r="E140" i="143"/>
  <c r="E142" i="143"/>
  <c r="E144" i="143"/>
  <c r="E146" i="143"/>
  <c r="E148" i="143"/>
  <c r="E150" i="143"/>
  <c r="E152" i="143"/>
  <c r="E154" i="143"/>
  <c r="E156" i="143"/>
  <c r="E158" i="143"/>
  <c r="E160" i="143"/>
  <c r="E162" i="143"/>
  <c r="E164" i="143"/>
  <c r="E166" i="143"/>
  <c r="E168" i="143"/>
  <c r="E170" i="143"/>
  <c r="E172" i="143"/>
  <c r="E174" i="143"/>
  <c r="E176" i="143"/>
  <c r="E178" i="143"/>
  <c r="E180" i="143"/>
  <c r="E182" i="143"/>
  <c r="E184" i="143"/>
  <c r="E186" i="143"/>
  <c r="E188" i="143"/>
  <c r="E190" i="143"/>
  <c r="E192" i="143"/>
  <c r="E137" i="143"/>
  <c r="E139" i="143"/>
  <c r="E141" i="143"/>
  <c r="E143" i="143"/>
  <c r="E145" i="143"/>
  <c r="E147" i="143"/>
  <c r="E149" i="143"/>
  <c r="E151" i="143"/>
  <c r="E153" i="143"/>
  <c r="E155" i="143"/>
  <c r="E157" i="143"/>
  <c r="E159" i="143"/>
  <c r="E161" i="143"/>
  <c r="E163" i="143"/>
  <c r="E165" i="143"/>
  <c r="E167" i="143"/>
  <c r="E169" i="143"/>
  <c r="E171" i="143"/>
  <c r="E173" i="143"/>
  <c r="E175" i="143"/>
  <c r="E177" i="143"/>
  <c r="E179" i="143"/>
  <c r="E181" i="143"/>
  <c r="E183" i="143"/>
  <c r="E185" i="143"/>
  <c r="E187" i="143"/>
  <c r="E189" i="143"/>
  <c r="E191" i="143"/>
  <c r="E37" i="155"/>
  <c r="E36" i="155"/>
  <c r="E38" i="155"/>
  <c r="E89" i="64"/>
  <c r="D168" i="165"/>
  <c r="D134" i="165"/>
  <c r="D98" i="64" s="1"/>
  <c r="E63" i="64"/>
  <c r="E34" i="64"/>
  <c r="E23" i="64"/>
  <c r="E12" i="64"/>
  <c r="E132" i="165"/>
  <c r="E70" i="165"/>
  <c r="D72" i="165"/>
  <c r="D106" i="165"/>
  <c r="E52" i="64"/>
  <c r="E48" i="64"/>
  <c r="E44" i="64"/>
  <c r="E40" i="64"/>
  <c r="D47" i="64"/>
  <c r="E36" i="64"/>
  <c r="C25" i="64"/>
  <c r="D28" i="64"/>
  <c r="D27" i="64"/>
  <c r="D26" i="64"/>
  <c r="E25" i="64"/>
  <c r="D25" i="64"/>
  <c r="D17" i="64"/>
  <c r="D16" i="64"/>
  <c r="D15" i="64"/>
  <c r="D14" i="64"/>
  <c r="E14" i="64"/>
  <c r="E81" i="64" s="1" a="1"/>
  <c r="E84" i="64" s="1"/>
  <c r="C14" i="64"/>
  <c r="D42" i="164" l="1"/>
  <c r="D44" i="164"/>
  <c r="D43" i="164"/>
  <c r="D45" i="164"/>
  <c r="D330" i="161"/>
  <c r="D328" i="161"/>
  <c r="D326" i="161"/>
  <c r="D324" i="161"/>
  <c r="D322" i="161"/>
  <c r="D321" i="161"/>
  <c r="D320" i="161"/>
  <c r="D318" i="161"/>
  <c r="D316" i="161"/>
  <c r="D314" i="161"/>
  <c r="D312" i="161"/>
  <c r="D310" i="161"/>
  <c r="D309" i="161"/>
  <c r="D307" i="161"/>
  <c r="D305" i="161"/>
  <c r="D302" i="161"/>
  <c r="D300" i="161"/>
  <c r="D298" i="161"/>
  <c r="D296" i="161"/>
  <c r="D294" i="161"/>
  <c r="D329" i="161"/>
  <c r="D325" i="161"/>
  <c r="D319" i="161"/>
  <c r="D315" i="161"/>
  <c r="D311" i="161"/>
  <c r="D308" i="161"/>
  <c r="D301" i="161"/>
  <c r="D297" i="161"/>
  <c r="D260" i="161"/>
  <c r="D258" i="161"/>
  <c r="D255" i="161"/>
  <c r="D253" i="161"/>
  <c r="D251" i="161"/>
  <c r="D250" i="161"/>
  <c r="D248" i="161"/>
  <c r="D246" i="161"/>
  <c r="D243" i="161"/>
  <c r="D241" i="161"/>
  <c r="D239" i="161"/>
  <c r="D237" i="161"/>
  <c r="D235" i="161"/>
  <c r="D234" i="161"/>
  <c r="D233" i="161"/>
  <c r="D231" i="161"/>
  <c r="D229" i="161"/>
  <c r="D228" i="161"/>
  <c r="D226" i="161"/>
  <c r="D224" i="161"/>
  <c r="D189" i="161"/>
  <c r="D187" i="161"/>
  <c r="D185" i="161"/>
  <c r="D183" i="161"/>
  <c r="D179" i="161"/>
  <c r="D177" i="161"/>
  <c r="D175" i="161"/>
  <c r="D173" i="161"/>
  <c r="D171" i="161"/>
  <c r="D168" i="161"/>
  <c r="D166" i="161"/>
  <c r="D164" i="161"/>
  <c r="D163" i="161"/>
  <c r="D161" i="161"/>
  <c r="D159" i="161"/>
  <c r="D157" i="161"/>
  <c r="D155" i="161"/>
  <c r="D120" i="161"/>
  <c r="D118" i="161"/>
  <c r="D115" i="161"/>
  <c r="D113" i="161"/>
  <c r="D109" i="161"/>
  <c r="D327" i="161"/>
  <c r="D323" i="161"/>
  <c r="D317" i="161"/>
  <c r="D313" i="161"/>
  <c r="D306" i="161"/>
  <c r="D304" i="161"/>
  <c r="D303" i="161"/>
  <c r="D299" i="161"/>
  <c r="D295" i="161"/>
  <c r="D293" i="161"/>
  <c r="D292" i="161"/>
  <c r="D291" i="161"/>
  <c r="D259" i="161"/>
  <c r="D257" i="161"/>
  <c r="D256" i="161"/>
  <c r="D254" i="161"/>
  <c r="D252" i="161"/>
  <c r="D249" i="161"/>
  <c r="D247" i="161"/>
  <c r="D245" i="161"/>
  <c r="D244" i="161"/>
  <c r="D242" i="161"/>
  <c r="D240" i="161"/>
  <c r="D238" i="161"/>
  <c r="D236" i="161"/>
  <c r="D232" i="161"/>
  <c r="D230" i="161"/>
  <c r="D227" i="161"/>
  <c r="D225" i="161"/>
  <c r="D223" i="161"/>
  <c r="D222" i="161"/>
  <c r="D221" i="161"/>
  <c r="D190" i="161"/>
  <c r="D188" i="161"/>
  <c r="D186" i="161"/>
  <c r="D184" i="161"/>
  <c r="D182" i="161"/>
  <c r="D181" i="161"/>
  <c r="D180" i="161"/>
  <c r="D178" i="161"/>
  <c r="D176" i="161"/>
  <c r="D174" i="161"/>
  <c r="D172" i="161"/>
  <c r="D170" i="161"/>
  <c r="D169" i="161"/>
  <c r="D167" i="161"/>
  <c r="D165" i="161"/>
  <c r="D162" i="161"/>
  <c r="D160" i="161"/>
  <c r="D158" i="161"/>
  <c r="D154" i="161"/>
  <c r="D153" i="161"/>
  <c r="D152" i="161"/>
  <c r="D151" i="161"/>
  <c r="D117" i="161"/>
  <c r="D116" i="161"/>
  <c r="D112" i="161"/>
  <c r="D111" i="161"/>
  <c r="D110" i="161"/>
  <c r="D107" i="161"/>
  <c r="D105" i="161"/>
  <c r="D104" i="161"/>
  <c r="D102" i="161"/>
  <c r="D100" i="161"/>
  <c r="D99" i="161"/>
  <c r="D97" i="161"/>
  <c r="D95" i="161"/>
  <c r="D94" i="161"/>
  <c r="D93" i="161"/>
  <c r="D91" i="161"/>
  <c r="D89" i="161"/>
  <c r="D88" i="161"/>
  <c r="D86" i="161"/>
  <c r="D84" i="161"/>
  <c r="D156" i="161"/>
  <c r="D119" i="161"/>
  <c r="D114" i="161"/>
  <c r="D108" i="161"/>
  <c r="D106" i="161"/>
  <c r="D103" i="161"/>
  <c r="D101" i="161"/>
  <c r="D98" i="161"/>
  <c r="D96" i="161"/>
  <c r="D92" i="161"/>
  <c r="D90" i="161"/>
  <c r="D87" i="161"/>
  <c r="D85" i="161"/>
  <c r="D83" i="161"/>
  <c r="D82" i="161"/>
  <c r="D81" i="161"/>
  <c r="D44" i="64"/>
  <c r="D50" i="164"/>
  <c r="D49" i="164"/>
  <c r="D48" i="164"/>
  <c r="D47" i="164"/>
  <c r="D40" i="164"/>
  <c r="D39" i="164"/>
  <c r="D38" i="164"/>
  <c r="D37" i="164"/>
  <c r="D22" i="164"/>
  <c r="D23" i="164"/>
  <c r="D16" i="164"/>
  <c r="D15" i="164"/>
  <c r="D352" i="161"/>
  <c r="D350" i="161"/>
  <c r="D348" i="161"/>
  <c r="D347" i="161"/>
  <c r="D345" i="161"/>
  <c r="D343" i="161"/>
  <c r="D341" i="161"/>
  <c r="D339" i="161"/>
  <c r="D337" i="161"/>
  <c r="D335" i="161"/>
  <c r="D333" i="161"/>
  <c r="D14" i="164"/>
  <c r="D351" i="161"/>
  <c r="D344" i="161"/>
  <c r="D338" i="161"/>
  <c r="D336" i="161"/>
  <c r="D282" i="161"/>
  <c r="D280" i="161"/>
  <c r="D278" i="161"/>
  <c r="D276" i="161"/>
  <c r="D274" i="161"/>
  <c r="D272" i="161"/>
  <c r="D269" i="161"/>
  <c r="D267" i="161"/>
  <c r="D266" i="161"/>
  <c r="D264" i="161"/>
  <c r="D213" i="161"/>
  <c r="D211" i="161"/>
  <c r="D209" i="161"/>
  <c r="D206" i="161"/>
  <c r="D204" i="161"/>
  <c r="D202" i="161"/>
  <c r="D200" i="161"/>
  <c r="D198" i="161"/>
  <c r="D196" i="161"/>
  <c r="D194" i="161"/>
  <c r="D192" i="161"/>
  <c r="D191" i="161"/>
  <c r="D142" i="161"/>
  <c r="D140" i="161"/>
  <c r="D138" i="161"/>
  <c r="D137" i="161"/>
  <c r="D135" i="161"/>
  <c r="D133" i="161"/>
  <c r="D131" i="161"/>
  <c r="D129" i="161"/>
  <c r="D127" i="161"/>
  <c r="D125" i="161"/>
  <c r="D123" i="161"/>
  <c r="D17" i="164"/>
  <c r="D18" i="164"/>
  <c r="D353" i="161"/>
  <c r="D349" i="161"/>
  <c r="D346" i="161"/>
  <c r="D342" i="161"/>
  <c r="D340" i="161"/>
  <c r="D334" i="161"/>
  <c r="D332" i="161"/>
  <c r="D331" i="161"/>
  <c r="D283" i="161"/>
  <c r="D281" i="161"/>
  <c r="D279" i="161"/>
  <c r="D277" i="161"/>
  <c r="D275" i="161"/>
  <c r="D273" i="161"/>
  <c r="D271" i="161"/>
  <c r="D270" i="161"/>
  <c r="D268" i="161"/>
  <c r="D265" i="161"/>
  <c r="D263" i="161"/>
  <c r="D262" i="161"/>
  <c r="D261" i="161"/>
  <c r="D212" i="161"/>
  <c r="D210" i="161"/>
  <c r="D208" i="161"/>
  <c r="D207" i="161"/>
  <c r="D205" i="161"/>
  <c r="D203" i="161"/>
  <c r="D201" i="161"/>
  <c r="D199" i="161"/>
  <c r="D197" i="161"/>
  <c r="D195" i="161"/>
  <c r="D193" i="161"/>
  <c r="D143" i="161"/>
  <c r="D139" i="161"/>
  <c r="D136" i="161"/>
  <c r="D132" i="161"/>
  <c r="D130" i="161"/>
  <c r="D124" i="161"/>
  <c r="D122" i="161"/>
  <c r="D121" i="161"/>
  <c r="D141" i="161"/>
  <c r="D134" i="161"/>
  <c r="D128" i="161"/>
  <c r="D126" i="161"/>
  <c r="D102" i="169"/>
  <c r="D100" i="169"/>
  <c r="D98" i="169"/>
  <c r="D97" i="169"/>
  <c r="D95" i="169"/>
  <c r="D93" i="169"/>
  <c r="D92" i="169"/>
  <c r="D90" i="169"/>
  <c r="D88" i="169"/>
  <c r="D87" i="169"/>
  <c r="D86" i="169"/>
  <c r="D84" i="169"/>
  <c r="D82" i="169"/>
  <c r="D81" i="169"/>
  <c r="D79" i="169"/>
  <c r="D77" i="169"/>
  <c r="D76" i="169"/>
  <c r="D75" i="169"/>
  <c r="D74" i="169"/>
  <c r="D42" i="168"/>
  <c r="D101" i="169"/>
  <c r="D99" i="169"/>
  <c r="D96" i="169"/>
  <c r="D94" i="169"/>
  <c r="D91" i="169"/>
  <c r="D89" i="169"/>
  <c r="D85" i="169"/>
  <c r="D83" i="169"/>
  <c r="D80" i="169"/>
  <c r="D78" i="169"/>
  <c r="D43" i="168"/>
  <c r="D41" i="168"/>
  <c r="D40" i="168"/>
  <c r="D41" i="164"/>
  <c r="D14" i="162"/>
  <c r="D13" i="162"/>
  <c r="D11" i="162"/>
  <c r="D50" i="161"/>
  <c r="D48" i="161"/>
  <c r="D46" i="161"/>
  <c r="D44" i="161"/>
  <c r="D42" i="161"/>
  <c r="D40" i="161"/>
  <c r="D38" i="161"/>
  <c r="D36" i="161"/>
  <c r="D34" i="161"/>
  <c r="D32" i="161"/>
  <c r="D30" i="161"/>
  <c r="D28" i="161"/>
  <c r="D26" i="161"/>
  <c r="D24" i="161"/>
  <c r="D22" i="161"/>
  <c r="D20" i="161"/>
  <c r="D18" i="161"/>
  <c r="D16" i="161"/>
  <c r="D14" i="161"/>
  <c r="D12" i="161"/>
  <c r="D12" i="162"/>
  <c r="D47" i="161"/>
  <c r="D43" i="161"/>
  <c r="D39" i="161"/>
  <c r="D35" i="161"/>
  <c r="D31" i="161"/>
  <c r="D27" i="161"/>
  <c r="D23" i="161"/>
  <c r="D19" i="161"/>
  <c r="D15" i="161"/>
  <c r="D11" i="161"/>
  <c r="D17" i="161"/>
  <c r="D10" i="162"/>
  <c r="D49" i="161"/>
  <c r="D45" i="161"/>
  <c r="D41" i="161"/>
  <c r="D37" i="161"/>
  <c r="D33" i="161"/>
  <c r="D29" i="161"/>
  <c r="D25" i="161"/>
  <c r="D21" i="161"/>
  <c r="D13" i="161"/>
  <c r="D101" i="143"/>
  <c r="D99" i="143"/>
  <c r="D97" i="143"/>
  <c r="D95" i="143"/>
  <c r="D93" i="143"/>
  <c r="D91" i="143"/>
  <c r="D89" i="143"/>
  <c r="D87" i="143"/>
  <c r="D85" i="143"/>
  <c r="D83" i="143"/>
  <c r="D81" i="143"/>
  <c r="D79" i="143"/>
  <c r="D77" i="143"/>
  <c r="D75" i="143"/>
  <c r="D73" i="143"/>
  <c r="D100" i="143"/>
  <c r="D98" i="143"/>
  <c r="D96" i="143"/>
  <c r="D94" i="143"/>
  <c r="D92" i="143"/>
  <c r="D90" i="143"/>
  <c r="D88" i="143"/>
  <c r="D86" i="143"/>
  <c r="D84" i="143"/>
  <c r="D82" i="143"/>
  <c r="D80" i="143"/>
  <c r="D78" i="143"/>
  <c r="D76" i="143"/>
  <c r="D74" i="143"/>
  <c r="D22" i="155"/>
  <c r="D21" i="155"/>
  <c r="D23" i="155"/>
  <c r="D108" i="165"/>
  <c r="D110" i="165"/>
  <c r="D112" i="165"/>
  <c r="D114" i="165"/>
  <c r="D116" i="165"/>
  <c r="D118" i="165"/>
  <c r="D120" i="165"/>
  <c r="D122" i="165"/>
  <c r="D124" i="165"/>
  <c r="D126" i="165"/>
  <c r="D36" i="64"/>
  <c r="D38" i="64"/>
  <c r="D48" i="64" s="1"/>
  <c r="D55" i="64" s="1"/>
  <c r="D40" i="64"/>
  <c r="D192" i="169"/>
  <c r="D190" i="169"/>
  <c r="D188" i="169"/>
  <c r="D186" i="169"/>
  <c r="D184" i="169"/>
  <c r="D182" i="169"/>
  <c r="D180" i="169"/>
  <c r="D178" i="169"/>
  <c r="D176" i="169"/>
  <c r="D174" i="169"/>
  <c r="D172" i="169"/>
  <c r="D170" i="169"/>
  <c r="D168" i="169"/>
  <c r="D166" i="169"/>
  <c r="D101" i="168"/>
  <c r="D99" i="168"/>
  <c r="D93" i="168"/>
  <c r="D91" i="168"/>
  <c r="D76" i="168"/>
  <c r="D74" i="168"/>
  <c r="D68" i="168"/>
  <c r="D66" i="168"/>
  <c r="D193" i="169"/>
  <c r="D191" i="169"/>
  <c r="D189" i="169"/>
  <c r="D187" i="169"/>
  <c r="D185" i="169"/>
  <c r="D183" i="169"/>
  <c r="D181" i="169"/>
  <c r="D179" i="169"/>
  <c r="D177" i="169"/>
  <c r="D175" i="169"/>
  <c r="D173" i="169"/>
  <c r="D171" i="169"/>
  <c r="D169" i="169"/>
  <c r="D167" i="169"/>
  <c r="D102" i="168"/>
  <c r="D100" i="168"/>
  <c r="D94" i="168"/>
  <c r="D92" i="168"/>
  <c r="D75" i="168"/>
  <c r="D73" i="168"/>
  <c r="D67" i="168"/>
  <c r="D65" i="168"/>
  <c r="D191" i="143"/>
  <c r="D189" i="143"/>
  <c r="D187" i="143"/>
  <c r="D185" i="143"/>
  <c r="D183" i="143"/>
  <c r="D181" i="143"/>
  <c r="D179" i="143"/>
  <c r="D177" i="143"/>
  <c r="D175" i="143"/>
  <c r="D173" i="143"/>
  <c r="D171" i="143"/>
  <c r="D169" i="143"/>
  <c r="D167" i="143"/>
  <c r="D165" i="143"/>
  <c r="D192" i="143"/>
  <c r="D190" i="143"/>
  <c r="D188" i="143"/>
  <c r="D186" i="143"/>
  <c r="D184" i="143"/>
  <c r="D182" i="143"/>
  <c r="D180" i="143"/>
  <c r="D178" i="143"/>
  <c r="D176" i="143"/>
  <c r="D174" i="143"/>
  <c r="D172" i="143"/>
  <c r="D170" i="143"/>
  <c r="D168" i="143"/>
  <c r="D166" i="143"/>
  <c r="D35" i="155"/>
  <c r="D33" i="155"/>
  <c r="D34" i="155"/>
  <c r="D42" i="64"/>
  <c r="D65" i="64"/>
  <c r="D67" i="64"/>
  <c r="D69" i="64"/>
  <c r="D71" i="64"/>
  <c r="D73" i="64"/>
  <c r="D75" i="64"/>
  <c r="D92" i="64"/>
  <c r="D94" i="64"/>
  <c r="D96" i="64"/>
  <c r="D100" i="64"/>
  <c r="D102" i="64"/>
  <c r="D130" i="169"/>
  <c r="D128" i="169"/>
  <c r="D127" i="169"/>
  <c r="D125" i="169"/>
  <c r="D124" i="169"/>
  <c r="D122" i="169"/>
  <c r="D120" i="169"/>
  <c r="D119" i="169"/>
  <c r="D118" i="169"/>
  <c r="D116" i="169"/>
  <c r="D114" i="169"/>
  <c r="D111" i="169"/>
  <c r="D109" i="169"/>
  <c r="D108" i="169"/>
  <c r="D106" i="169"/>
  <c r="D47" i="168"/>
  <c r="D45" i="168"/>
  <c r="D44" i="168"/>
  <c r="D39" i="168"/>
  <c r="D37" i="168"/>
  <c r="D36" i="168"/>
  <c r="D129" i="169"/>
  <c r="D126" i="169"/>
  <c r="D123" i="169"/>
  <c r="D121" i="169"/>
  <c r="D117" i="169"/>
  <c r="D115" i="169"/>
  <c r="D113" i="169"/>
  <c r="D112" i="169"/>
  <c r="D110" i="169"/>
  <c r="D107" i="169"/>
  <c r="D105" i="169"/>
  <c r="D104" i="169"/>
  <c r="D103" i="169"/>
  <c r="D46" i="168"/>
  <c r="D38" i="168"/>
  <c r="D66" i="164"/>
  <c r="D56" i="164"/>
  <c r="D46" i="164"/>
  <c r="D21" i="164"/>
  <c r="D19" i="164"/>
  <c r="D12" i="164"/>
  <c r="D10" i="164"/>
  <c r="E10" i="166"/>
  <c r="D71" i="164"/>
  <c r="D61" i="164"/>
  <c r="D51" i="164"/>
  <c r="D36" i="164"/>
  <c r="D20" i="164"/>
  <c r="D13" i="164"/>
  <c r="D11" i="164"/>
  <c r="E13" i="166"/>
  <c r="E38" i="163"/>
  <c r="E36" i="163"/>
  <c r="E34" i="163"/>
  <c r="E32" i="163"/>
  <c r="E30" i="163"/>
  <c r="E28" i="163"/>
  <c r="E26" i="163"/>
  <c r="E24" i="163"/>
  <c r="E22" i="163"/>
  <c r="E20" i="163"/>
  <c r="E18" i="163"/>
  <c r="E16" i="163"/>
  <c r="E14" i="163"/>
  <c r="E12" i="163"/>
  <c r="E10" i="163"/>
  <c r="E8" i="163"/>
  <c r="D26" i="162"/>
  <c r="D22" i="162"/>
  <c r="D20" i="162"/>
  <c r="D18" i="162"/>
  <c r="D16" i="162"/>
  <c r="E39" i="163"/>
  <c r="E37" i="163"/>
  <c r="E35" i="163"/>
  <c r="E33" i="163"/>
  <c r="E31" i="163"/>
  <c r="E29" i="163"/>
  <c r="E27" i="163"/>
  <c r="E25" i="163"/>
  <c r="E23" i="163"/>
  <c r="E21" i="163"/>
  <c r="E19" i="163"/>
  <c r="E17" i="163"/>
  <c r="E15" i="163"/>
  <c r="E13" i="163"/>
  <c r="E11" i="163"/>
  <c r="E9" i="163"/>
  <c r="D25" i="162"/>
  <c r="D23" i="162"/>
  <c r="D21" i="162"/>
  <c r="D19" i="162"/>
  <c r="D17" i="162"/>
  <c r="D15" i="162"/>
  <c r="D72" i="161"/>
  <c r="D70" i="161"/>
  <c r="D68" i="161"/>
  <c r="D66" i="161"/>
  <c r="D64" i="161"/>
  <c r="D62" i="161"/>
  <c r="D60" i="161"/>
  <c r="D58" i="161"/>
  <c r="D56" i="161"/>
  <c r="D54" i="161"/>
  <c r="D52" i="161"/>
  <c r="D24" i="162"/>
  <c r="D71" i="161"/>
  <c r="D67" i="161"/>
  <c r="D63" i="161"/>
  <c r="D59" i="161"/>
  <c r="D55" i="161"/>
  <c r="D51" i="161"/>
  <c r="D73" i="161"/>
  <c r="D69" i="161"/>
  <c r="D65" i="161"/>
  <c r="D61" i="161"/>
  <c r="D57" i="161"/>
  <c r="D53" i="161"/>
  <c r="D129" i="143"/>
  <c r="D127" i="143"/>
  <c r="D125" i="143"/>
  <c r="D123" i="143"/>
  <c r="D121" i="143"/>
  <c r="D119" i="143"/>
  <c r="D117" i="143"/>
  <c r="D115" i="143"/>
  <c r="D113" i="143"/>
  <c r="D111" i="143"/>
  <c r="D109" i="143"/>
  <c r="D107" i="143"/>
  <c r="D105" i="143"/>
  <c r="D103" i="143"/>
  <c r="D128" i="143"/>
  <c r="D126" i="143"/>
  <c r="D124" i="143"/>
  <c r="D122" i="143"/>
  <c r="D120" i="143"/>
  <c r="D118" i="143"/>
  <c r="D116" i="143"/>
  <c r="D114" i="143"/>
  <c r="D112" i="143"/>
  <c r="D110" i="143"/>
  <c r="D108" i="143"/>
  <c r="D106" i="143"/>
  <c r="D104" i="143"/>
  <c r="D102" i="143"/>
  <c r="D19" i="155"/>
  <c r="D18" i="155"/>
  <c r="D20" i="155"/>
  <c r="D107" i="165"/>
  <c r="D109" i="165"/>
  <c r="D111" i="165"/>
  <c r="D113" i="165"/>
  <c r="D115" i="165"/>
  <c r="D117" i="165"/>
  <c r="D119" i="165"/>
  <c r="D121" i="165"/>
  <c r="D123" i="165"/>
  <c r="D125" i="165"/>
  <c r="D127" i="165"/>
  <c r="D37" i="64"/>
  <c r="D39" i="64"/>
  <c r="D45" i="64"/>
  <c r="D164" i="169"/>
  <c r="D162" i="169"/>
  <c r="D160" i="169"/>
  <c r="D158" i="169"/>
  <c r="D156" i="169"/>
  <c r="D154" i="169"/>
  <c r="D152" i="169"/>
  <c r="D150" i="169"/>
  <c r="D148" i="169"/>
  <c r="D146" i="169"/>
  <c r="D144" i="169"/>
  <c r="D142" i="169"/>
  <c r="D140" i="169"/>
  <c r="D138" i="169"/>
  <c r="D97" i="168"/>
  <c r="D95" i="168"/>
  <c r="D72" i="168"/>
  <c r="D70" i="168"/>
  <c r="D165" i="169"/>
  <c r="D163" i="169"/>
  <c r="D161" i="169"/>
  <c r="D159" i="169"/>
  <c r="D157" i="169"/>
  <c r="D155" i="169"/>
  <c r="D153" i="169"/>
  <c r="D151" i="169"/>
  <c r="D149" i="169"/>
  <c r="D147" i="169"/>
  <c r="D145" i="169"/>
  <c r="D143" i="169"/>
  <c r="D141" i="169"/>
  <c r="D139" i="169"/>
  <c r="D137" i="169"/>
  <c r="D98" i="168"/>
  <c r="D96" i="168"/>
  <c r="D71" i="168"/>
  <c r="D69" i="168"/>
  <c r="D136" i="143"/>
  <c r="D163" i="143"/>
  <c r="D161" i="143"/>
  <c r="D159" i="143"/>
  <c r="D157" i="143"/>
  <c r="D155" i="143"/>
  <c r="D153" i="143"/>
  <c r="D151" i="143"/>
  <c r="D149" i="143"/>
  <c r="D147" i="143"/>
  <c r="D145" i="143"/>
  <c r="D143" i="143"/>
  <c r="D141" i="143"/>
  <c r="D139" i="143"/>
  <c r="D137" i="143"/>
  <c r="D164" i="143"/>
  <c r="D162" i="143"/>
  <c r="D160" i="143"/>
  <c r="D158" i="143"/>
  <c r="D156" i="143"/>
  <c r="D154" i="143"/>
  <c r="D152" i="143"/>
  <c r="D150" i="143"/>
  <c r="D148" i="143"/>
  <c r="D146" i="143"/>
  <c r="D144" i="143"/>
  <c r="D142" i="143"/>
  <c r="D140" i="143"/>
  <c r="D138" i="143"/>
  <c r="D37" i="155"/>
  <c r="D38" i="155"/>
  <c r="D36" i="155"/>
  <c r="D41" i="64"/>
  <c r="D43" i="64"/>
  <c r="D66" i="64"/>
  <c r="D68" i="64"/>
  <c r="D70" i="64"/>
  <c r="D72" i="64"/>
  <c r="D74" i="64"/>
  <c r="D76" i="64"/>
  <c r="D91" i="64"/>
  <c r="D93" i="64"/>
  <c r="D95" i="64"/>
  <c r="D97" i="64"/>
  <c r="D99" i="64"/>
  <c r="D101" i="64"/>
  <c r="D26" i="155"/>
  <c r="D24" i="155"/>
  <c r="D25" i="155"/>
  <c r="D49" i="64"/>
  <c r="D53" i="64"/>
  <c r="D51" i="64"/>
  <c r="D54" i="64"/>
  <c r="E91" i="64" a="1"/>
  <c r="E91" i="64" s="1"/>
  <c r="E77" i="64" a="1"/>
  <c r="E79" i="64" s="1"/>
  <c r="D46" i="64"/>
  <c r="E73" i="64" a="1"/>
  <c r="E76" i="64" s="1"/>
  <c r="E83" i="64"/>
  <c r="E107" i="64" a="1"/>
  <c r="E99" i="64" a="1"/>
  <c r="E103" i="64" a="1"/>
  <c r="E95" i="64" a="1"/>
  <c r="E69" i="64" a="1"/>
  <c r="E71" i="64" s="1"/>
  <c r="E81" i="64"/>
  <c r="E65" i="64" a="1"/>
  <c r="E82" i="64"/>
  <c r="E8" i="50"/>
  <c r="C8" i="50"/>
  <c r="B8" i="50"/>
  <c r="D189" i="165"/>
  <c r="D188" i="165"/>
  <c r="D187" i="165"/>
  <c r="D186" i="165"/>
  <c r="D185" i="165"/>
  <c r="D184" i="165"/>
  <c r="D183" i="165"/>
  <c r="C134" i="165" a="1"/>
  <c r="C184" i="165" s="1"/>
  <c r="E122" i="165"/>
  <c r="C72" i="165" a="1"/>
  <c r="C73" i="165" s="1"/>
  <c r="E60" i="165"/>
  <c r="E59" i="165" s="1"/>
  <c r="D65" i="165"/>
  <c r="D64" i="165"/>
  <c r="D63" i="165"/>
  <c r="D62" i="165"/>
  <c r="D61" i="165"/>
  <c r="D60" i="165"/>
  <c r="D59" i="165"/>
  <c r="B131" i="178" l="1"/>
  <c r="B69" i="178"/>
  <c r="B7" i="178"/>
  <c r="B217" i="161"/>
  <c r="B287" i="161"/>
  <c r="B147" i="161"/>
  <c r="B77" i="161"/>
  <c r="C131" i="178"/>
  <c r="C7" i="178"/>
  <c r="C69" i="178"/>
  <c r="E131" i="178"/>
  <c r="E69" i="178"/>
  <c r="E7" i="178"/>
  <c r="D52" i="64"/>
  <c r="J8" i="172"/>
  <c r="E33" i="168"/>
  <c r="E22" i="168"/>
  <c r="J8" i="173"/>
  <c r="E71" i="169"/>
  <c r="J8" i="174"/>
  <c r="E134" i="169"/>
  <c r="E11" i="168"/>
  <c r="J8" i="175"/>
  <c r="E62" i="168"/>
  <c r="G8" i="177"/>
  <c r="G8" i="176"/>
  <c r="J8" i="170"/>
  <c r="J8" i="171"/>
  <c r="E8" i="169"/>
  <c r="E88" i="168"/>
  <c r="D50" i="64"/>
  <c r="B8" i="174"/>
  <c r="B8" i="169"/>
  <c r="B88" i="168"/>
  <c r="B8" i="175"/>
  <c r="B8" i="177"/>
  <c r="B8" i="176"/>
  <c r="B33" i="168"/>
  <c r="B22" i="168"/>
  <c r="B8" i="170"/>
  <c r="B71" i="169"/>
  <c r="B134" i="169"/>
  <c r="B11" i="168"/>
  <c r="B8" i="171"/>
  <c r="B8" i="172"/>
  <c r="B62" i="168"/>
  <c r="B8" i="173"/>
  <c r="C127" i="165"/>
  <c r="C119" i="165"/>
  <c r="C111" i="165"/>
  <c r="C95" i="165"/>
  <c r="C79" i="165"/>
  <c r="C103" i="165"/>
  <c r="C87" i="165"/>
  <c r="C88" i="168"/>
  <c r="C33" i="168"/>
  <c r="C71" i="169"/>
  <c r="C22" i="168"/>
  <c r="C11" i="168"/>
  <c r="C134" i="169"/>
  <c r="C62" i="168"/>
  <c r="C8" i="169"/>
  <c r="C123" i="165"/>
  <c r="C115" i="165"/>
  <c r="C107" i="165"/>
  <c r="C99" i="165"/>
  <c r="C91" i="165"/>
  <c r="C83" i="165"/>
  <c r="C75" i="165"/>
  <c r="B225" i="167"/>
  <c r="B210" i="167"/>
  <c r="B71" i="167"/>
  <c r="B195" i="167"/>
  <c r="B133" i="167"/>
  <c r="B9" i="167"/>
  <c r="B72" i="50"/>
  <c r="A2" i="54"/>
  <c r="B7" i="164"/>
  <c r="E225" i="167"/>
  <c r="E71" i="167"/>
  <c r="E195" i="167"/>
  <c r="E133" i="167"/>
  <c r="E9" i="167"/>
  <c r="E72" i="50"/>
  <c r="E7" i="164"/>
  <c r="C225" i="167"/>
  <c r="C210" i="167"/>
  <c r="C195" i="167"/>
  <c r="C133" i="167"/>
  <c r="C9" i="167"/>
  <c r="C71" i="167"/>
  <c r="C72" i="50"/>
  <c r="C7" i="164"/>
  <c r="C6" i="166"/>
  <c r="E94" i="64"/>
  <c r="B34" i="50"/>
  <c r="B133" i="143"/>
  <c r="B43" i="163"/>
  <c r="B5" i="163"/>
  <c r="E34" i="50"/>
  <c r="F43" i="163"/>
  <c r="F5" i="163"/>
  <c r="C5" i="163"/>
  <c r="C133" i="143"/>
  <c r="C43" i="163"/>
  <c r="E74" i="64"/>
  <c r="E93" i="64"/>
  <c r="E92" i="64"/>
  <c r="C6" i="162"/>
  <c r="C70" i="143"/>
  <c r="C7" i="143"/>
  <c r="C6" i="155"/>
  <c r="C30" i="155"/>
  <c r="C15" i="155"/>
  <c r="C88" i="64"/>
  <c r="C62" i="64"/>
  <c r="C33" i="64"/>
  <c r="C22" i="64"/>
  <c r="C11" i="64"/>
  <c r="C131" i="165"/>
  <c r="C69" i="165"/>
  <c r="C7" i="165"/>
  <c r="C60" i="50"/>
  <c r="E75" i="64"/>
  <c r="B6" i="162"/>
  <c r="B7" i="161"/>
  <c r="B8" i="158"/>
  <c r="B8" i="157"/>
  <c r="B8" i="156"/>
  <c r="B8" i="160"/>
  <c r="B8" i="152"/>
  <c r="B8" i="150"/>
  <c r="B8" i="149"/>
  <c r="B8" i="148"/>
  <c r="B8" i="147"/>
  <c r="B8" i="146"/>
  <c r="B70" i="143"/>
  <c r="B7" i="143"/>
  <c r="B9" i="154"/>
  <c r="B30" i="155"/>
  <c r="B15" i="155"/>
  <c r="B6" i="155"/>
  <c r="B7" i="165"/>
  <c r="B88" i="64"/>
  <c r="B62" i="64"/>
  <c r="B33" i="64"/>
  <c r="B22" i="64"/>
  <c r="B11" i="64"/>
  <c r="B131" i="165"/>
  <c r="B69" i="165"/>
  <c r="G8" i="158"/>
  <c r="G8" i="157"/>
  <c r="G8" i="156"/>
  <c r="J8" i="160"/>
  <c r="J8" i="152"/>
  <c r="J8" i="150"/>
  <c r="J8" i="149"/>
  <c r="J8" i="148"/>
  <c r="J8" i="147"/>
  <c r="J8" i="146"/>
  <c r="I9" i="154"/>
  <c r="E70" i="143"/>
  <c r="E7" i="143"/>
  <c r="E133" i="143"/>
  <c r="E30" i="155"/>
  <c r="E15" i="155"/>
  <c r="E6" i="155"/>
  <c r="E7" i="165"/>
  <c r="E88" i="64"/>
  <c r="E62" i="64"/>
  <c r="E33" i="64"/>
  <c r="E22" i="64"/>
  <c r="E11" i="64"/>
  <c r="E131" i="165"/>
  <c r="E69" i="165"/>
  <c r="C34" i="50"/>
  <c r="B60" i="50"/>
  <c r="E60" i="50"/>
  <c r="E80" i="64"/>
  <c r="E77" i="64"/>
  <c r="E78" i="64"/>
  <c r="E72" i="64"/>
  <c r="E73" i="64"/>
  <c r="E106" i="64"/>
  <c r="E103" i="64"/>
  <c r="E105" i="64"/>
  <c r="E104" i="64"/>
  <c r="E110" i="64"/>
  <c r="E109" i="64"/>
  <c r="E107" i="64"/>
  <c r="E108" i="64"/>
  <c r="E69" i="64"/>
  <c r="E70" i="64"/>
  <c r="E98" i="64"/>
  <c r="E95" i="64"/>
  <c r="E97" i="64"/>
  <c r="E96" i="64"/>
  <c r="E101" i="64"/>
  <c r="E100" i="64"/>
  <c r="E99" i="64"/>
  <c r="E102" i="64"/>
  <c r="E65" i="64"/>
  <c r="E67" i="64"/>
  <c r="E66" i="64"/>
  <c r="E68" i="64"/>
  <c r="C144" i="165"/>
  <c r="C160" i="165"/>
  <c r="C176" i="165"/>
  <c r="C125" i="165"/>
  <c r="C121" i="165"/>
  <c r="C117" i="165"/>
  <c r="C113" i="165"/>
  <c r="C109" i="165"/>
  <c r="C105" i="165"/>
  <c r="C101" i="165"/>
  <c r="C97" i="165"/>
  <c r="C93" i="165"/>
  <c r="C89" i="165"/>
  <c r="C85" i="165"/>
  <c r="C81" i="165"/>
  <c r="C77" i="165"/>
  <c r="C136" i="165"/>
  <c r="C152" i="165"/>
  <c r="C168" i="165"/>
  <c r="E121" i="165"/>
  <c r="C72" i="165"/>
  <c r="C74" i="165"/>
  <c r="C76" i="165"/>
  <c r="C78" i="165"/>
  <c r="C80" i="165"/>
  <c r="C82" i="165"/>
  <c r="C84" i="165"/>
  <c r="C86" i="165"/>
  <c r="C88" i="165"/>
  <c r="C90" i="165"/>
  <c r="C92" i="165"/>
  <c r="C94" i="165"/>
  <c r="C96" i="165"/>
  <c r="C98" i="165"/>
  <c r="C100" i="165"/>
  <c r="C102" i="165"/>
  <c r="C104" i="165"/>
  <c r="C106" i="165"/>
  <c r="C108" i="165"/>
  <c r="C110" i="165"/>
  <c r="C112" i="165"/>
  <c r="C114" i="165"/>
  <c r="C116" i="165"/>
  <c r="C118" i="165"/>
  <c r="C120" i="165"/>
  <c r="C122" i="165"/>
  <c r="C124" i="165"/>
  <c r="C126" i="165"/>
  <c r="C189" i="165"/>
  <c r="C186" i="165"/>
  <c r="C182" i="165"/>
  <c r="C178" i="165"/>
  <c r="C174" i="165"/>
  <c r="C170" i="165"/>
  <c r="C166" i="165"/>
  <c r="C162" i="165"/>
  <c r="C158" i="165"/>
  <c r="C154" i="165"/>
  <c r="C150" i="165"/>
  <c r="C146" i="165"/>
  <c r="C142" i="165"/>
  <c r="C138" i="165"/>
  <c r="C134" i="165"/>
  <c r="C140" i="165"/>
  <c r="C148" i="165"/>
  <c r="C156" i="165"/>
  <c r="C164" i="165"/>
  <c r="C172" i="165"/>
  <c r="C180" i="165"/>
  <c r="C188" i="165"/>
  <c r="C135" i="165"/>
  <c r="C137" i="165"/>
  <c r="C139" i="165"/>
  <c r="C141" i="165"/>
  <c r="C143" i="165"/>
  <c r="C145" i="165"/>
  <c r="C147" i="165"/>
  <c r="C149" i="165"/>
  <c r="C151" i="165"/>
  <c r="C153" i="165"/>
  <c r="C155" i="165"/>
  <c r="C157" i="165"/>
  <c r="C159" i="165"/>
  <c r="C161" i="165"/>
  <c r="C163" i="165"/>
  <c r="C165" i="165"/>
  <c r="C167" i="165"/>
  <c r="C169" i="165"/>
  <c r="C171" i="165"/>
  <c r="C173" i="165"/>
  <c r="C175" i="165"/>
  <c r="C177" i="165"/>
  <c r="C179" i="165"/>
  <c r="C181" i="165"/>
  <c r="C183" i="165"/>
  <c r="C185" i="165"/>
  <c r="C187" i="165"/>
  <c r="D58" i="165" l="1"/>
  <c r="D57" i="165"/>
  <c r="D56" i="165"/>
  <c r="D55" i="165"/>
  <c r="D54" i="165"/>
  <c r="D53" i="165"/>
  <c r="D52" i="165"/>
  <c r="D51" i="165"/>
  <c r="D50" i="165"/>
  <c r="D49" i="165"/>
  <c r="D48" i="165"/>
  <c r="D47" i="165"/>
  <c r="D46" i="165"/>
  <c r="D45" i="165"/>
  <c r="D44" i="165"/>
  <c r="D43" i="165"/>
  <c r="D42" i="165"/>
  <c r="D41" i="165"/>
  <c r="D40" i="165"/>
  <c r="D39" i="165"/>
  <c r="D38" i="165"/>
  <c r="D37" i="165"/>
  <c r="D36" i="165"/>
  <c r="D35" i="165"/>
  <c r="D34" i="165"/>
  <c r="D33" i="165"/>
  <c r="D32" i="165"/>
  <c r="D31" i="165"/>
  <c r="D30" i="165"/>
  <c r="D29" i="165"/>
  <c r="D28" i="165"/>
  <c r="D27" i="165"/>
  <c r="D26" i="165"/>
  <c r="D25" i="165"/>
  <c r="D24" i="165"/>
  <c r="D23" i="165"/>
  <c r="D22" i="165"/>
  <c r="D21" i="165"/>
  <c r="D20" i="165"/>
  <c r="D19" i="165"/>
  <c r="D18" i="165"/>
  <c r="D17" i="165"/>
  <c r="D16" i="165"/>
  <c r="D15" i="165"/>
  <c r="D14" i="165"/>
  <c r="D13" i="165"/>
  <c r="D12" i="165"/>
  <c r="D11" i="165"/>
  <c r="D10" i="165"/>
  <c r="D68" i="50"/>
  <c r="D67" i="50"/>
  <c r="D66" i="50"/>
  <c r="D65" i="50"/>
  <c r="D64" i="50"/>
  <c r="D63" i="50"/>
  <c r="D56" i="50"/>
  <c r="D55" i="50"/>
  <c r="D54" i="50"/>
  <c r="D53" i="50"/>
  <c r="D52" i="50"/>
  <c r="D51" i="50"/>
  <c r="D50" i="50"/>
  <c r="D49" i="50"/>
  <c r="D48" i="50"/>
  <c r="D47" i="50"/>
  <c r="D46" i="50"/>
  <c r="D45" i="50"/>
  <c r="D44" i="50"/>
  <c r="D43" i="50"/>
  <c r="D42" i="50"/>
  <c r="D41" i="50"/>
  <c r="D40" i="50"/>
  <c r="D39" i="50"/>
  <c r="D38" i="50"/>
  <c r="D30" i="50"/>
  <c r="D29" i="50"/>
  <c r="D28" i="50"/>
  <c r="D27" i="50"/>
  <c r="D26" i="50"/>
  <c r="D25" i="50"/>
  <c r="D24" i="50"/>
  <c r="D23" i="50"/>
  <c r="D22" i="50"/>
  <c r="D21" i="50"/>
  <c r="D20" i="50"/>
  <c r="D19" i="50"/>
  <c r="D18" i="50"/>
  <c r="D17" i="50"/>
  <c r="D16" i="50"/>
  <c r="D15" i="50"/>
  <c r="D14" i="50"/>
  <c r="D13" i="50"/>
  <c r="D12" i="50"/>
  <c r="D182" i="165"/>
  <c r="D181" i="165"/>
  <c r="D180" i="165"/>
  <c r="D179" i="165"/>
  <c r="D178" i="165"/>
  <c r="D177" i="165"/>
  <c r="D176" i="165"/>
  <c r="D175" i="165"/>
  <c r="D174" i="165"/>
  <c r="D173" i="165"/>
  <c r="D172" i="165"/>
  <c r="D171" i="165"/>
  <c r="D170" i="165"/>
  <c r="D169" i="165"/>
  <c r="D166" i="165"/>
  <c r="D165" i="165"/>
  <c r="D164" i="165"/>
  <c r="D163" i="165"/>
  <c r="D161" i="165"/>
  <c r="D160" i="165"/>
  <c r="D159" i="165"/>
  <c r="D158" i="165"/>
  <c r="D157" i="165"/>
  <c r="D156" i="165"/>
  <c r="D154" i="165"/>
  <c r="D153" i="165"/>
  <c r="D152" i="165"/>
  <c r="D151" i="165"/>
  <c r="D150" i="165"/>
  <c r="D149" i="165"/>
  <c r="D147" i="165"/>
  <c r="D146" i="165"/>
  <c r="D145" i="165"/>
  <c r="D144" i="165"/>
  <c r="D143" i="165"/>
  <c r="D142" i="165"/>
  <c r="D140" i="165"/>
  <c r="D139" i="165"/>
  <c r="D138" i="165"/>
  <c r="D137" i="165"/>
  <c r="D136" i="165"/>
  <c r="D135" i="165"/>
  <c r="D105" i="165"/>
  <c r="D104" i="165"/>
  <c r="D103" i="165"/>
  <c r="D102" i="165"/>
  <c r="D101" i="165"/>
  <c r="D100" i="165"/>
  <c r="D99" i="165"/>
  <c r="D98" i="165"/>
  <c r="D97" i="165"/>
  <c r="D96" i="165"/>
  <c r="D95" i="165"/>
  <c r="D94" i="165"/>
  <c r="D93" i="165"/>
  <c r="D92" i="165"/>
  <c r="D91" i="165"/>
  <c r="D90" i="165"/>
  <c r="D89" i="165"/>
  <c r="D88" i="165"/>
  <c r="D87" i="165"/>
  <c r="D86" i="165"/>
  <c r="D85" i="165"/>
  <c r="D84" i="165"/>
  <c r="D83" i="165"/>
  <c r="D82" i="165"/>
  <c r="D81" i="165"/>
  <c r="D80" i="165"/>
  <c r="D79" i="165"/>
  <c r="D78" i="165"/>
  <c r="D77" i="165"/>
  <c r="D76" i="165"/>
  <c r="D75" i="165"/>
  <c r="D74" i="165"/>
  <c r="D73" i="165"/>
  <c r="E8" i="165"/>
  <c r="E61" i="50"/>
  <c r="E35" i="50"/>
  <c r="E9" i="50"/>
  <c r="K29" i="162" l="1"/>
  <c r="K31" i="162" s="1"/>
  <c r="J10" i="162"/>
  <c r="E12" i="165"/>
  <c r="E17" i="165"/>
  <c r="E23" i="165"/>
  <c r="E28" i="165"/>
  <c r="E34" i="165"/>
  <c r="E39" i="165"/>
  <c r="E45" i="165"/>
  <c r="E49" i="165"/>
  <c r="E53" i="165"/>
  <c r="C1" i="165"/>
  <c r="B5" i="54"/>
  <c r="E115" i="165"/>
  <c r="E111" i="165"/>
  <c r="E107" i="165"/>
  <c r="E101" i="165"/>
  <c r="E96" i="165"/>
  <c r="E90" i="165"/>
  <c r="E85" i="165"/>
  <c r="E79" i="165"/>
  <c r="E74" i="165"/>
  <c r="E63" i="50"/>
  <c r="B3" i="54"/>
  <c r="B4" i="54"/>
  <c r="F91" i="54"/>
  <c r="C38" i="50"/>
  <c r="C40" i="50"/>
  <c r="C41" i="50"/>
  <c r="C48" i="50"/>
  <c r="C55" i="50"/>
  <c r="C56" i="50"/>
  <c r="I613" i="154"/>
  <c r="E22" i="50" s="1"/>
  <c r="J613" i="146"/>
  <c r="E24" i="50" s="1"/>
  <c r="J613" i="147"/>
  <c r="E25" i="50" s="1"/>
  <c r="J613" i="148"/>
  <c r="E26" i="50" s="1"/>
  <c r="J613" i="149"/>
  <c r="E27" i="50" s="1"/>
  <c r="J613" i="150"/>
  <c r="E28" i="50" s="1"/>
  <c r="J613" i="152"/>
  <c r="E29" i="50" s="1"/>
  <c r="J613" i="160"/>
  <c r="E30" i="50" s="1"/>
  <c r="C46" i="154"/>
  <c r="F13" i="146"/>
  <c r="F16" i="146"/>
  <c r="F19" i="146"/>
  <c r="F22" i="146"/>
  <c r="F25" i="146"/>
  <c r="F58" i="146" s="1"/>
  <c r="F28" i="146"/>
  <c r="F31" i="146"/>
  <c r="F34" i="146"/>
  <c r="F37" i="146"/>
  <c r="F40" i="146"/>
  <c r="F43" i="146"/>
  <c r="F46" i="146"/>
  <c r="F49" i="146"/>
  <c r="F52" i="146"/>
  <c r="F55" i="146"/>
  <c r="F61" i="146"/>
  <c r="F64" i="146"/>
  <c r="F67" i="146"/>
  <c r="F70" i="146"/>
  <c r="F73" i="146"/>
  <c r="F76" i="146"/>
  <c r="F79" i="146"/>
  <c r="F82" i="146"/>
  <c r="F85" i="146"/>
  <c r="F88" i="146"/>
  <c r="F91" i="146"/>
  <c r="F94" i="146"/>
  <c r="F97" i="146"/>
  <c r="F100" i="146"/>
  <c r="F103" i="146"/>
  <c r="F106" i="146"/>
  <c r="F109" i="146"/>
  <c r="F112" i="146"/>
  <c r="F115" i="146"/>
  <c r="F118" i="146"/>
  <c r="F121" i="146"/>
  <c r="F124" i="146"/>
  <c r="F127" i="146"/>
  <c r="F130" i="146"/>
  <c r="F133" i="146"/>
  <c r="F136" i="146"/>
  <c r="F139" i="146"/>
  <c r="F142" i="146"/>
  <c r="F145" i="146"/>
  <c r="F148" i="146"/>
  <c r="F151" i="146"/>
  <c r="F154" i="146"/>
  <c r="F157" i="146"/>
  <c r="F160" i="146"/>
  <c r="F163" i="146"/>
  <c r="F166" i="146"/>
  <c r="F169" i="146"/>
  <c r="F172" i="146"/>
  <c r="F175" i="146"/>
  <c r="F178" i="146"/>
  <c r="F181" i="146"/>
  <c r="F184" i="146"/>
  <c r="F187" i="146"/>
  <c r="F190" i="146"/>
  <c r="F193" i="146"/>
  <c r="F196" i="146"/>
  <c r="F199" i="146"/>
  <c r="F202" i="146"/>
  <c r="F205" i="146"/>
  <c r="F208" i="146"/>
  <c r="F211" i="146"/>
  <c r="F214" i="146"/>
  <c r="F217" i="146"/>
  <c r="F220" i="146"/>
  <c r="F223" i="146"/>
  <c r="F226" i="146"/>
  <c r="F229" i="146"/>
  <c r="F232" i="146"/>
  <c r="F235" i="146"/>
  <c r="F238" i="146"/>
  <c r="F241" i="146"/>
  <c r="F244" i="146"/>
  <c r="F247" i="146"/>
  <c r="F250" i="146"/>
  <c r="F253" i="146"/>
  <c r="F256" i="146"/>
  <c r="F259" i="146"/>
  <c r="F262" i="146"/>
  <c r="F265" i="146"/>
  <c r="F268" i="146"/>
  <c r="F271" i="146"/>
  <c r="F274" i="146"/>
  <c r="F277" i="146"/>
  <c r="F280" i="146"/>
  <c r="F283" i="146"/>
  <c r="F286" i="146"/>
  <c r="F289" i="146"/>
  <c r="F292" i="146"/>
  <c r="F295" i="146"/>
  <c r="F298" i="146"/>
  <c r="F301" i="146"/>
  <c r="F304" i="146"/>
  <c r="F307" i="146"/>
  <c r="F310" i="146"/>
  <c r="F313" i="146"/>
  <c r="F316" i="146"/>
  <c r="F319" i="146"/>
  <c r="F322" i="146"/>
  <c r="F325" i="146"/>
  <c r="F328" i="146"/>
  <c r="F331" i="146"/>
  <c r="F334" i="146"/>
  <c r="F337" i="146"/>
  <c r="F340" i="146"/>
  <c r="F343" i="146"/>
  <c r="F346" i="146"/>
  <c r="F349" i="146"/>
  <c r="F352" i="146"/>
  <c r="F355" i="146"/>
  <c r="F358" i="146"/>
  <c r="F361" i="146"/>
  <c r="F364" i="146"/>
  <c r="F367" i="146"/>
  <c r="F370" i="146"/>
  <c r="F373" i="146"/>
  <c r="F376" i="146"/>
  <c r="F379" i="146"/>
  <c r="F382" i="146"/>
  <c r="F385" i="146"/>
  <c r="F388" i="146"/>
  <c r="F391" i="146"/>
  <c r="F394" i="146"/>
  <c r="F397" i="146"/>
  <c r="F400" i="146"/>
  <c r="F403" i="146"/>
  <c r="F406" i="146"/>
  <c r="F409" i="146"/>
  <c r="F412" i="146"/>
  <c r="F415" i="146"/>
  <c r="F418" i="146"/>
  <c r="F421" i="146"/>
  <c r="F424" i="146"/>
  <c r="F427" i="146"/>
  <c r="F430" i="146"/>
  <c r="F433" i="146"/>
  <c r="F436" i="146"/>
  <c r="F439" i="146"/>
  <c r="F442" i="146"/>
  <c r="F445" i="146"/>
  <c r="F448" i="146"/>
  <c r="F451" i="146"/>
  <c r="F454" i="146"/>
  <c r="F457" i="146"/>
  <c r="F460" i="146"/>
  <c r="F463" i="146"/>
  <c r="F466" i="146"/>
  <c r="F469" i="146"/>
  <c r="F472" i="146"/>
  <c r="F475" i="146"/>
  <c r="F478" i="146"/>
  <c r="F481" i="146"/>
  <c r="F484" i="146"/>
  <c r="F487" i="146"/>
  <c r="F490" i="146"/>
  <c r="F493" i="146"/>
  <c r="F496" i="146"/>
  <c r="F499" i="146"/>
  <c r="F502" i="146"/>
  <c r="F505" i="146"/>
  <c r="F508" i="146"/>
  <c r="F511" i="146"/>
  <c r="F514" i="146"/>
  <c r="F517" i="146"/>
  <c r="F520" i="146"/>
  <c r="F523" i="146"/>
  <c r="F526" i="146"/>
  <c r="F529" i="146"/>
  <c r="F532" i="146"/>
  <c r="F535" i="146"/>
  <c r="F538" i="146"/>
  <c r="F541" i="146"/>
  <c r="F544" i="146"/>
  <c r="F547" i="146"/>
  <c r="F550" i="146"/>
  <c r="F553" i="146"/>
  <c r="F556" i="146"/>
  <c r="F559" i="146"/>
  <c r="F562" i="146"/>
  <c r="F565" i="146"/>
  <c r="F568" i="146"/>
  <c r="F571" i="146"/>
  <c r="F574" i="146"/>
  <c r="F577" i="146"/>
  <c r="F580" i="146"/>
  <c r="F583" i="146"/>
  <c r="F586" i="146"/>
  <c r="F589" i="146"/>
  <c r="F592" i="146"/>
  <c r="F595" i="146"/>
  <c r="F598" i="146"/>
  <c r="F601" i="146"/>
  <c r="F604" i="146"/>
  <c r="F607" i="146"/>
  <c r="F610" i="146"/>
  <c r="F58" i="147"/>
  <c r="F13" i="147"/>
  <c r="F16" i="147"/>
  <c r="F19" i="147"/>
  <c r="F22" i="147"/>
  <c r="F25" i="147"/>
  <c r="F28" i="147"/>
  <c r="F31" i="147"/>
  <c r="F34" i="147"/>
  <c r="F37" i="147"/>
  <c r="F40" i="147"/>
  <c r="F43" i="147"/>
  <c r="F46" i="147"/>
  <c r="F49" i="147"/>
  <c r="F52" i="147"/>
  <c r="F55" i="147"/>
  <c r="F61" i="147"/>
  <c r="F64" i="147"/>
  <c r="F67" i="147"/>
  <c r="F70" i="147"/>
  <c r="F73" i="147"/>
  <c r="F76" i="147"/>
  <c r="F79" i="147"/>
  <c r="F82" i="147"/>
  <c r="F85" i="147"/>
  <c r="F88" i="147"/>
  <c r="F91" i="147"/>
  <c r="F94" i="147"/>
  <c r="F97" i="147"/>
  <c r="F100" i="147"/>
  <c r="F103" i="147"/>
  <c r="F106" i="147"/>
  <c r="F109" i="147"/>
  <c r="F112" i="147"/>
  <c r="F115" i="147"/>
  <c r="F118" i="147"/>
  <c r="F121" i="147"/>
  <c r="F124" i="147"/>
  <c r="F127" i="147"/>
  <c r="F130" i="147"/>
  <c r="F133" i="147"/>
  <c r="F136" i="147"/>
  <c r="F139" i="147"/>
  <c r="F142" i="147"/>
  <c r="F145" i="147"/>
  <c r="F148" i="147"/>
  <c r="F151" i="147"/>
  <c r="F154" i="147"/>
  <c r="F157" i="147"/>
  <c r="F160" i="147"/>
  <c r="F163" i="147"/>
  <c r="F166" i="147"/>
  <c r="F169" i="147"/>
  <c r="F172" i="147"/>
  <c r="F175" i="147"/>
  <c r="F178" i="147"/>
  <c r="F181" i="147"/>
  <c r="F184" i="147"/>
  <c r="F187" i="147"/>
  <c r="F190" i="147"/>
  <c r="F193" i="147"/>
  <c r="F196" i="147"/>
  <c r="F199" i="147"/>
  <c r="F202" i="147"/>
  <c r="F205" i="147"/>
  <c r="F208" i="147"/>
  <c r="F211" i="147"/>
  <c r="F214" i="147"/>
  <c r="F217" i="147"/>
  <c r="F220" i="147"/>
  <c r="F223" i="147"/>
  <c r="F226" i="147"/>
  <c r="F229" i="147"/>
  <c r="F232" i="147"/>
  <c r="F235" i="147"/>
  <c r="F238" i="147"/>
  <c r="F241" i="147"/>
  <c r="F244" i="147"/>
  <c r="F247" i="147"/>
  <c r="F250" i="147"/>
  <c r="F253" i="147"/>
  <c r="F256" i="147"/>
  <c r="F259" i="147"/>
  <c r="F262" i="147"/>
  <c r="F265" i="147"/>
  <c r="F268" i="147"/>
  <c r="F271" i="147"/>
  <c r="F274" i="147"/>
  <c r="F277" i="147"/>
  <c r="F280" i="147"/>
  <c r="F283" i="147"/>
  <c r="F286" i="147"/>
  <c r="F289" i="147"/>
  <c r="F292" i="147"/>
  <c r="F295" i="147"/>
  <c r="F298" i="147"/>
  <c r="F301" i="147"/>
  <c r="F304" i="147"/>
  <c r="F307" i="147"/>
  <c r="F310" i="147"/>
  <c r="F313" i="147"/>
  <c r="F316" i="147"/>
  <c r="F319" i="147"/>
  <c r="F322" i="147"/>
  <c r="F325" i="147"/>
  <c r="F328" i="147"/>
  <c r="F331" i="147"/>
  <c r="F334" i="147"/>
  <c r="F337" i="147"/>
  <c r="F340" i="147"/>
  <c r="F343" i="147"/>
  <c r="F346" i="147"/>
  <c r="F349" i="147"/>
  <c r="F352" i="147"/>
  <c r="F355" i="147"/>
  <c r="F358" i="147"/>
  <c r="F361" i="147"/>
  <c r="F364" i="147"/>
  <c r="F367" i="147"/>
  <c r="F370" i="147"/>
  <c r="F373" i="147"/>
  <c r="F376" i="147"/>
  <c r="F379" i="147"/>
  <c r="F382" i="147"/>
  <c r="F385" i="147"/>
  <c r="F388" i="147"/>
  <c r="F391" i="147"/>
  <c r="F394" i="147"/>
  <c r="F397" i="147"/>
  <c r="F400" i="147"/>
  <c r="F403" i="147"/>
  <c r="F406" i="147"/>
  <c r="F409" i="147"/>
  <c r="F412" i="147"/>
  <c r="F415" i="147"/>
  <c r="F418" i="147"/>
  <c r="F421" i="147"/>
  <c r="F424" i="147"/>
  <c r="F427" i="147"/>
  <c r="F430" i="147"/>
  <c r="F433" i="147"/>
  <c r="F436" i="147"/>
  <c r="F439" i="147"/>
  <c r="F442" i="147"/>
  <c r="F445" i="147"/>
  <c r="F448" i="147"/>
  <c r="F451" i="147"/>
  <c r="F454" i="147"/>
  <c r="F457" i="147"/>
  <c r="F460" i="147"/>
  <c r="F463" i="147"/>
  <c r="F466" i="147"/>
  <c r="F469" i="147"/>
  <c r="F472" i="147"/>
  <c r="F475" i="147"/>
  <c r="F478" i="147"/>
  <c r="F481" i="147"/>
  <c r="F484" i="147"/>
  <c r="F487" i="147"/>
  <c r="F490" i="147"/>
  <c r="F493" i="147"/>
  <c r="F496" i="147"/>
  <c r="F499" i="147"/>
  <c r="F502" i="147"/>
  <c r="F505" i="147"/>
  <c r="F508" i="147"/>
  <c r="F511" i="147"/>
  <c r="F514" i="147"/>
  <c r="F517" i="147"/>
  <c r="F520" i="147"/>
  <c r="F523" i="147"/>
  <c r="F526" i="147"/>
  <c r="F529" i="147"/>
  <c r="F532" i="147"/>
  <c r="F535" i="147"/>
  <c r="F538" i="147"/>
  <c r="F541" i="147"/>
  <c r="F544" i="147"/>
  <c r="F547" i="147"/>
  <c r="F550" i="147"/>
  <c r="F553" i="147"/>
  <c r="F556" i="147"/>
  <c r="F559" i="147"/>
  <c r="F562" i="147"/>
  <c r="F565" i="147"/>
  <c r="F568" i="147"/>
  <c r="F571" i="147"/>
  <c r="F574" i="147"/>
  <c r="F577" i="147"/>
  <c r="F580" i="147"/>
  <c r="F583" i="147"/>
  <c r="F586" i="147"/>
  <c r="F589" i="147"/>
  <c r="F592" i="147"/>
  <c r="F595" i="147"/>
  <c r="F598" i="147"/>
  <c r="F601" i="147"/>
  <c r="F604" i="147"/>
  <c r="F607" i="147"/>
  <c r="F610" i="147"/>
  <c r="F13" i="148"/>
  <c r="F16" i="148"/>
  <c r="F19" i="148"/>
  <c r="F22" i="148"/>
  <c r="F25" i="148"/>
  <c r="F28" i="148"/>
  <c r="F31" i="148"/>
  <c r="F34" i="148"/>
  <c r="F37" i="148"/>
  <c r="F40" i="148"/>
  <c r="F43" i="148"/>
  <c r="F46" i="148"/>
  <c r="F49" i="148"/>
  <c r="F52" i="148"/>
  <c r="F55" i="148"/>
  <c r="C610" i="148"/>
  <c r="F61" i="148"/>
  <c r="F64" i="148"/>
  <c r="F67" i="148"/>
  <c r="F70" i="148"/>
  <c r="F73" i="148"/>
  <c r="F76" i="148"/>
  <c r="F79" i="148"/>
  <c r="F82" i="148"/>
  <c r="F85" i="148"/>
  <c r="F88" i="148"/>
  <c r="F91" i="148"/>
  <c r="F94" i="148"/>
  <c r="F97" i="148"/>
  <c r="F100" i="148"/>
  <c r="F103" i="148"/>
  <c r="F106" i="148"/>
  <c r="F109" i="148"/>
  <c r="F112" i="148"/>
  <c r="F115" i="148"/>
  <c r="F118" i="148"/>
  <c r="F121" i="148"/>
  <c r="F124" i="148"/>
  <c r="F127" i="148"/>
  <c r="F130" i="148"/>
  <c r="F133" i="148"/>
  <c r="F136" i="148"/>
  <c r="F139" i="148"/>
  <c r="F142" i="148"/>
  <c r="F145" i="148"/>
  <c r="F148" i="148"/>
  <c r="F151" i="148"/>
  <c r="F154" i="148"/>
  <c r="F157" i="148"/>
  <c r="F160" i="148"/>
  <c r="F163" i="148"/>
  <c r="F166" i="148"/>
  <c r="F169" i="148"/>
  <c r="F172" i="148"/>
  <c r="F175" i="148"/>
  <c r="F178" i="148"/>
  <c r="F181" i="148"/>
  <c r="F184" i="148"/>
  <c r="F187" i="148"/>
  <c r="F190" i="148"/>
  <c r="F193" i="148"/>
  <c r="F196" i="148"/>
  <c r="F199" i="148"/>
  <c r="F202" i="148"/>
  <c r="F205" i="148"/>
  <c r="F208" i="148"/>
  <c r="F211" i="148"/>
  <c r="F214" i="148"/>
  <c r="F217" i="148"/>
  <c r="F220" i="148"/>
  <c r="F223" i="148"/>
  <c r="F226" i="148"/>
  <c r="F229" i="148"/>
  <c r="F232" i="148"/>
  <c r="F235" i="148"/>
  <c r="F238" i="148"/>
  <c r="F241" i="148"/>
  <c r="F244" i="148"/>
  <c r="F247" i="148"/>
  <c r="F250" i="148"/>
  <c r="F253" i="148"/>
  <c r="F256" i="148"/>
  <c r="F259" i="148"/>
  <c r="F262" i="148"/>
  <c r="F265" i="148"/>
  <c r="F268" i="148"/>
  <c r="F271" i="148"/>
  <c r="F274" i="148"/>
  <c r="F277" i="148"/>
  <c r="F280" i="148"/>
  <c r="F283" i="148"/>
  <c r="F286" i="148"/>
  <c r="F289" i="148"/>
  <c r="F292" i="148"/>
  <c r="F295" i="148"/>
  <c r="F298" i="148"/>
  <c r="F301" i="148"/>
  <c r="F304" i="148"/>
  <c r="F307" i="148"/>
  <c r="F310" i="148"/>
  <c r="F313" i="148"/>
  <c r="F316" i="148"/>
  <c r="F319" i="148"/>
  <c r="F322" i="148"/>
  <c r="F325" i="148"/>
  <c r="F328" i="148"/>
  <c r="F331" i="148"/>
  <c r="F334" i="148"/>
  <c r="F337" i="148"/>
  <c r="F340" i="148"/>
  <c r="F343" i="148"/>
  <c r="F346" i="148"/>
  <c r="F349" i="148"/>
  <c r="F352" i="148"/>
  <c r="F355" i="148"/>
  <c r="F358" i="148"/>
  <c r="F361" i="148"/>
  <c r="F364" i="148"/>
  <c r="F367" i="148"/>
  <c r="F370" i="148"/>
  <c r="F373" i="148"/>
  <c r="F376" i="148"/>
  <c r="F379" i="148"/>
  <c r="F382" i="148"/>
  <c r="F385" i="148"/>
  <c r="F388" i="148"/>
  <c r="F391" i="148"/>
  <c r="F394" i="148"/>
  <c r="F397" i="148"/>
  <c r="F400" i="148"/>
  <c r="F403" i="148"/>
  <c r="F406" i="148"/>
  <c r="F409" i="148"/>
  <c r="F412" i="148"/>
  <c r="F415" i="148"/>
  <c r="F418" i="148"/>
  <c r="F421" i="148"/>
  <c r="F424" i="148"/>
  <c r="F427" i="148"/>
  <c r="F430" i="148"/>
  <c r="F433" i="148"/>
  <c r="F436" i="148"/>
  <c r="F439" i="148"/>
  <c r="F442" i="148"/>
  <c r="F445" i="148"/>
  <c r="F448" i="148"/>
  <c r="F451" i="148"/>
  <c r="F454" i="148"/>
  <c r="F457" i="148"/>
  <c r="F460" i="148"/>
  <c r="F463" i="148"/>
  <c r="F466" i="148"/>
  <c r="F469" i="148"/>
  <c r="F472" i="148"/>
  <c r="F475" i="148"/>
  <c r="F478" i="148"/>
  <c r="F481" i="148"/>
  <c r="F484" i="148"/>
  <c r="F487" i="148"/>
  <c r="F490" i="148"/>
  <c r="F493" i="148"/>
  <c r="F496" i="148"/>
  <c r="F499" i="148"/>
  <c r="F502" i="148"/>
  <c r="F505" i="148"/>
  <c r="F508" i="148"/>
  <c r="F511" i="148"/>
  <c r="F514" i="148"/>
  <c r="F517" i="148"/>
  <c r="F520" i="148"/>
  <c r="F523" i="148"/>
  <c r="F526" i="148"/>
  <c r="F529" i="148"/>
  <c r="F532" i="148"/>
  <c r="F535" i="148"/>
  <c r="F538" i="148"/>
  <c r="F541" i="148"/>
  <c r="F544" i="148"/>
  <c r="F547" i="148"/>
  <c r="F550" i="148"/>
  <c r="F553" i="148"/>
  <c r="F556" i="148"/>
  <c r="F559" i="148"/>
  <c r="F562" i="148"/>
  <c r="F565" i="148"/>
  <c r="F568" i="148"/>
  <c r="F571" i="148"/>
  <c r="F574" i="148"/>
  <c r="F577" i="148"/>
  <c r="F580" i="148"/>
  <c r="F583" i="148"/>
  <c r="F586" i="148"/>
  <c r="F589" i="148"/>
  <c r="F592" i="148"/>
  <c r="F595" i="148"/>
  <c r="F598" i="148"/>
  <c r="F601" i="148"/>
  <c r="F604" i="148"/>
  <c r="F607" i="148"/>
  <c r="F610" i="148"/>
  <c r="F13" i="149"/>
  <c r="F16" i="149"/>
  <c r="F19" i="149"/>
  <c r="F22" i="149"/>
  <c r="F25" i="149"/>
  <c r="F58" i="149" s="1"/>
  <c r="F28" i="149"/>
  <c r="F31" i="149"/>
  <c r="F34" i="149"/>
  <c r="F37" i="149"/>
  <c r="F40" i="149"/>
  <c r="F43" i="149"/>
  <c r="F46" i="149"/>
  <c r="F49" i="149"/>
  <c r="F52" i="149"/>
  <c r="F55" i="149"/>
  <c r="F61" i="149"/>
  <c r="F64" i="149"/>
  <c r="F67" i="149"/>
  <c r="F70" i="149"/>
  <c r="F73" i="149"/>
  <c r="F76" i="149"/>
  <c r="F79" i="149"/>
  <c r="F82" i="149"/>
  <c r="F85" i="149"/>
  <c r="F88" i="149"/>
  <c r="F91" i="149"/>
  <c r="F94" i="149"/>
  <c r="F97" i="149"/>
  <c r="F100" i="149"/>
  <c r="F103" i="149"/>
  <c r="F106" i="149"/>
  <c r="F109" i="149"/>
  <c r="F112" i="149"/>
  <c r="F115" i="149"/>
  <c r="F118" i="149"/>
  <c r="F121" i="149"/>
  <c r="F124" i="149"/>
  <c r="F127" i="149"/>
  <c r="F130" i="149"/>
  <c r="F133" i="149"/>
  <c r="F136" i="149"/>
  <c r="F139" i="149"/>
  <c r="F142" i="149"/>
  <c r="F145" i="149"/>
  <c r="F148" i="149"/>
  <c r="F151" i="149"/>
  <c r="F154" i="149"/>
  <c r="F157" i="149"/>
  <c r="F160" i="149"/>
  <c r="F163" i="149"/>
  <c r="F166" i="149"/>
  <c r="F169" i="149"/>
  <c r="F172" i="149"/>
  <c r="F175" i="149"/>
  <c r="F178" i="149"/>
  <c r="F181" i="149"/>
  <c r="F184" i="149"/>
  <c r="F187" i="149"/>
  <c r="F190" i="149"/>
  <c r="F193" i="149"/>
  <c r="F196" i="149"/>
  <c r="F199" i="149"/>
  <c r="F202" i="149"/>
  <c r="F205" i="149"/>
  <c r="F208" i="149"/>
  <c r="F211" i="149"/>
  <c r="F214" i="149"/>
  <c r="F217" i="149"/>
  <c r="F220" i="149"/>
  <c r="F223" i="149"/>
  <c r="F226" i="149"/>
  <c r="F229" i="149"/>
  <c r="F232" i="149"/>
  <c r="F235" i="149"/>
  <c r="F238" i="149"/>
  <c r="F241" i="149"/>
  <c r="F244" i="149"/>
  <c r="F247" i="149"/>
  <c r="F250" i="149"/>
  <c r="F253" i="149"/>
  <c r="F256" i="149"/>
  <c r="F259" i="149"/>
  <c r="F262" i="149"/>
  <c r="F265" i="149"/>
  <c r="F268" i="149"/>
  <c r="F271" i="149"/>
  <c r="F274" i="149"/>
  <c r="F277" i="149"/>
  <c r="F280" i="149"/>
  <c r="F283" i="149"/>
  <c r="F286" i="149"/>
  <c r="F289" i="149"/>
  <c r="F292" i="149"/>
  <c r="F295" i="149"/>
  <c r="F298" i="149"/>
  <c r="F301" i="149"/>
  <c r="F304" i="149"/>
  <c r="F307" i="149"/>
  <c r="F310" i="149"/>
  <c r="F313" i="149"/>
  <c r="F316" i="149"/>
  <c r="F319" i="149"/>
  <c r="F322" i="149"/>
  <c r="F325" i="149"/>
  <c r="F328" i="149"/>
  <c r="F331" i="149"/>
  <c r="F334" i="149"/>
  <c r="F337" i="149"/>
  <c r="F340" i="149"/>
  <c r="F343" i="149"/>
  <c r="F346" i="149"/>
  <c r="F349" i="149"/>
  <c r="F352" i="149"/>
  <c r="F355" i="149"/>
  <c r="F358" i="149"/>
  <c r="F361" i="149"/>
  <c r="F364" i="149"/>
  <c r="F367" i="149"/>
  <c r="F370" i="149"/>
  <c r="F373" i="149"/>
  <c r="F376" i="149"/>
  <c r="F379" i="149"/>
  <c r="F382" i="149"/>
  <c r="F385" i="149"/>
  <c r="F388" i="149"/>
  <c r="F391" i="149"/>
  <c r="F394" i="149"/>
  <c r="F397" i="149"/>
  <c r="F400" i="149"/>
  <c r="F403" i="149"/>
  <c r="F406" i="149"/>
  <c r="F409" i="149"/>
  <c r="F412" i="149"/>
  <c r="F415" i="149"/>
  <c r="F418" i="149"/>
  <c r="F421" i="149"/>
  <c r="F424" i="149"/>
  <c r="F427" i="149"/>
  <c r="F430" i="149"/>
  <c r="F433" i="149"/>
  <c r="F436" i="149"/>
  <c r="F439" i="149"/>
  <c r="F442" i="149"/>
  <c r="F445" i="149"/>
  <c r="F448" i="149"/>
  <c r="F451" i="149"/>
  <c r="F454" i="149"/>
  <c r="F457" i="149"/>
  <c r="F460" i="149"/>
  <c r="F463" i="149"/>
  <c r="F466" i="149"/>
  <c r="F469" i="149"/>
  <c r="F472" i="149"/>
  <c r="F475" i="149"/>
  <c r="F478" i="149"/>
  <c r="F481" i="149"/>
  <c r="F484" i="149"/>
  <c r="F487" i="149"/>
  <c r="F490" i="149"/>
  <c r="F493" i="149"/>
  <c r="F496" i="149"/>
  <c r="F499" i="149"/>
  <c r="F502" i="149"/>
  <c r="F505" i="149"/>
  <c r="F508" i="149"/>
  <c r="F511" i="149"/>
  <c r="F514" i="149"/>
  <c r="F517" i="149"/>
  <c r="F520" i="149"/>
  <c r="F523" i="149"/>
  <c r="F526" i="149"/>
  <c r="F529" i="149"/>
  <c r="F532" i="149"/>
  <c r="F535" i="149"/>
  <c r="F538" i="149"/>
  <c r="F541" i="149"/>
  <c r="F544" i="149"/>
  <c r="F547" i="149"/>
  <c r="F550" i="149"/>
  <c r="F553" i="149"/>
  <c r="F556" i="149"/>
  <c r="F559" i="149"/>
  <c r="F562" i="149"/>
  <c r="F565" i="149"/>
  <c r="F568" i="149"/>
  <c r="F571" i="149"/>
  <c r="F574" i="149"/>
  <c r="F577" i="149"/>
  <c r="F580" i="149"/>
  <c r="F583" i="149"/>
  <c r="F586" i="149"/>
  <c r="F589" i="149"/>
  <c r="F592" i="149"/>
  <c r="F595" i="149"/>
  <c r="F598" i="149"/>
  <c r="F601" i="149"/>
  <c r="F604" i="149"/>
  <c r="F607" i="149"/>
  <c r="F610" i="149"/>
  <c r="F13" i="150"/>
  <c r="F16" i="150"/>
  <c r="F19" i="150"/>
  <c r="F22" i="150"/>
  <c r="F25" i="150"/>
  <c r="F58" i="150" s="1"/>
  <c r="F28" i="150"/>
  <c r="F31" i="150"/>
  <c r="F34" i="150"/>
  <c r="F37" i="150"/>
  <c r="F40" i="150"/>
  <c r="F43" i="150"/>
  <c r="F46" i="150"/>
  <c r="F49" i="150"/>
  <c r="F52" i="150"/>
  <c r="F55" i="150"/>
  <c r="F61" i="150"/>
  <c r="F64" i="150"/>
  <c r="F67" i="150"/>
  <c r="F70" i="150"/>
  <c r="F73" i="150"/>
  <c r="F76" i="150"/>
  <c r="F79" i="150"/>
  <c r="F82" i="150"/>
  <c r="F85" i="150"/>
  <c r="F88" i="150"/>
  <c r="F91" i="150"/>
  <c r="F94" i="150"/>
  <c r="F97" i="150"/>
  <c r="F100" i="150"/>
  <c r="F103" i="150"/>
  <c r="F106" i="150"/>
  <c r="F109" i="150"/>
  <c r="F112" i="150"/>
  <c r="F115" i="150"/>
  <c r="F118" i="150"/>
  <c r="F121" i="150"/>
  <c r="F124" i="150"/>
  <c r="F127" i="150"/>
  <c r="F130" i="150"/>
  <c r="F133" i="150"/>
  <c r="F136" i="150"/>
  <c r="F139" i="150"/>
  <c r="F142" i="150"/>
  <c r="F145" i="150"/>
  <c r="F148" i="150"/>
  <c r="F151" i="150"/>
  <c r="F154" i="150"/>
  <c r="F157" i="150"/>
  <c r="F160" i="150"/>
  <c r="F163" i="150"/>
  <c r="F166" i="150"/>
  <c r="F169" i="150"/>
  <c r="F172" i="150"/>
  <c r="F175" i="150"/>
  <c r="F178" i="150"/>
  <c r="F181" i="150"/>
  <c r="F184" i="150"/>
  <c r="F187" i="150"/>
  <c r="F190" i="150"/>
  <c r="F193" i="150"/>
  <c r="F196" i="150"/>
  <c r="F199" i="150"/>
  <c r="F202" i="150"/>
  <c r="F205" i="150"/>
  <c r="F208" i="150"/>
  <c r="F211" i="150"/>
  <c r="F214" i="150"/>
  <c r="F217" i="150"/>
  <c r="F220" i="150"/>
  <c r="F223" i="150"/>
  <c r="F226" i="150"/>
  <c r="F229" i="150"/>
  <c r="F232" i="150"/>
  <c r="F235" i="150"/>
  <c r="F238" i="150"/>
  <c r="F241" i="150"/>
  <c r="F244" i="150"/>
  <c r="F247" i="150"/>
  <c r="F250" i="150"/>
  <c r="F253" i="150"/>
  <c r="F256" i="150"/>
  <c r="F259" i="150"/>
  <c r="F262" i="150"/>
  <c r="F265" i="150"/>
  <c r="F268" i="150"/>
  <c r="F271" i="150"/>
  <c r="F274" i="150"/>
  <c r="F277" i="150"/>
  <c r="F280" i="150"/>
  <c r="F283" i="150"/>
  <c r="F286" i="150"/>
  <c r="F289" i="150"/>
  <c r="F292" i="150"/>
  <c r="F295" i="150"/>
  <c r="F298" i="150"/>
  <c r="F301" i="150"/>
  <c r="F304" i="150"/>
  <c r="F307" i="150"/>
  <c r="F310" i="150"/>
  <c r="F313" i="150"/>
  <c r="F316" i="150"/>
  <c r="F319" i="150"/>
  <c r="F322" i="150"/>
  <c r="F325" i="150"/>
  <c r="F328" i="150"/>
  <c r="F331" i="150"/>
  <c r="F334" i="150"/>
  <c r="F337" i="150"/>
  <c r="F340" i="150"/>
  <c r="F343" i="150"/>
  <c r="F346" i="150"/>
  <c r="F349" i="150"/>
  <c r="F352" i="150"/>
  <c r="F355" i="150"/>
  <c r="F358" i="150"/>
  <c r="F361" i="150"/>
  <c r="F364" i="150"/>
  <c r="F367" i="150"/>
  <c r="F370" i="150"/>
  <c r="F373" i="150"/>
  <c r="F376" i="150"/>
  <c r="F379" i="150"/>
  <c r="F382" i="150"/>
  <c r="F385" i="150"/>
  <c r="F388" i="150"/>
  <c r="F391" i="150"/>
  <c r="F394" i="150"/>
  <c r="F397" i="150"/>
  <c r="F400" i="150"/>
  <c r="F403" i="150"/>
  <c r="F406" i="150"/>
  <c r="F409" i="150"/>
  <c r="F412" i="150"/>
  <c r="F415" i="150"/>
  <c r="F418" i="150"/>
  <c r="F421" i="150"/>
  <c r="F424" i="150"/>
  <c r="F427" i="150"/>
  <c r="F430" i="150"/>
  <c r="F433" i="150"/>
  <c r="F436" i="150"/>
  <c r="F439" i="150"/>
  <c r="F442" i="150"/>
  <c r="F445" i="150"/>
  <c r="F448" i="150"/>
  <c r="F451" i="150"/>
  <c r="F454" i="150"/>
  <c r="F457" i="150"/>
  <c r="F460" i="150"/>
  <c r="F463" i="150"/>
  <c r="F466" i="150"/>
  <c r="F469" i="150"/>
  <c r="F472" i="150"/>
  <c r="F475" i="150"/>
  <c r="F478" i="150"/>
  <c r="F481" i="150"/>
  <c r="F484" i="150"/>
  <c r="F487" i="150"/>
  <c r="F490" i="150"/>
  <c r="F493" i="150"/>
  <c r="F496" i="150"/>
  <c r="F499" i="150"/>
  <c r="F502" i="150"/>
  <c r="F505" i="150"/>
  <c r="F508" i="150"/>
  <c r="F511" i="150"/>
  <c r="F514" i="150"/>
  <c r="F517" i="150"/>
  <c r="F520" i="150"/>
  <c r="F523" i="150"/>
  <c r="F526" i="150"/>
  <c r="F529" i="150"/>
  <c r="F532" i="150"/>
  <c r="F535" i="150"/>
  <c r="F538" i="150"/>
  <c r="F541" i="150"/>
  <c r="F544" i="150"/>
  <c r="F547" i="150"/>
  <c r="F550" i="150"/>
  <c r="F553" i="150"/>
  <c r="F556" i="150"/>
  <c r="F559" i="150"/>
  <c r="F562" i="150"/>
  <c r="F565" i="150"/>
  <c r="F568" i="150"/>
  <c r="F571" i="150"/>
  <c r="F574" i="150"/>
  <c r="F577" i="150"/>
  <c r="F580" i="150"/>
  <c r="F583" i="150"/>
  <c r="F586" i="150"/>
  <c r="F589" i="150"/>
  <c r="F592" i="150"/>
  <c r="F595" i="150"/>
  <c r="F598" i="150"/>
  <c r="F601" i="150"/>
  <c r="F604" i="150"/>
  <c r="F607" i="150"/>
  <c r="F610" i="150"/>
  <c r="F13" i="152"/>
  <c r="F16" i="152"/>
  <c r="F19" i="152"/>
  <c r="F22" i="152"/>
  <c r="F25" i="152"/>
  <c r="F58" i="152" s="1"/>
  <c r="F28" i="152"/>
  <c r="F31" i="152"/>
  <c r="F34" i="152"/>
  <c r="F37" i="152"/>
  <c r="F40" i="152"/>
  <c r="F43" i="152"/>
  <c r="F46" i="152"/>
  <c r="F49" i="152"/>
  <c r="F52" i="152"/>
  <c r="F55" i="152"/>
  <c r="F61" i="152"/>
  <c r="F64" i="152"/>
  <c r="F67" i="152"/>
  <c r="F70" i="152"/>
  <c r="F73" i="152"/>
  <c r="F76" i="152"/>
  <c r="F79" i="152"/>
  <c r="F82" i="152"/>
  <c r="F85" i="152"/>
  <c r="F88" i="152"/>
  <c r="F91" i="152"/>
  <c r="F94" i="152"/>
  <c r="F97" i="152"/>
  <c r="F100" i="152"/>
  <c r="F103" i="152"/>
  <c r="F106" i="152"/>
  <c r="F109" i="152"/>
  <c r="F112" i="152"/>
  <c r="F115" i="152"/>
  <c r="F118" i="152"/>
  <c r="F121" i="152"/>
  <c r="F124" i="152"/>
  <c r="F127" i="152"/>
  <c r="F130" i="152"/>
  <c r="F133" i="152"/>
  <c r="F136" i="152"/>
  <c r="F139" i="152"/>
  <c r="F142" i="152"/>
  <c r="F145" i="152"/>
  <c r="F148" i="152"/>
  <c r="F151" i="152"/>
  <c r="F154" i="152"/>
  <c r="F157" i="152"/>
  <c r="F160" i="152"/>
  <c r="F163" i="152"/>
  <c r="F166" i="152"/>
  <c r="F169" i="152"/>
  <c r="F172" i="152"/>
  <c r="F175" i="152"/>
  <c r="F178" i="152"/>
  <c r="F181" i="152"/>
  <c r="F184" i="152"/>
  <c r="F187" i="152"/>
  <c r="F190" i="152"/>
  <c r="F193" i="152"/>
  <c r="F196" i="152"/>
  <c r="F199" i="152"/>
  <c r="F202" i="152"/>
  <c r="F205" i="152"/>
  <c r="F208" i="152"/>
  <c r="F211" i="152"/>
  <c r="F214" i="152"/>
  <c r="F217" i="152"/>
  <c r="F220" i="152"/>
  <c r="F223" i="152"/>
  <c r="F226" i="152"/>
  <c r="F229" i="152"/>
  <c r="F232" i="152"/>
  <c r="F235" i="152"/>
  <c r="F238" i="152"/>
  <c r="F241" i="152"/>
  <c r="F244" i="152"/>
  <c r="F247" i="152"/>
  <c r="F250" i="152"/>
  <c r="F253" i="152"/>
  <c r="F256" i="152"/>
  <c r="F259" i="152"/>
  <c r="F262" i="152"/>
  <c r="F265" i="152"/>
  <c r="F268" i="152"/>
  <c r="F271" i="152"/>
  <c r="F274" i="152"/>
  <c r="F277" i="152"/>
  <c r="F280" i="152"/>
  <c r="F283" i="152"/>
  <c r="F286" i="152"/>
  <c r="F289" i="152"/>
  <c r="F292" i="152"/>
  <c r="F295" i="152"/>
  <c r="F298" i="152"/>
  <c r="F301" i="152"/>
  <c r="F304" i="152"/>
  <c r="F307" i="152"/>
  <c r="F310" i="152"/>
  <c r="F313" i="152"/>
  <c r="F316" i="152"/>
  <c r="F319" i="152"/>
  <c r="F322" i="152"/>
  <c r="F325" i="152"/>
  <c r="F328" i="152"/>
  <c r="F331" i="152"/>
  <c r="F334" i="152"/>
  <c r="F337" i="152"/>
  <c r="F340" i="152"/>
  <c r="F343" i="152"/>
  <c r="F346" i="152"/>
  <c r="F349" i="152"/>
  <c r="F352" i="152"/>
  <c r="F355" i="152"/>
  <c r="F358" i="152"/>
  <c r="F361" i="152"/>
  <c r="F364" i="152"/>
  <c r="F367" i="152"/>
  <c r="F370" i="152"/>
  <c r="F373" i="152"/>
  <c r="F376" i="152"/>
  <c r="F379" i="152"/>
  <c r="F382" i="152"/>
  <c r="F385" i="152"/>
  <c r="F388" i="152"/>
  <c r="F391" i="152"/>
  <c r="F394" i="152"/>
  <c r="F397" i="152"/>
  <c r="F400" i="152"/>
  <c r="F403" i="152"/>
  <c r="F406" i="152"/>
  <c r="F409" i="152"/>
  <c r="F412" i="152"/>
  <c r="F415" i="152"/>
  <c r="F418" i="152"/>
  <c r="F421" i="152"/>
  <c r="F424" i="152"/>
  <c r="F427" i="152"/>
  <c r="F430" i="152"/>
  <c r="F433" i="152"/>
  <c r="F436" i="152"/>
  <c r="F439" i="152"/>
  <c r="F442" i="152"/>
  <c r="F445" i="152"/>
  <c r="F448" i="152"/>
  <c r="F451" i="152"/>
  <c r="F454" i="152"/>
  <c r="F457" i="152"/>
  <c r="F460" i="152"/>
  <c r="F463" i="152"/>
  <c r="F466" i="152"/>
  <c r="F469" i="152"/>
  <c r="F472" i="152"/>
  <c r="F475" i="152"/>
  <c r="F478" i="152"/>
  <c r="F481" i="152"/>
  <c r="F484" i="152"/>
  <c r="F487" i="152"/>
  <c r="F490" i="152"/>
  <c r="F493" i="152"/>
  <c r="F496" i="152"/>
  <c r="F499" i="152"/>
  <c r="F502" i="152"/>
  <c r="F505" i="152"/>
  <c r="F508" i="152"/>
  <c r="F511" i="152"/>
  <c r="F514" i="152"/>
  <c r="F517" i="152"/>
  <c r="F520" i="152"/>
  <c r="F523" i="152"/>
  <c r="F526" i="152"/>
  <c r="F529" i="152"/>
  <c r="F532" i="152"/>
  <c r="F535" i="152"/>
  <c r="F538" i="152"/>
  <c r="F541" i="152"/>
  <c r="F544" i="152"/>
  <c r="F547" i="152"/>
  <c r="F550" i="152"/>
  <c r="F553" i="152"/>
  <c r="F556" i="152"/>
  <c r="F559" i="152"/>
  <c r="F562" i="152"/>
  <c r="F565" i="152"/>
  <c r="F568" i="152"/>
  <c r="F571" i="152"/>
  <c r="F574" i="152"/>
  <c r="F577" i="152"/>
  <c r="F580" i="152"/>
  <c r="F583" i="152"/>
  <c r="F586" i="152"/>
  <c r="F589" i="152"/>
  <c r="F592" i="152"/>
  <c r="F595" i="152"/>
  <c r="F598" i="152"/>
  <c r="F601" i="152"/>
  <c r="F604" i="152"/>
  <c r="F607" i="152"/>
  <c r="C610" i="152"/>
  <c r="F610" i="152"/>
  <c r="F13" i="160"/>
  <c r="F16" i="160"/>
  <c r="F19" i="160"/>
  <c r="F22" i="160"/>
  <c r="F25" i="160"/>
  <c r="F58" i="160" s="1"/>
  <c r="F28" i="160"/>
  <c r="F31" i="160"/>
  <c r="F34" i="160"/>
  <c r="F37" i="160"/>
  <c r="F40" i="160"/>
  <c r="F43" i="160"/>
  <c r="F46" i="160"/>
  <c r="F49" i="160"/>
  <c r="F52" i="160"/>
  <c r="F55" i="160"/>
  <c r="F61" i="160"/>
  <c r="F64" i="160"/>
  <c r="F67" i="160"/>
  <c r="F70" i="160"/>
  <c r="F73" i="160"/>
  <c r="F76" i="160"/>
  <c r="F79" i="160"/>
  <c r="F82" i="160"/>
  <c r="F85" i="160"/>
  <c r="F88" i="160"/>
  <c r="F91" i="160"/>
  <c r="F94" i="160"/>
  <c r="F97" i="160"/>
  <c r="F100" i="160"/>
  <c r="F103" i="160"/>
  <c r="F106" i="160"/>
  <c r="F109" i="160"/>
  <c r="F112" i="160"/>
  <c r="F115" i="160"/>
  <c r="F118" i="160"/>
  <c r="F121" i="160"/>
  <c r="F124" i="160"/>
  <c r="F127" i="160"/>
  <c r="F130" i="160"/>
  <c r="F133" i="160"/>
  <c r="F136" i="160"/>
  <c r="F139" i="160"/>
  <c r="F142" i="160"/>
  <c r="F145" i="160"/>
  <c r="F148" i="160"/>
  <c r="F151" i="160"/>
  <c r="F154" i="160"/>
  <c r="F157" i="160"/>
  <c r="F160" i="160"/>
  <c r="F163" i="160"/>
  <c r="F166" i="160"/>
  <c r="F169" i="160"/>
  <c r="F172" i="160"/>
  <c r="F175" i="160"/>
  <c r="F178" i="160"/>
  <c r="F181" i="160"/>
  <c r="F184" i="160"/>
  <c r="F187" i="160"/>
  <c r="F190" i="160"/>
  <c r="F193" i="160"/>
  <c r="F196" i="160"/>
  <c r="F199" i="160"/>
  <c r="F202" i="160"/>
  <c r="F205" i="160"/>
  <c r="F208" i="160"/>
  <c r="F211" i="160"/>
  <c r="F214" i="160"/>
  <c r="F217" i="160"/>
  <c r="F220" i="160"/>
  <c r="F223" i="160"/>
  <c r="F226" i="160"/>
  <c r="F229" i="160"/>
  <c r="F232" i="160"/>
  <c r="F235" i="160"/>
  <c r="F238" i="160"/>
  <c r="F241" i="160"/>
  <c r="F244" i="160"/>
  <c r="F247" i="160"/>
  <c r="F250" i="160"/>
  <c r="F253" i="160"/>
  <c r="F256" i="160"/>
  <c r="F259" i="160"/>
  <c r="F262" i="160"/>
  <c r="F265" i="160"/>
  <c r="F268" i="160"/>
  <c r="F271" i="160"/>
  <c r="F274" i="160"/>
  <c r="F277" i="160"/>
  <c r="F280" i="160"/>
  <c r="F283" i="160"/>
  <c r="F286" i="160"/>
  <c r="F289" i="160"/>
  <c r="F292" i="160"/>
  <c r="F295" i="160"/>
  <c r="F298" i="160"/>
  <c r="F301" i="160"/>
  <c r="F304" i="160"/>
  <c r="F307" i="160"/>
  <c r="F310" i="160"/>
  <c r="F313" i="160"/>
  <c r="F316" i="160"/>
  <c r="F319" i="160"/>
  <c r="F322" i="160"/>
  <c r="F325" i="160"/>
  <c r="F328" i="160"/>
  <c r="F331" i="160"/>
  <c r="F334" i="160"/>
  <c r="F337" i="160"/>
  <c r="F340" i="160"/>
  <c r="F343" i="160"/>
  <c r="F346" i="160"/>
  <c r="F349" i="160"/>
  <c r="F352" i="160"/>
  <c r="F355" i="160"/>
  <c r="F358" i="160"/>
  <c r="F361" i="160"/>
  <c r="F364" i="160"/>
  <c r="F367" i="160"/>
  <c r="F370" i="160"/>
  <c r="F373" i="160"/>
  <c r="F376" i="160"/>
  <c r="F379" i="160"/>
  <c r="F382" i="160"/>
  <c r="F385" i="160"/>
  <c r="F388" i="160"/>
  <c r="F391" i="160"/>
  <c r="F394" i="160"/>
  <c r="F397" i="160"/>
  <c r="F400" i="160"/>
  <c r="F403" i="160"/>
  <c r="F406" i="160"/>
  <c r="F409" i="160"/>
  <c r="F412" i="160"/>
  <c r="F415" i="160"/>
  <c r="F418" i="160"/>
  <c r="F421" i="160"/>
  <c r="F424" i="160"/>
  <c r="F427" i="160"/>
  <c r="F430" i="160"/>
  <c r="F433" i="160"/>
  <c r="F436" i="160"/>
  <c r="F439" i="160"/>
  <c r="F442" i="160"/>
  <c r="F445" i="160"/>
  <c r="F448" i="160"/>
  <c r="F451" i="160"/>
  <c r="F454" i="160"/>
  <c r="F457" i="160"/>
  <c r="F460" i="160"/>
  <c r="F463" i="160"/>
  <c r="F466" i="160"/>
  <c r="F469" i="160"/>
  <c r="F472" i="160"/>
  <c r="F475" i="160"/>
  <c r="F478" i="160"/>
  <c r="F481" i="160"/>
  <c r="F484" i="160"/>
  <c r="F487" i="160"/>
  <c r="F490" i="160"/>
  <c r="F493" i="160"/>
  <c r="F496" i="160"/>
  <c r="F499" i="160"/>
  <c r="F502" i="160"/>
  <c r="F505" i="160"/>
  <c r="F508" i="160"/>
  <c r="F511" i="160"/>
  <c r="F514" i="160"/>
  <c r="F517" i="160"/>
  <c r="F520" i="160"/>
  <c r="F523" i="160"/>
  <c r="F526" i="160"/>
  <c r="F529" i="160"/>
  <c r="F532" i="160"/>
  <c r="F535" i="160"/>
  <c r="F538" i="160"/>
  <c r="F541" i="160"/>
  <c r="F544" i="160"/>
  <c r="F547" i="160"/>
  <c r="F550" i="160"/>
  <c r="F553" i="160"/>
  <c r="F556" i="160"/>
  <c r="F559" i="160"/>
  <c r="F562" i="160"/>
  <c r="F565" i="160"/>
  <c r="F568" i="160"/>
  <c r="F571" i="160"/>
  <c r="F574" i="160"/>
  <c r="F577" i="160"/>
  <c r="F580" i="160"/>
  <c r="F583" i="160"/>
  <c r="F586" i="160"/>
  <c r="F589" i="160"/>
  <c r="F592" i="160"/>
  <c r="F595" i="160"/>
  <c r="F598" i="160"/>
  <c r="F601" i="160"/>
  <c r="F604" i="160"/>
  <c r="F607" i="160"/>
  <c r="F610" i="160"/>
  <c r="G213" i="156"/>
  <c r="F249" i="156"/>
  <c r="G213" i="157"/>
  <c r="G216" i="157" s="1"/>
  <c r="G213" i="158"/>
  <c r="E13" i="161"/>
  <c r="E18" i="161"/>
  <c r="M14" i="161"/>
  <c r="M13" i="161" s="1"/>
  <c r="M12" i="161" s="1"/>
  <c r="E11" i="162" s="1"/>
  <c r="E24" i="161"/>
  <c r="E29" i="161"/>
  <c r="E34" i="161"/>
  <c r="M39" i="161"/>
  <c r="E13" i="162" s="1"/>
  <c r="E52" i="161"/>
  <c r="E56" i="161"/>
  <c r="M53" i="161"/>
  <c r="M54" i="161"/>
  <c r="M55" i="161"/>
  <c r="M68" i="161"/>
  <c r="E23" i="162" s="1"/>
  <c r="M69" i="161"/>
  <c r="M70" i="161"/>
  <c r="M71" i="161"/>
  <c r="E24" i="162" s="1"/>
  <c r="M72" i="161"/>
  <c r="E25" i="162" s="1"/>
  <c r="M73" i="161"/>
  <c r="E26" i="162" s="1"/>
  <c r="F24" i="163"/>
  <c r="C610" i="160"/>
  <c r="C610" i="150"/>
  <c r="E73" i="165"/>
  <c r="E95" i="165"/>
  <c r="E10" i="162" l="1"/>
  <c r="E22" i="162"/>
  <c r="E12" i="161"/>
  <c r="M52" i="161"/>
  <c r="E16" i="162" s="1"/>
  <c r="E15" i="162" s="1"/>
  <c r="E51" i="161"/>
  <c r="E23" i="161"/>
  <c r="E106" i="165"/>
  <c r="J27" i="162"/>
  <c r="J29" i="162" s="1"/>
  <c r="J31" i="162" s="1"/>
  <c r="M51" i="161"/>
  <c r="M11" i="161"/>
  <c r="E84" i="165"/>
  <c r="E22" i="165"/>
  <c r="E11" i="165"/>
  <c r="E72" i="165"/>
  <c r="E33" i="165"/>
  <c r="C610" i="146"/>
  <c r="M67" i="161"/>
  <c r="C610" i="149"/>
  <c r="C610" i="147"/>
  <c r="E44" i="165"/>
  <c r="E23" i="50"/>
  <c r="E54" i="50" s="1"/>
  <c r="E11" i="161" l="1"/>
  <c r="E29" i="64"/>
  <c r="E10" i="165"/>
  <c r="E51" i="50"/>
  <c r="E17" i="50"/>
  <c r="E16" i="50" s="1"/>
  <c r="E56" i="50"/>
  <c r="E53" i="50"/>
  <c r="E55" i="50"/>
  <c r="E52" i="50"/>
  <c r="E50" i="50"/>
  <c r="E13" i="50" l="1"/>
  <c r="E12" i="50" s="1"/>
  <c r="E39" i="50" s="1"/>
  <c r="E134" i="165" a="1"/>
  <c r="G216" i="158"/>
  <c r="E44" i="50"/>
  <c r="E45" i="50"/>
  <c r="E134" i="165" l="1"/>
  <c r="E136" i="165"/>
  <c r="E138" i="165"/>
  <c r="E140" i="165"/>
  <c r="E142" i="165"/>
  <c r="E144" i="165"/>
  <c r="E146" i="165"/>
  <c r="E148" i="165"/>
  <c r="E150" i="165"/>
  <c r="E152" i="165"/>
  <c r="E154" i="165"/>
  <c r="E156" i="165"/>
  <c r="E158" i="165"/>
  <c r="E160" i="165"/>
  <c r="E162" i="165"/>
  <c r="E164" i="165"/>
  <c r="E166" i="165"/>
  <c r="E168" i="165"/>
  <c r="E170" i="165"/>
  <c r="E172" i="165"/>
  <c r="E174" i="165"/>
  <c r="E176" i="165"/>
  <c r="E178" i="165"/>
  <c r="E180" i="165"/>
  <c r="E182" i="165"/>
  <c r="E184" i="165"/>
  <c r="E186" i="165"/>
  <c r="E188" i="165"/>
  <c r="E135" i="165"/>
  <c r="E137" i="165"/>
  <c r="E139" i="165"/>
  <c r="E141" i="165"/>
  <c r="E143" i="165"/>
  <c r="E145" i="165"/>
  <c r="E147" i="165"/>
  <c r="E149" i="165"/>
  <c r="E151" i="165"/>
  <c r="E153" i="165"/>
  <c r="E155" i="165"/>
  <c r="E157" i="165"/>
  <c r="E159" i="165"/>
  <c r="E161" i="165"/>
  <c r="E163" i="165"/>
  <c r="E165" i="165"/>
  <c r="E167" i="165"/>
  <c r="E169" i="165"/>
  <c r="E171" i="165"/>
  <c r="E173" i="165"/>
  <c r="E175" i="165"/>
  <c r="E177" i="165"/>
  <c r="E179" i="165"/>
  <c r="E181" i="165"/>
  <c r="E183" i="165"/>
  <c r="E185" i="165"/>
  <c r="E187" i="165"/>
  <c r="E189" i="165"/>
  <c r="E18" i="64"/>
  <c r="G216" i="156"/>
  <c r="E40" i="50"/>
  <c r="E15" i="50"/>
  <c r="E47" i="50"/>
  <c r="E43" i="50"/>
  <c r="E46" i="50"/>
  <c r="E11" i="50" l="1"/>
  <c r="E48" i="50"/>
  <c r="E42" i="50"/>
  <c r="E38" i="50" l="1"/>
  <c r="E49" i="50"/>
  <c r="E41" i="50"/>
  <c r="E37" i="50" l="1"/>
</calcChain>
</file>

<file path=xl/sharedStrings.xml><?xml version="1.0" encoding="utf-8"?>
<sst xmlns="http://schemas.openxmlformats.org/spreadsheetml/2006/main" count="4352" uniqueCount="374">
  <si>
    <t>SPIS TABEL</t>
  </si>
  <si>
    <t>*-</t>
  </si>
  <si>
    <t>podać wartość dóbr inwestycyjnych nie ujętych w pozostałych pozycjach</t>
  </si>
  <si>
    <t xml:space="preserve">1. </t>
  </si>
  <si>
    <t xml:space="preserve">2. </t>
  </si>
  <si>
    <t>ŁĄCZNIE</t>
  </si>
  <si>
    <t>gazomierze i układy pomiarowe wymieniane u odbiorców na koszt przedsiębiorstwa</t>
  </si>
  <si>
    <t>Przygotowanie inwestycji</t>
  </si>
  <si>
    <t>średniego i niskiego ciśnienia</t>
  </si>
  <si>
    <t>&gt;&gt; powrót do spisu treści</t>
  </si>
  <si>
    <t>Nakłady ogółem (A+B+C)</t>
  </si>
  <si>
    <t>Gazociągi wraz z przyłączami</t>
  </si>
  <si>
    <t xml:space="preserve"> - gazociągi średniego i niskiego ciśnienia</t>
  </si>
  <si>
    <t>1.</t>
  </si>
  <si>
    <t>Modernizacja i odtworzenie związane w poprawą jakości usług i/lub wzrostem zapotrzebowania na moc</t>
  </si>
  <si>
    <t>INFORMACJE WSTĘPNE</t>
  </si>
  <si>
    <t>Grupy przyłączeniowe:</t>
  </si>
  <si>
    <t>C. Pozostałe nakłady - tabele szczegółowe</t>
  </si>
  <si>
    <t>-</t>
  </si>
  <si>
    <t>Dla danego projektu inwestycyjnego należy wskazać jego lokalizację (kolumna [03]), cel realizacji projektu zgodnie z listą rozwijaną w komórce dotyczącej celu realizacji projektu (kolumna [04]), następnie dla wybranego celu należy wskazać wartość spodziewanych efektów (kolumna [06]) zgodnie z przedstawionymi wskaźnikami realizacji celu (kolumna [05]).</t>
  </si>
  <si>
    <t>poprawa efektywności</t>
  </si>
  <si>
    <t>NPV:
IRR:
kwota wzrostu przychodów i/lub obniżenie kosztów (zł/rok):</t>
  </si>
  <si>
    <t>odtworzenie majątku</t>
  </si>
  <si>
    <t>obowiązki prawne</t>
  </si>
  <si>
    <t>źródło obowiązku (przepis prawny):
kwota ewentualnej sankcji z tytułu niestosowania się do obowiązku:
inne zagrożenia niestosowania się:</t>
  </si>
  <si>
    <t>rozwój skali działalności</t>
  </si>
  <si>
    <t>dodatkowa powierzchnia biurowa:
dodatkowa liczba zatrudnionych:
dodatkowi odbiorcy objęci inwestycją itp.:</t>
  </si>
  <si>
    <t>2.</t>
  </si>
  <si>
    <t>3.</t>
  </si>
  <si>
    <t>CRL</t>
  </si>
  <si>
    <t>inne</t>
  </si>
  <si>
    <t>legalizowane</t>
  </si>
  <si>
    <t xml:space="preserve"> - gazociągi wysokiego i podwyższonego ciśnienia</t>
  </si>
  <si>
    <t>nowe</t>
  </si>
  <si>
    <t>Dla danego projektu inwestycyjnego należy wskazać jego lokalizację (kolumna [03]), cel realizacji projektu (kolumna [04]), następnie należy wskazać wartość spodziewanych efektów (kolumna [06]) zgodnie z przedstawionymi wskaźnikami realizacji celu (kolumna [05])</t>
  </si>
  <si>
    <t>4.</t>
  </si>
  <si>
    <t>Zakup środków transportu</t>
  </si>
  <si>
    <t>Należy wypełniać tabele dotyczące nakładów inwestycyjnych łącznie i zakresu rzeczowego inwestycji, tabele dotyczące jednostkowych nakładów inwestycyjnych wypełniają się automatycznie.</t>
  </si>
  <si>
    <t>5.</t>
  </si>
  <si>
    <t>6.</t>
  </si>
  <si>
    <t>7.</t>
  </si>
  <si>
    <t xml:space="preserve">Raport z wykonania planu inwestycji odnosi się do wykonanych inwestycji w zakresie rozwoju, modernizacji i odtworzenia sieci dystrybucyjnej. </t>
  </si>
  <si>
    <t>RAZEM majątek sieciowy</t>
  </si>
  <si>
    <t>Jednostka miary</t>
  </si>
  <si>
    <t>Liczba awarii ogółem</t>
  </si>
  <si>
    <t xml:space="preserve">Gazociągi </t>
  </si>
  <si>
    <t xml:space="preserve">Stacje gazowe </t>
  </si>
  <si>
    <t>Wskaźnik awarii</t>
  </si>
  <si>
    <t xml:space="preserve">na 100 km gazociągu </t>
  </si>
  <si>
    <t xml:space="preserve">na 100 stacji gazowych </t>
  </si>
  <si>
    <t>Liczba nieszczelności ogółem</t>
  </si>
  <si>
    <t>Wskaźnik nieszczelności</t>
  </si>
  <si>
    <t>Dane w punktach 7, 8, 9, 10 należy podać na dzień sporządzania raportu z wykonania planu inwestycyjnego.</t>
  </si>
  <si>
    <t xml:space="preserve">Gazomierze </t>
  </si>
  <si>
    <t>gazomierze</t>
  </si>
  <si>
    <t>Składniki majątku należy kwalifikować wg parametrów konstrukcyjnych.</t>
  </si>
  <si>
    <t>A. Przyłączenia nowych odbiorców i nowych źródeł - tabele szczegółowe</t>
  </si>
  <si>
    <t>Raport z wykonania należy wypełniać w cenach bieżących, uwzględniając przekazane w liście planistycznym wskaźniki makroekonomiczne.</t>
  </si>
  <si>
    <t>Imię i nazwisko oraz nr telefonu osoby upoważnionej przez przedsiębiorstwo do kontaktów w sprawie Projektu Planu Rozwoju</t>
  </si>
  <si>
    <t>wiek majątku odtwarzanego: 
stopień umorzenia zastępowanego majątku: 
stan majątku zastępowanego (np. przebieg samochodów, zużycie rzeczywiste etc.):</t>
  </si>
  <si>
    <t>Ludność na obszarze obsługiwanym przez OSD powinna być zgodna z liczbą ludności wskazaną w dochodzie do dyspozycji.</t>
  </si>
  <si>
    <t>B. Nakłady na modernizację i wymianę elementów składowych sieci dystrybucyjnej oraz gazyfikacji terenów niezgazyfikowanych</t>
  </si>
  <si>
    <t>Modernizacja i wymiana związana w poprawą jakości usług i/lub wzrostem zapotrzebowania na moc</t>
  </si>
  <si>
    <t>Nakłady ogółem, z tego:</t>
  </si>
  <si>
    <t>gaz ziemny wysokometanowy E</t>
  </si>
  <si>
    <t>gaz ziemny zaazotowany L</t>
  </si>
  <si>
    <t>gaz propan-butan rozprężony</t>
  </si>
  <si>
    <t>gaz propan-butan powietrze</t>
  </si>
  <si>
    <t>gaz koksowniczy</t>
  </si>
  <si>
    <t>grupa przyłączeniowa A</t>
  </si>
  <si>
    <t>grupa przyłączeniowa B</t>
  </si>
  <si>
    <t>grupa przyłączeniowa C</t>
  </si>
  <si>
    <t>ze stali</t>
  </si>
  <si>
    <t>300 &lt; DN[mm]</t>
  </si>
  <si>
    <t>200 &lt; DN[mm] ≤ 300</t>
  </si>
  <si>
    <t>100 &lt; DN[mm] ≤ 200</t>
  </si>
  <si>
    <t>DN[mm] ≤ 100</t>
  </si>
  <si>
    <t>z tworzyw sztucznych (np. polietylenu)</t>
  </si>
  <si>
    <t>200 &lt; DN[mm]</t>
  </si>
  <si>
    <t>63 &lt; DN[mm] ≤ 100</t>
  </si>
  <si>
    <t>DN[mm] ≤ 63</t>
  </si>
  <si>
    <t>90 &lt; DN[mm]</t>
  </si>
  <si>
    <t>63 &lt; DN[mm] ≤ 90</t>
  </si>
  <si>
    <t>32 &lt; DN[mm] ≤ 63</t>
  </si>
  <si>
    <t>DN[mm] ≤ 32</t>
  </si>
  <si>
    <t>3000 &lt; Q[m³/h]</t>
  </si>
  <si>
    <t>1000 &lt; Q[m³/h] ≤ 3000</t>
  </si>
  <si>
    <t>Q[m³/h] ≤ 1000</t>
  </si>
  <si>
    <t>1000 &lt; Q[m³/h]</t>
  </si>
  <si>
    <t>300 &lt; Q[m³/h] ≤ 1000</t>
  </si>
  <si>
    <t>Q[m³/h] ≤ 300</t>
  </si>
  <si>
    <t>[tys. zł/km]</t>
  </si>
  <si>
    <r>
      <t>stacje gazowe I</t>
    </r>
    <r>
      <rPr>
        <vertAlign val="superscript"/>
        <sz val="12"/>
        <rFont val="Cambria"/>
        <family val="1"/>
        <charset val="238"/>
      </rPr>
      <t>0</t>
    </r>
  </si>
  <si>
    <r>
      <t>stacje gazowe II</t>
    </r>
    <r>
      <rPr>
        <vertAlign val="superscript"/>
        <sz val="12"/>
        <rFont val="Cambria"/>
        <family val="1"/>
        <charset val="238"/>
      </rPr>
      <t>0</t>
    </r>
  </si>
  <si>
    <r>
      <t xml:space="preserve">stacje gazowe
</t>
    </r>
    <r>
      <rPr>
        <b/>
        <sz val="9"/>
        <rFont val="Cambria"/>
        <family val="1"/>
        <charset val="238"/>
      </rPr>
      <t>( budynki stacyjne, armatura, urządzenia towarzyszące itp.)</t>
    </r>
  </si>
  <si>
    <r>
      <t xml:space="preserve">Łączność
</t>
    </r>
    <r>
      <rPr>
        <sz val="10"/>
        <rFont val="Cambria"/>
        <family val="1"/>
        <charset val="238"/>
      </rPr>
      <t>(światłowody, linie i centrale telefoniczne, modemy itp.-przeznaczone na potrzeby sterowania, zdalnej transmisji danych, telemechaniki, łączności głosowej itp.)</t>
    </r>
  </si>
  <si>
    <r>
      <t>Pomiary</t>
    </r>
    <r>
      <rPr>
        <sz val="11"/>
        <rFont val="Cambria"/>
        <family val="1"/>
        <charset val="238"/>
      </rPr>
      <t xml:space="preserve">
</t>
    </r>
    <r>
      <rPr>
        <sz val="10"/>
        <rFont val="Cambria"/>
        <family val="1"/>
        <charset val="238"/>
      </rPr>
      <t>(liczniki - z wyłączeniem wykazanych w wierszu [11], sumatory, koncentratory danych i urządzenia towarzyszące)</t>
    </r>
  </si>
  <si>
    <r>
      <t>Informatyka</t>
    </r>
    <r>
      <rPr>
        <sz val="11"/>
        <rFont val="Cambria"/>
        <family val="1"/>
        <charset val="238"/>
      </rPr>
      <t xml:space="preserve">
</t>
    </r>
    <r>
      <rPr>
        <sz val="10"/>
        <rFont val="Cambria"/>
        <family val="1"/>
        <charset val="238"/>
      </rPr>
      <t>(oprogramowanie, systemy dyspozytorskie i sterowania pracą sieci itp.)</t>
    </r>
  </si>
  <si>
    <r>
      <t>Budynki i budowle</t>
    </r>
    <r>
      <rPr>
        <b/>
        <sz val="10"/>
        <rFont val="Cambria"/>
        <family val="1"/>
        <charset val="238"/>
      </rPr>
      <t xml:space="preserve"> </t>
    </r>
    <r>
      <rPr>
        <sz val="10"/>
        <rFont val="Cambria"/>
        <family val="1"/>
        <charset val="238"/>
      </rPr>
      <t>(poza wymienionymi w pkt A i B)</t>
    </r>
  </si>
  <si>
    <t>Przyłączenia nowych odbiorców</t>
  </si>
  <si>
    <t>Przyłączenia nowych źródeł</t>
  </si>
  <si>
    <t>Budowa sieci na terenach niezgazyfikowanych (ekspansja na nowe tereny - sieci i przyłącza)</t>
  </si>
  <si>
    <t>Za teren niezgazyfikowany należy rozumieć teren gminy, na którym nie znajdują się elementy infrastruktury zapewniającej dostęp do paliw gazowych, takie jak sieci przesyłowe i sieci dystrybucyjne.</t>
  </si>
  <si>
    <t>Należy uszeregować poszczególne projekty inwestycyjne w kolejności od najbardziej do najmniej istotnego dla przedsiębiorstwa odrębnie dla każdego rodzaju dystrybuowanego paliwa gazowego.</t>
  </si>
  <si>
    <t>Należy uszeregować poszczególne projekty inwestycyjne w kolejności od najbardziej do najmniej istotnego dla przedsiębiorstwa - jeżeli to możliwe odrębnie dla każdego rodzaju dystrybuowanego paliwa gazowego.</t>
  </si>
  <si>
    <t>Przez awarię należy rozumieć zdarzenie powodujące utratę technicznej sprawności sieci dystrybucyjnej lub przyłączonych do niej sieci, instalacji lub urządzeń, lub bezpośrednie zagrożenie dla życia, zdrowia, mienia, środowiska, lub nagłą konieczność przeciwdziałania powstaniu takich zagrożeń lub ich uniknięcia oraz usunięcia skutków spowodowanych ich wystąpieniem i powodująca ograniczenia w dostarczaniu, przesyłaniu lub odbiorze paliwa gazowego.</t>
  </si>
  <si>
    <t xml:space="preserve">W przypadku konieczności uzupełnienia informacji zawartych w poszczególnych tabelach, dodatkowe szczegółowe informacje proszę umieszczać poniżej wszystkich tabel danego arkusza lub obok tabeli, której uwaga dotyczy, pamiętając aby nie zmieniać struktury kwestionariusza.          
 </t>
  </si>
  <si>
    <t>[%]</t>
  </si>
  <si>
    <r>
      <rPr>
        <b/>
        <sz val="11"/>
        <rFont val="Cambria"/>
        <family val="1"/>
        <charset val="238"/>
      </rPr>
      <t xml:space="preserve">Inne </t>
    </r>
    <r>
      <rPr>
        <sz val="11"/>
        <rFont val="Cambria"/>
        <family val="1"/>
        <charset val="238"/>
      </rPr>
      <t xml:space="preserve"> 
(opłaty za przyłączenie do sieci innych operatorów, kontrola nawaniania gazu, ochrona środowiska)*</t>
    </r>
  </si>
  <si>
    <t>wysokiego i podwyższonego średniego ciśnienia</t>
  </si>
  <si>
    <t xml:space="preserve">A. Przyłączenia nowych odbiorców i nowych źródeł </t>
  </si>
  <si>
    <t xml:space="preserve">C. Nakłady inwestycyjne pozostałe, nie ujęte w pkt. A i B: </t>
  </si>
  <si>
    <t>A. GAZOCIĄGI DYSTRYBUCYJNE, Z TEGO:</t>
  </si>
  <si>
    <t>B. STACJE GAZOWE, TŁOCZNIE I WĘZŁY</t>
  </si>
  <si>
    <t>A3. przyłącza</t>
  </si>
  <si>
    <t>B1. stacje redukcyjno-pomiarowe I°</t>
  </si>
  <si>
    <t>B2. stacje redukcyjno-pomiarowe II°</t>
  </si>
  <si>
    <t>B3. stacje LNG</t>
  </si>
  <si>
    <t>B4. tłocznie gazu</t>
  </si>
  <si>
    <t>B5. węzły</t>
  </si>
  <si>
    <t>A1. Gazociągi wysokiego i podyższonego średniego ciśnienia</t>
  </si>
  <si>
    <t>A2. Gazociągi średniego i niskiego ciśnienia</t>
  </si>
  <si>
    <t>Tabela G2.1. Poniesione nakłady na przyłączenia nowych odbiorców (sieci i przyłącza)</t>
  </si>
  <si>
    <t>Tabela G1.1. Wykonane nakłady inwestycyjne w zakresie dystrybucji paliw gazowych</t>
  </si>
  <si>
    <t>Tabela G1.2. Struktura wykonanych nakładów inwestycyjnych w zakresie dystrybucji paliw gazowych</t>
  </si>
  <si>
    <t>Tabela G1.3. Nakłady w rozbiciu na poszczególne rodzaje paliw gazowych</t>
  </si>
  <si>
    <t>C. GAZOMIERZE I UKŁADY POMIAROWE</t>
  </si>
  <si>
    <t>C1. Gazomierze miechowe</t>
  </si>
  <si>
    <t>G1.6 ÷ G6 (nowe)</t>
  </si>
  <si>
    <t>G10 ÷ G650 (nowe)</t>
  </si>
  <si>
    <t>C2. Gazomierze turbinowe</t>
  </si>
  <si>
    <t>C3. Gazomierze rotorowe</t>
  </si>
  <si>
    <t xml:space="preserve">C4. Inne </t>
  </si>
  <si>
    <t>Tabela G2.2. Zakres rzeczowy wykonanych nakładów na przyłączenia nowych odbiorców (sieci i przyłącza)</t>
  </si>
  <si>
    <t>Tabela G2.3. Jednostkowe nakłady na przyłączenia nowych odbiorców (sieci i przyłącza)</t>
  </si>
  <si>
    <t xml:space="preserve">Liczba nowych przyłączy, z tego: </t>
  </si>
  <si>
    <t>Tabela G3.3. Zakres rzeczowy nowych przyłączy zrealizowanych w danym roku</t>
  </si>
  <si>
    <t>Moc przyłączeniowa nowych przyłączy, z tego:</t>
  </si>
  <si>
    <t>Długość¹ nowych przyłączy, z tego:</t>
  </si>
  <si>
    <t>Liczba nowych odborców², z tego:</t>
  </si>
  <si>
    <t>Moc szczytowa³ dla nowych przyłączy, z tego:</t>
  </si>
  <si>
    <t>Jednostkowe nakłady przyłącza na jego długość, z tego:</t>
  </si>
  <si>
    <t xml:space="preserve">Jednostkowe nakłady na przyłącze, z tego: </t>
  </si>
  <si>
    <t>Jednostkowe nakłady przyłącza na odbiorcę, z tego:</t>
  </si>
  <si>
    <t>Jednostkowe nakłady przyłącza na moc przyłączeniową, z tego:</t>
  </si>
  <si>
    <t>Jednostkowe nakłady przyłącza na moc szczytową, z tego:</t>
  </si>
  <si>
    <t>Tabela G3.5. Jednostkowe nakłady na przyłącza w rozbiciu na grupy przyłączeniowe</t>
  </si>
  <si>
    <t>Tabela G3.4. Jednostkowe nakłady na przyłączenia w rozbiciu na grupy przyłączeniowe</t>
  </si>
  <si>
    <t xml:space="preserve">Jednostkowe nakłady przyłączenia, z tego: </t>
  </si>
  <si>
    <t>Jednostkowe nakłady przyłączenia na długość przyłącza, z tego:</t>
  </si>
  <si>
    <t>Jednostkowe nakłady przyłączenia na odbiorcę, z tego:</t>
  </si>
  <si>
    <t>Jednostkowe nakłady przyłączenia na moc przyłączeniową, z tego:</t>
  </si>
  <si>
    <t>Jednostkowe nakłady przyłączenia na moc szczytową, z tego:</t>
  </si>
  <si>
    <t>W tabeli należy uwzględnić poniesione w danym roku nakłady na przyłączenie nowych źródeł współpracujących z siecią.</t>
  </si>
  <si>
    <t>Tabela G4.1. Nakłady na przyłączenia nowych źródeł</t>
  </si>
  <si>
    <t>Za źródła należy rozumieć kopalnie, zakłady uzdatniania gazu, magazyny, stacje LNG oraz wszelkie inne nowe punkty wejścia do sieci wraz z infrastrukturą towarzyszącą zainstalowaną w tych punktach.</t>
  </si>
  <si>
    <t>przyłączenia do gazociągów wysokiego i podwyższonego średniego ciśnienia</t>
  </si>
  <si>
    <t>przyłączenia do gazociągów średniego i niskiego ciśnienia</t>
  </si>
  <si>
    <t>Tabela G4.2. Zakres rzeczowy nowych przyłączeń źródeł</t>
  </si>
  <si>
    <t xml:space="preserve">Liczba nowych przyłączeń źródeł, z tego: </t>
  </si>
  <si>
    <t xml:space="preserve">Długość nowych przyłączeń źródeł, z tego: </t>
  </si>
  <si>
    <t xml:space="preserve">Moc przyłączeniowa dla nowych źródeł, z tego: </t>
  </si>
  <si>
    <t>Tabela G4.3. Jednostkowe nakłady na przyłączenia nowych źródeł</t>
  </si>
  <si>
    <t xml:space="preserve">Jednostkowe nakłady na przyłączenia źródeł, z tego: </t>
  </si>
  <si>
    <t xml:space="preserve">Jednostkowe nakłady przyłączenia źródeł na ich długość, z tego: </t>
  </si>
  <si>
    <t xml:space="preserve">Jednostkowe nakłady przyłączenia źródeł na moc przyłączeniową, z tego: </t>
  </si>
  <si>
    <t>Tabela G5.1. Nakłady na wymianę/modernizację majątku sieciowego</t>
  </si>
  <si>
    <t>z żeliwa</t>
  </si>
  <si>
    <t>A3. Inne</t>
  </si>
  <si>
    <t>G1.6 ÷ G6 (legalizowane)</t>
  </si>
  <si>
    <t>G10 ÷ G650 (legalizowane)</t>
  </si>
  <si>
    <t>Tabela G5.2. Zakres rzeczowy wykonanych nakładów na wymianę/modernizację majątku sieciowego</t>
  </si>
  <si>
    <t>Tabela G5.3. Jednostkowe nakłady na wymianę/modernizację majątku sieciowego</t>
  </si>
  <si>
    <t>Tabela G6. Budowa sieci na terenach niezgazyfikowanych (ekspansja na nowe tereny - sieci i przyłącza)</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</si>
  <si>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(kolumny [09]).</t>
  </si>
  <si>
    <t>Dla każdej inwestycji w uwagach (kolumna [10])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</si>
  <si>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każdej inwestycji w uwagach (kolumna [09])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</si>
  <si>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(kolumna [09]).</t>
  </si>
  <si>
    <t>Dla danego projektu inwestycyjnego należy również wskazać zakres rzeczowy projektu, czyli wskazanie ilości poszczególnych elementów (kolumna [07]) oraz wysokość nakładów we wskazanym roku kalendarzowym (kolumna [08]).</t>
  </si>
  <si>
    <t>Tabela G12. Nakłady inwestycyjne pozostałe - zakup środków transportu</t>
  </si>
  <si>
    <t>Tabela G14. Lista projektów inwestycyjnych związana z przyłączeniami nowych odbiorców ujętymi w Tab. G2.1</t>
  </si>
  <si>
    <t>Dla każdej inwestycji w uwagach (kolumna [07])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</si>
  <si>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Kolumna [06] przedstawia poziom poniesionych nakładów we wskazanym roku kalendarzowym.</t>
  </si>
  <si>
    <t>Suma nakładów łącznych na projekty przyłączeniowe ma być zgodna z sumą nakładów łącznych na przyłączenie nowych źródeł, zgodnie z tabelą G1.1 (wiersz [04]).</t>
  </si>
  <si>
    <t>Suma nakładów łącznych na projekty przyłączeniowe winna być zgodna z sumą nakładów łącznych na przyłączenie nowych odbiorców, zgodnie z tabelą G1.1 (wiersz [03]).</t>
  </si>
  <si>
    <t>Tabela G15. Lista projektów inwestycyjnych związana z przyłączeniami nowych źródeł ujętymi w Tab. G4.1</t>
  </si>
  <si>
    <t>Suma nakładów łącznych na projekty związane z odtworzeniem i modernizacja majątku ma być zgodna z sumą nakładów łącznych na modernizację i odtworzenie majątku, zgodnie z tabelą G1.1 (wiersz [06]).</t>
  </si>
  <si>
    <t>Należy uszeregować projekty inwestycyjne od najważniejszych do najmniej istotnych zgodnie z kryterium własnym Spółki odrębnie dla każdego rodzaju dystrybuowanego paliwa gazowego. Proszę umieścić opis wybranego kryterium i uzasadnienie jego wyboru.</t>
  </si>
  <si>
    <t>A. Razem gazociągi dystrybucyjne</t>
  </si>
  <si>
    <t>A4. Przyłącza</t>
  </si>
  <si>
    <t>B6. Inne</t>
  </si>
  <si>
    <t>B1. Stacje redukcyjno-pomiarowe I°</t>
  </si>
  <si>
    <t>B2. Stacje redukcyjno-pomiarowe II°</t>
  </si>
  <si>
    <t>B3. Stacje LNG</t>
  </si>
  <si>
    <t>B4. Tłocznie gazu</t>
  </si>
  <si>
    <t>B5. Węzły</t>
  </si>
  <si>
    <t>Tabela G18. Charakterystyka majątku</t>
  </si>
  <si>
    <t>A. Gazociągi dystrybucyjne:</t>
  </si>
  <si>
    <t>A1. Gazociągi wysokiego i podwyższonego średniego ciśnienia</t>
  </si>
  <si>
    <t>B. Stacje gazowe, tłocznie i węzły</t>
  </si>
  <si>
    <t>C. Gazomierze i układy pomiarowe</t>
  </si>
  <si>
    <t>Środki trwałe przypisane do działalności w zakresie dystrybucji paliw gazowych nie wymienione w wierszach [01] ÷ [17]</t>
  </si>
  <si>
    <t>na 100 gazomierzy</t>
  </si>
  <si>
    <t>stacje LNG</t>
  </si>
  <si>
    <t>Tabela G19.1. Uszkodzenia sieci gazowych w roku sprawozdawczym</t>
  </si>
  <si>
    <t>Tabela G19.2. Przyczyny awarii w roku sprawozdawczym</t>
  </si>
  <si>
    <r>
      <t xml:space="preserve">OGÓŁEM majątek sieciowy </t>
    </r>
    <r>
      <rPr>
        <sz val="12"/>
        <rFont val="Cambria"/>
        <family val="1"/>
        <charset val="238"/>
      </rPr>
      <t>(suma wierszy [19] i [20])</t>
    </r>
  </si>
  <si>
    <r>
      <t xml:space="preserve">SUMA </t>
    </r>
    <r>
      <rPr>
        <sz val="12"/>
        <rFont val="Cambria"/>
        <family val="1"/>
        <charset val="238"/>
      </rPr>
      <t>(wierszy [21] i [22])</t>
    </r>
  </si>
  <si>
    <t>¹</t>
  </si>
  <si>
    <t>²</t>
  </si>
  <si>
    <t>liczba nowych odbiorców przyłączonych w danym roku;</t>
  </si>
  <si>
    <t>³</t>
  </si>
  <si>
    <t>wartość szczytowa planowana/rejestrowana w dniu najwyższego zapotrzebowania na moc, w normalnym układzie pracy sieci.</t>
  </si>
  <si>
    <t>Poniższa tabela jest tabelą zbiorczą, wypełnianą automatycznie na podstawie tabel szczegółowych od G2.1 do G16.</t>
  </si>
  <si>
    <t>AWARIE</t>
  </si>
  <si>
    <t>PRACE PLANOWE</t>
  </si>
  <si>
    <t>Tabela G3.1. Nakłady na przyłączenia nowych odbiorców w rozbiciu na grupy przyłączeniowe</t>
  </si>
  <si>
    <t>Tabela G3.2. Nakłady na przyłącza dla nowych odbiorców w rozbiciu na grupy przyłączeniowe</t>
  </si>
  <si>
    <t>Tabela G21. Dane marketingowe</t>
  </si>
  <si>
    <t>Liczba odbiorców, którym wstrzymano dystrybucję z powodu niepłacenia, w tym:</t>
  </si>
  <si>
    <t>Średnia stawka za usługę dystrybucji</t>
  </si>
  <si>
    <t>Ludność na obszarze obsługiwanym przez OSD</t>
  </si>
  <si>
    <t>[szt.]</t>
  </si>
  <si>
    <t>JEDNOSTKA</t>
  </si>
  <si>
    <t>8.</t>
  </si>
  <si>
    <t>Zmianę roku sprawozdawczego dokonuje się poprzez zmianę wartości przypisanej do nazwy "Rok_ZPR"
(Excel 2003: Menu górne "Wstaw"-"Nazwa"-"Definiuj"; Excel 2013: Wstążka "FORMUŁY"-"Menedżer nazw")</t>
  </si>
  <si>
    <t>Moduł raport z wykonania planu inwestycyjnego dodatkowo uzupełniony jest o tabele dotyczące wieku majątku i jego charakterystyki -tabele G17,G18, jego awaryjności - tabele G19.1 i G19.2, przerwy w dystrybucji - tabela G20 oraz dane marketingowe - tabela G21.</t>
  </si>
  <si>
    <t>Tabele G1.1 i G1.2 są tabelami zbiorczymi i wypełniają się automatycznie na postawie tabel szczegółowych (od G2.1 do G16)</t>
  </si>
  <si>
    <t>9.</t>
  </si>
  <si>
    <t>Do niniejszych formularzy należy dołączyć tzw. "karty" wszystkich projektów inwestycyjnych, które są dofinansowywane ze środków pomocowych UE lub krajowych. W kartach tych projektów proszę zamieścić co najmniej następujące informacje: nazwa inwestycji, krótki jej opis ze schematyczną mapką sytuacyjną (geograficzną), jej główne parametry techniczne (średnica, długość, ciśnienie, przepustowość, w przypadku tłoczni moc, liczba agregatów sprężających itp.) i ekonomiczne (wielkość nakładów na całą inwestycję, wielkość nakładów ogółem poniesionych do końca roku sprawozdawczego i wielkość nakładów poniesionych w roku sprawozdawczym), oszacowanie w jakim procencie inwestycja była ukończona na koniec roku sprawozdawczego oraz harmonogram jej realizacji, w którym zamieszczone będą główne etapy jej budowy wraz z terminem. Ponadto, w karcie proszę zawżeć również informację, z jaki środków pomocowych dana inwestycja korzysta i w jakim procencie.</t>
  </si>
  <si>
    <t>Tabela G2.1E. Poniesione nakłady na przyłączenia nowych stacji CNG (sieci i przyłącza)</t>
  </si>
  <si>
    <t>Tabela G2.2E. Zakres rzeczowy wykonanych nakładów na przyłączenia nowych stacji CNG (sieci i przyłącza)</t>
  </si>
  <si>
    <t>Tabela G2.3E. Jednostkowe nakłady na przyłączenia nowych stacji CNG (sieci i przyłącza)</t>
  </si>
  <si>
    <t>A1. Przyłączenia nowych stacji CNG - tabele szczegółowe</t>
  </si>
  <si>
    <t>Tabela G2.6E. Jednostkowe nakłady na budowę nowych stacji CNG i LCNG (infrastruktura wewnętrzna stacji)</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</si>
  <si>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</si>
  <si>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G2.5E należy przedstawić </t>
    </r>
    <r>
      <rPr>
        <b/>
        <sz val="10"/>
        <rFont val="Cambria"/>
        <family val="1"/>
        <charset val="238"/>
      </rPr>
      <t>liczbę zbudowanych w roku sprawozdawczym nowych stacji CNG i LCNG</t>
    </r>
    <r>
      <rPr>
        <sz val="10"/>
        <rFont val="Cambria"/>
        <family val="1"/>
        <charset val="238"/>
      </rPr>
      <t xml:space="preserve">, o których mowa w ustawie o elektromobilności, w rozbiciu na ich przepustowość. </t>
    </r>
  </si>
  <si>
    <r>
      <t xml:space="preserve">W tabeli G2.2E należy przedstawić </t>
    </r>
    <r>
      <rPr>
        <b/>
        <sz val="10"/>
        <rFont val="Cambria"/>
        <family val="1"/>
        <charset val="238"/>
      </rPr>
      <t xml:space="preserve">zakres rzeczowy wykonanych w roku sprawozdawczym nakładów inwestycyjnych na przyłączenia nowych stacji CNG, </t>
    </r>
    <r>
      <rPr>
        <sz val="10"/>
        <rFont val="Cambria"/>
        <family val="1"/>
        <charset val="238"/>
      </rPr>
      <t>o których mowa w ustawie o elektromobilności, w rozbiciu na elementy składowe (</t>
    </r>
    <r>
      <rPr>
        <b/>
        <sz val="10"/>
        <rFont val="Cambria"/>
        <family val="1"/>
        <charset val="238"/>
      </rPr>
      <t>bez zakresu rzeczowego infrastruktury stanowiącej instalację wewnętrzną nowych stacji CNG</t>
    </r>
    <r>
      <rPr>
        <sz val="10"/>
        <rFont val="Cambria"/>
        <family val="1"/>
        <charset val="238"/>
      </rPr>
      <t>).</t>
    </r>
  </si>
  <si>
    <r>
      <t xml:space="preserve">W tabeli G2.4E należy przedstawić </t>
    </r>
    <r>
      <rPr>
        <b/>
        <sz val="10"/>
        <rFont val="Cambria"/>
        <family val="1"/>
        <charset val="238"/>
      </rPr>
      <t>poniesione w roku sprawozdawczym nakłady inwestycyjne na</t>
    </r>
    <r>
      <rPr>
        <sz val="10"/>
        <rFont val="Cambria"/>
        <family val="1"/>
        <charset val="238"/>
      </rPr>
      <t xml:space="preserve"> </t>
    </r>
    <r>
      <rPr>
        <b/>
        <sz val="10"/>
        <rFont val="Cambria"/>
        <family val="1"/>
        <charset val="238"/>
      </rPr>
      <t>budowę nowych stacji CNG i LCNG,</t>
    </r>
    <r>
      <rPr>
        <sz val="10"/>
        <rFont val="Cambria"/>
        <family val="1"/>
        <charset val="238"/>
      </rPr>
      <t xml:space="preserve"> o których mowa w ustawie o elektromobilności, w rozbiciu na ich przepustowość (</t>
    </r>
    <r>
      <rPr>
        <b/>
        <sz val="10"/>
        <rFont val="Cambria"/>
        <family val="1"/>
        <charset val="238"/>
      </rPr>
      <t>poniesione nakłady inwestycyjne na budowę infrastruktury wewnętrznej stacji CNG i LCNG</t>
    </r>
    <r>
      <rPr>
        <sz val="10"/>
        <rFont val="Cambria"/>
        <family val="1"/>
        <charset val="238"/>
      </rPr>
      <t>).</t>
    </r>
  </si>
  <si>
    <t>Tabela G3.1E. Nakłady na przyłączenia nowych stacji CNG w rozbiciu na grupy przyłączeniowe</t>
  </si>
  <si>
    <t>Tabela G3.2E. Nakłady na przyłącza dla nowych stacji CNG w rozbiciu na grupy przyłączeniowe</t>
  </si>
  <si>
    <t>Tabela G3.3E. Zakres rzeczowy nowych przyłączy dla stacji CNG zrealizowanych w danym roku</t>
  </si>
  <si>
    <t>Tabela G3.4E. Jednostkowe nakłady na przyłączenia nowych stacji CNG w rozbiciu na grupy przyłączeniowe</t>
  </si>
  <si>
    <t>B1. Nakłady na modernizację i wymianę elementów składowych sieci dystrybucyjnej związaną z przyłączeniem nowych stacji CNG</t>
  </si>
  <si>
    <t>Tabela G5.1E. Nakłady na wymianę/modernizację majątku sieciowego związaną z przyłączeniem nowych stacji CNG</t>
  </si>
  <si>
    <t>Tabela G5.3E. Jednostkowe nakłady na wymianę/modernizację majątku sieciowego związaną z przyłączeniem nowych stacji CNG</t>
  </si>
  <si>
    <t>Tabela G5.2E. Zakres rzeczowy wykonanych nakładów na wymianę/modernizację majątku sieciowego związaną z przyłączeniem nowych stacji CNG.</t>
  </si>
  <si>
    <t>Tabela G7. Nakłady inwestycyjne pozostałe - łączność (nie związane z nowymi stacjami CNG i LCNG)</t>
  </si>
  <si>
    <t>Tabela G7E. Nakłady inwestycyjne pozostałe - łączność (związane z nowymi stacjami CNG i LCNG)</t>
  </si>
  <si>
    <t>Tabela G8. Nakłady inwestycyjne pozostałe - pomiary (nie związane z nowymi stacjami CNG i LCNG)</t>
  </si>
  <si>
    <t>Tabela G8E. Nakłady inwestycyjne pozostałe - pomiary (związane z nowymi stacjami CNG i LCNG)</t>
  </si>
  <si>
    <t>Tabela G9. Nakłady inwestycyjne pozostałe - informatyka (nie związane z nowymi stacjami CNG i LCNG)</t>
  </si>
  <si>
    <t>Tabela G11. Nakłady inwestycyjne pozostałe - przygotowanie inwestycji (nie związane z nowymi stacjami CNG i LCNG)</t>
  </si>
  <si>
    <t>Tabela G10. Nakłady inwestycyjne pozostałe - budynki i budowle (nie związane z nowymi stacjami CNG i LCNG)</t>
  </si>
  <si>
    <t>Tabela G9E. Nakłady inwestycyjne pozostałe - informatyka (związane z nowymi stacjami CNG i LCNG)</t>
  </si>
  <si>
    <t>Tabela G10E. Nakłady inwestycyjne pozostałe - budynki i budowle (związane z nowymi stacjami CNG i LCNG)</t>
  </si>
  <si>
    <t>Tabela G11E. Nakłady inwestycyjne pozostałe - przygotowanie inwestycji (związane z nowymi stacjami CNG i LCNG)</t>
  </si>
  <si>
    <t>Tabela G13E. Nakłady inwestycyjne pozostałe - inne (związane z nowymi stacjami CNG i LCNG)</t>
  </si>
  <si>
    <t>Tabela G13. Nakłady inwestycyjne pozostałe - inne (nie związane z nowymi stacjami CNG i LCNG)</t>
  </si>
  <si>
    <t>Tabela G16. Lista projektów inwestycyjnych dotycząca modernizacji i odtworzenia majątku (nie związana z przyłączeniem nowych stacji CNG)</t>
  </si>
  <si>
    <t>Tabela G16E. Lista projektów inwestycyjnych dotycząca modernizacji i odtworzenia majątku związana z przyłączeniem nowych stacji CNG</t>
  </si>
  <si>
    <t>Środki trwałe przypisane do działalności niekoncesjonowanej, w tym stacji CNG i LCNG, o których mowa w ustawie o elektromobilności</t>
  </si>
  <si>
    <t>Tabela G14E. Lista projektów inwestycyjnych związana z budową stacji CNG i LCNG ujęta w Tab. G2.1E i G2.4E</t>
  </si>
  <si>
    <t>Tabela G3.5E. Jednostkowe nakłady na przyłącza nowych stacji CNG w rozbiciu na grupy przyłączeniowe</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</si>
  <si>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</si>
  <si>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G2.1 należy przedstawić </t>
    </r>
    <r>
      <rPr>
        <b/>
        <sz val="9"/>
        <rFont val="Cambria"/>
        <family val="1"/>
        <charset val="238"/>
      </rPr>
      <t xml:space="preserve">poniesione w roku sprawozdawczym nakłady inwestycyjne na przyłączenia nowych odbiorców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</si>
  <si>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G2.2 należy przedstawić</t>
    </r>
    <r>
      <rPr>
        <b/>
        <sz val="9"/>
        <rFont val="Cambria"/>
        <family val="1"/>
        <charset val="238"/>
      </rPr>
      <t xml:space="preserve"> zakres rzeczowy wykonanych w roku sprawozdawczym nakładów inwestycyjnych na przyłączenia nowych odbiorców</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</si>
  <si>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r>
      <t xml:space="preserve">W tabeli G2.1E należy przedstawić </t>
    </r>
    <r>
      <rPr>
        <b/>
        <sz val="9"/>
        <rFont val="Cambria"/>
        <family val="1"/>
        <charset val="238"/>
      </rPr>
      <t xml:space="preserve">poniesione w roku sprawozdawczym nakłady inwestycyjne na przyłączenia nowych stacji CNG, </t>
    </r>
    <r>
      <rPr>
        <sz val="9"/>
        <rFont val="Cambria"/>
        <family val="1"/>
        <charset val="238"/>
      </rPr>
      <t>o których mowa w ustawie o elektromobilności, w rozbiciu na elementy składowe (</t>
    </r>
    <r>
      <rPr>
        <b/>
        <sz val="9"/>
        <rFont val="Cambria"/>
        <family val="1"/>
        <charset val="238"/>
      </rPr>
      <t>bez poniesionych nakładów inwestycyjnych na budowę infrastruktury stanowiącej instalację wewnętrzną nowych stacji CNG</t>
    </r>
    <r>
      <rPr>
        <sz val="9"/>
        <rFont val="Cambria"/>
        <family val="1"/>
        <charset val="238"/>
      </rPr>
      <t>).</t>
    </r>
  </si>
  <si>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</si>
  <si>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</si>
  <si>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r>
      <t xml:space="preserve">W poniższych tabelach należy przedstawić </t>
    </r>
    <r>
      <rPr>
        <b/>
        <sz val="9"/>
        <rFont val="Cambria"/>
        <family val="1"/>
        <charset val="238"/>
      </rPr>
      <t xml:space="preserve">dane za rok sprawozdawczy dotyczące przyłączenia nowych stacji CNG, o których mowa w ustawie o elektromobilności, </t>
    </r>
    <r>
      <rPr>
        <sz val="9"/>
        <rFont val="Cambria"/>
        <family val="1"/>
        <charset val="238"/>
      </rPr>
      <t xml:space="preserve">w rozbiciu na grupy przyłączeniowe. Przedstawiaone w poniższych tabelach nakłady </t>
    </r>
    <r>
      <rPr>
        <b/>
        <sz val="9"/>
        <rFont val="Cambria"/>
        <family val="1"/>
        <charset val="238"/>
      </rPr>
      <t>nie obejmują nakładów na budowę infrastruktury stanowiącej instalację wewnętrzną nowych stacji CNG</t>
    </r>
    <r>
      <rPr>
        <sz val="9"/>
        <rFont val="Cambria"/>
        <family val="1"/>
        <charset val="238"/>
      </rPr>
      <t>.</t>
    </r>
  </si>
  <si>
    <r>
      <rPr>
        <b/>
        <sz val="9"/>
        <rFont val="Cambria"/>
        <family val="1"/>
        <charset val="238"/>
      </rPr>
      <t>grupa A</t>
    </r>
    <r>
      <rPr>
        <sz val="9"/>
        <rFont val="Cambria"/>
        <family val="1"/>
        <charset val="238"/>
      </rPr>
      <t xml:space="preserve"> - podmioty, których urządzenia, instalacje i sieci są bezpośrednio przyłączone do sieci przesyłowej  lub sieci dystrybucyjnej wysokich ciśnień, z wyłączeniem podmiotów zaliczanych do grupy C. </t>
    </r>
  </si>
  <si>
    <r>
      <rPr>
        <b/>
        <sz val="9"/>
        <rFont val="Cambria"/>
        <family val="1"/>
        <charset val="238"/>
      </rPr>
      <t>grupa C</t>
    </r>
    <r>
      <rPr>
        <sz val="9"/>
        <rFont val="Cambria"/>
        <family val="1"/>
        <charset val="238"/>
      </rPr>
      <t xml:space="preserve"> - podmioty wykonujące działalność gospodarczą w zakresie przesyłania lub dystrybucji paliw gazowych, ich wytwarzania, przetwarzania lub wydobywania, magazynowania paliw gazowych oraz skraplania lub regazyfikacji skroplonego gazu ziemnego.  </t>
    </r>
  </si>
  <si>
    <r>
      <rPr>
        <b/>
        <sz val="9"/>
        <rFont val="Cambria"/>
        <family val="1"/>
        <charset val="238"/>
      </rPr>
      <t>grupa B</t>
    </r>
    <r>
      <rPr>
        <sz val="9"/>
        <rFont val="Cambria"/>
        <family val="1"/>
        <charset val="238"/>
      </rPr>
      <t xml:space="preserve"> - podmioty, których urządzenia, instalacje i sieci są bezpośrednio przyłączone do sieci przesyłowej  lub sieci dystrybucyjnej innej niż wysokich ciśnień (grupa A), z wyłączeniem podmiotów zaliczanych do grupy C. </t>
    </r>
  </si>
  <si>
    <r>
      <t xml:space="preserve">W poniższych tabelach należy przedstawić </t>
    </r>
    <r>
      <rPr>
        <b/>
        <sz val="9"/>
        <rFont val="Cambria"/>
        <family val="1"/>
        <charset val="238"/>
      </rPr>
      <t xml:space="preserve">dane za rok sprawozdawczy dotyczące przyłączenia nowych odbiorców </t>
    </r>
    <r>
      <rPr>
        <sz val="9"/>
        <rFont val="Cambria"/>
        <family val="1"/>
        <charset val="238"/>
      </rPr>
      <t>w rozbiciu na grupy przyłączeniowe (</t>
    </r>
    <r>
      <rPr>
        <b/>
        <sz val="9"/>
        <rFont val="Cambria"/>
        <family val="1"/>
        <charset val="238"/>
      </rPr>
      <t>nie obejmujące danych dotyczących przyłączenia nowych stacji CNG</t>
    </r>
    <r>
      <rPr>
        <sz val="9"/>
        <rFont val="Cambria"/>
        <family val="1"/>
        <charset val="238"/>
      </rPr>
      <t>, o których mowa w ustawie o elektromobilności).</t>
    </r>
  </si>
  <si>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t>
    </r>
    <r>
      <rPr>
        <b/>
        <sz val="9"/>
        <rFont val="Cambria"/>
        <family val="1"/>
        <charset val="238"/>
      </rPr>
      <t>związane z przyłączeniem nowych stacji CNG</t>
    </r>
    <r>
      <rPr>
        <sz val="9"/>
        <rFont val="Cambria"/>
        <family val="1"/>
        <charset val="238"/>
      </rPr>
      <t>, o których mowa w ustawie o elektromobilności.</t>
    </r>
  </si>
  <si>
    <t>Raport z wykonania planu inwestycyjnego należy wypełniać co rok zgodnie z kwestionariuszem Projektu Planu Rozwoju w zakresie zaspokajania obecnego i przyszłego zapotrzebowania na paliwa gazowe - Instrukcja.</t>
  </si>
  <si>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zrealizowanej przez przedsiębiorstwo (</t>
    </r>
    <r>
      <rPr>
        <b/>
        <sz val="9"/>
        <rFont val="Cambria"/>
        <family val="1"/>
        <charset val="238"/>
      </rPr>
      <t>bez wymiany/modernizacji majątku sieciowego związanej z przyłączaniem nowych stacji CNG</t>
    </r>
    <r>
      <rPr>
        <sz val="9"/>
        <rFont val="Cambria"/>
        <family val="1"/>
        <charset val="238"/>
      </rPr>
      <t>, o których mowa w ustawie o elektromobilności).</t>
    </r>
  </si>
  <si>
    <t>100 &lt; DN[mm]</t>
  </si>
  <si>
    <t>300 &lt; Q[m³/h]</t>
  </si>
  <si>
    <t>100 &lt; Q[m³/h] ≤ 300</t>
  </si>
  <si>
    <t>Q[m³/h] ≤ 100</t>
  </si>
  <si>
    <t>E</t>
  </si>
  <si>
    <t>Lw</t>
  </si>
  <si>
    <t>Ls</t>
  </si>
  <si>
    <t>koksowniczy</t>
  </si>
  <si>
    <t>Tabela G17. Wiek majątku oraz potrzeba jego odtworzenia i modernizacji (wszystkie paliwa gazowe łącznie)</t>
  </si>
  <si>
    <t>Tabela G17.1. Wiek majątku oraz potrzeba jego odtworzenia i modernizacji (gaz ziemny wysokometanowy E)</t>
  </si>
  <si>
    <t>Tabela G17.2. Wiek majątku oraz potrzeba jego odtworzenia i modernizacji (gaz ziemny zaazotowanego podgrupy Lw)</t>
  </si>
  <si>
    <t>Tabela G17.3. Wiek majątku oraz potrzeba jego odtworzenia i modernizacji (gaz ziemny zaazotowanego podgrupy Ls)</t>
  </si>
  <si>
    <t>Tabela G17.4. Wiek majątku oraz potrzeba jego odtworzenia i modernizacji (gaz koksowniczy)</t>
  </si>
  <si>
    <t>Z tego gaz:</t>
  </si>
  <si>
    <t>- gaz ziemny wysokometanowy E</t>
  </si>
  <si>
    <t>- gaz ziemny zaazotowany podgrupa Lw</t>
  </si>
  <si>
    <t>- gaz ziemny zaazotowany podgrupa Ls</t>
  </si>
  <si>
    <t>- gaz koksowniczy</t>
  </si>
  <si>
    <t>Liczba odbiorców wg grup taryfowych:</t>
  </si>
  <si>
    <t>Liczba odbiorców wg rodzaju paliw gazowych:</t>
  </si>
  <si>
    <t>Wolumen dystrybuowanych paliw gazowych wg grup taryfowych:</t>
  </si>
  <si>
    <t>Wolumen dystrybuowanych paliw gazowych wg rodzaju paliw gazowych, w tym:</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</si>
  <si>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</si>
  <si>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</si>
  <si>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</si>
  <si>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</si>
  <si>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</si>
  <si>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</si>
  <si>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</si>
  <si>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</si>
  <si>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</si>
  <si>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</si>
  <si>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</si>
  <si>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</si>
  <si>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</si>
  <si>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</si>
  <si>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</si>
  <si>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</si>
  <si>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</si>
  <si>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</si>
  <si>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</si>
  <si>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</si>
  <si>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</si>
  <si>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</si>
  <si>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</si>
  <si>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</si>
  <si>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</si>
  <si>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</si>
  <si>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</si>
  <si>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</si>
  <si>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</si>
  <si>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</si>
  <si>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</si>
  <si>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</si>
  <si>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</si>
  <si>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</si>
  <si>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</si>
  <si>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</si>
  <si>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</si>
  <si>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</si>
  <si>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</si>
  <si>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</si>
  <si>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</si>
  <si>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</si>
  <si>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</si>
  <si>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</si>
  <si>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</si>
  <si>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</si>
  <si>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</si>
  <si>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</si>
  <si>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</si>
  <si>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</si>
  <si>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</si>
  <si>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</si>
  <si>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</si>
  <si>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</si>
  <si>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</si>
  <si>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</si>
  <si>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</si>
  <si>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</si>
  <si>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</si>
  <si>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</si>
  <si>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</si>
  <si>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</si>
  <si>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</si>
  <si>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</si>
  <si>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</si>
  <si>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</si>
  <si>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Nazwa przedsiębiorstwa</t>
  </si>
  <si>
    <t>B2. Budowa sieci na terenach niezgazyfikowanych (ekspansja na nowe tereny - sieci i przyłącza) - tabele szczegółowe</t>
  </si>
  <si>
    <r>
      <t xml:space="preserve">W tabeli G6.1 należy przedstawić </t>
    </r>
    <r>
      <rPr>
        <b/>
        <sz val="9"/>
        <rFont val="Cambria"/>
        <family val="1"/>
        <charset val="238"/>
      </rPr>
      <t xml:space="preserve">nakłady inwestycyjne budowy sieci na terenach niezgazyfikowanych (ekspansja na nowe tereny - sieci i przyłącza)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</si>
  <si>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G6.2 należy przedstawić</t>
    </r>
    <r>
      <rPr>
        <b/>
        <sz val="9"/>
        <rFont val="Cambria"/>
        <family val="1"/>
        <charset val="238"/>
      </rPr>
      <t xml:space="preserve"> zakres rzeczowy nakładów inwestycyjnych budowy sieci na terenach niezgazyfikowanych (ekspansja na nowe tereny - sieci i przyłącza)</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</si>
  <si>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t>Tabela G6.1. Poniesione nakłady budowy sieci na terenach niezgazyfikowanych (ekspansja na nowe tereny - sieci i przyłącza)</t>
  </si>
  <si>
    <t>Tabela G6.2. Zakres rzeczowy wykonanych nakładów budowy sieci na terenach niezgazyfikowanych (ekspansja na nowe tereny - sieci i przyłącza)</t>
  </si>
  <si>
    <t>Tabela G6.3. Jednostkowe nakłady budowy sieci na terenach niezgazyfikowanych (ekspansja na nowe tereny - sieci i przyłącza)</t>
  </si>
  <si>
    <t xml:space="preserve">nie mniej niż 100 000 odbiorców przyłączonych do jego systemu dystrybucyjnego gazowego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</si>
</sst>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_z_ł_-;\-* #,##0\ _z_ł_-;_-* &quot;-&quot;\ _z_ł_-;_-@_-"/>
    <numFmt numFmtId="165" formatCode="_-* #,##0.00\ _z_ł_-;\-* #,##0.00\ _z_ł_-;_-* &quot;-&quot;??\ _z_ł_-;_-@_-"/>
    <numFmt numFmtId="166" formatCode="#,##0.0"/>
    <numFmt numFmtId="167" formatCode="0.0%"/>
    <numFmt numFmtId="168" formatCode="_-* #,##0.0\ _z_ł_-;\-* #,##0.0\ _z_ł_-;_-* &quot;-&quot;?\ _z_ł_-;_-@_-"/>
  </numFmts>
  <fonts count="77">
    <font>
      <sz val="12"/>
      <name val="Cambria"/>
      <family val="1"/>
      <charset val="238"/>
    </font>
    <font>
      <sz val="10"/>
      <name val="Arial CE"/>
      <charset val="238"/>
    </font>
    <font>
      <sz val="10"/>
      <name val="Arial"/>
      <family val="2"/>
      <charset val="238"/>
    </font>
    <font>
      <sz val="10"/>
      <name val="Courier"/>
      <family val="1"/>
      <charset val="238"/>
    </font>
    <font>
      <sz val="10"/>
      <name val="Helv"/>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0"/>
      <name val="Arial CE"/>
      <charset val="238"/>
    </font>
    <font>
      <sz val="10"/>
      <name val="Arial"/>
      <family val="2"/>
      <charset val="238"/>
    </font>
    <font>
      <b/>
      <sz val="12"/>
      <name val="Cambria"/>
      <family val="1"/>
      <charset val="238"/>
    </font>
    <font>
      <sz val="8"/>
      <name val="Arial CE"/>
      <charset val="238"/>
    </font>
    <font>
      <sz val="12"/>
      <name val="Cambria"/>
      <family val="1"/>
      <charset val="238"/>
    </font>
    <font>
      <u/>
      <sz val="12"/>
      <color indexed="12"/>
      <name val="Cambria"/>
      <family val="1"/>
      <charset val="238"/>
    </font>
    <font>
      <b/>
      <sz val="16"/>
      <name val="Cambria"/>
      <family val="1"/>
      <charset val="238"/>
    </font>
    <font>
      <sz val="10"/>
      <name val="Cambria"/>
      <family val="1"/>
      <charset val="238"/>
    </font>
    <font>
      <b/>
      <sz val="13"/>
      <name val="Cambria"/>
      <family val="1"/>
      <charset val="238"/>
    </font>
    <font>
      <b/>
      <sz val="14"/>
      <name val="Cambria"/>
      <family val="1"/>
      <charset val="238"/>
    </font>
    <font>
      <sz val="14"/>
      <name val="Cambria"/>
      <family val="1"/>
      <charset val="238"/>
    </font>
    <font>
      <u/>
      <sz val="11"/>
      <color indexed="12"/>
      <name val="Cambria"/>
      <family val="1"/>
      <charset val="238"/>
    </font>
    <font>
      <b/>
      <sz val="11"/>
      <color indexed="8"/>
      <name val="Cambria"/>
      <family val="1"/>
      <charset val="238"/>
    </font>
    <font>
      <sz val="11"/>
      <color indexed="8"/>
      <name val="Cambria"/>
      <family val="1"/>
      <charset val="238"/>
    </font>
    <font>
      <u/>
      <sz val="10"/>
      <color indexed="12"/>
      <name val="Cambria"/>
      <family val="1"/>
      <charset val="238"/>
    </font>
    <font>
      <b/>
      <sz val="10"/>
      <name val="Cambria"/>
      <family val="1"/>
      <charset val="238"/>
    </font>
    <font>
      <sz val="11"/>
      <name val="Cambria"/>
      <family val="1"/>
      <charset val="238"/>
    </font>
    <font>
      <vertAlign val="superscript"/>
      <sz val="12"/>
      <name val="Cambria"/>
      <family val="1"/>
      <charset val="238"/>
    </font>
    <font>
      <b/>
      <sz val="12"/>
      <color indexed="22"/>
      <name val="Cambria"/>
      <family val="1"/>
      <charset val="238"/>
    </font>
    <font>
      <sz val="12"/>
      <color indexed="52"/>
      <name val="Cambria"/>
      <family val="1"/>
      <charset val="238"/>
    </font>
    <font>
      <b/>
      <sz val="12"/>
      <color indexed="52"/>
      <name val="Cambria"/>
      <family val="1"/>
      <charset val="238"/>
    </font>
    <font>
      <b/>
      <sz val="11"/>
      <name val="Cambria"/>
      <family val="1"/>
      <charset val="238"/>
    </font>
    <font>
      <sz val="9"/>
      <name val="Cambria"/>
      <family val="1"/>
      <charset val="238"/>
    </font>
    <font>
      <b/>
      <sz val="12"/>
      <color indexed="10"/>
      <name val="Cambria"/>
      <family val="1"/>
      <charset val="238"/>
    </font>
    <font>
      <b/>
      <i/>
      <sz val="12"/>
      <name val="Cambria"/>
      <family val="1"/>
      <charset val="238"/>
    </font>
    <font>
      <i/>
      <sz val="10"/>
      <name val="Cambria"/>
      <family val="1"/>
      <charset val="238"/>
    </font>
    <font>
      <b/>
      <sz val="9"/>
      <name val="Cambria"/>
      <family val="1"/>
      <charset val="238"/>
    </font>
    <font>
      <sz val="12"/>
      <color indexed="10"/>
      <name val="Cambria"/>
      <family val="1"/>
      <charset val="238"/>
    </font>
    <font>
      <i/>
      <sz val="12"/>
      <name val="Cambria"/>
      <family val="1"/>
      <charset val="238"/>
    </font>
    <font>
      <sz val="11"/>
      <color indexed="12"/>
      <name val="Cambria"/>
      <family val="1"/>
      <charset val="238"/>
    </font>
    <font>
      <b/>
      <sz val="10"/>
      <name val="Arial CE"/>
      <charset val="238"/>
    </font>
    <font>
      <sz val="12"/>
      <name val="Arial CE"/>
      <charset val="238"/>
    </font>
    <font>
      <sz val="9"/>
      <name val="Arial CE"/>
      <charset val="238"/>
    </font>
    <font>
      <b/>
      <sz val="12"/>
      <name val="Arial CE"/>
      <charset val="238"/>
    </font>
    <font>
      <b/>
      <sz val="9"/>
      <name val="Arial CE"/>
      <charset val="238"/>
    </font>
    <font>
      <sz val="11"/>
      <name val="Arial"/>
      <family val="2"/>
      <charset val="238"/>
    </font>
    <font>
      <i/>
      <sz val="11"/>
      <name val="Cambria"/>
      <family val="1"/>
      <charset val="238"/>
    </font>
    <font>
      <b/>
      <sz val="11"/>
      <name val="Arial"/>
      <family val="2"/>
      <charset val="238"/>
    </font>
    <font>
      <b/>
      <i/>
      <sz val="11"/>
      <name val="Cambria"/>
      <family val="1"/>
      <charset val="238"/>
    </font>
    <font>
      <b/>
      <sz val="9"/>
      <color indexed="8"/>
      <name val="Cambria"/>
      <family val="1"/>
      <charset val="238"/>
    </font>
    <font>
      <b/>
      <u/>
      <sz val="9"/>
      <name val="Cambria"/>
      <family val="1"/>
      <charset val="238"/>
    </font>
    <font>
      <b/>
      <sz val="9"/>
      <color indexed="22"/>
      <name val="Cambria"/>
      <family val="1"/>
      <charset val="238"/>
    </font>
    <font>
      <b/>
      <sz val="9"/>
      <name val="Cambria"/>
      <family val="1"/>
      <charset val="238"/>
      <scheme val="maj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4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39997558519241921"/>
        <bgColor indexed="64"/>
      </patternFill>
    </fill>
  </fills>
  <borders count="2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4"/>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diagonal/>
    </border>
    <border>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thin">
        <color indexed="64"/>
      </bottom>
      <diagonal/>
    </border>
    <border>
      <left style="medium">
        <color indexed="64"/>
      </left>
      <right style="medium">
        <color indexed="64"/>
      </right>
      <top style="thin">
        <color indexed="64"/>
      </top>
      <bottom style="thin">
        <color indexed="22"/>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thin">
        <color indexed="22"/>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thin">
        <color indexed="64"/>
      </left>
      <right/>
      <top/>
      <bottom/>
      <diagonal/>
    </border>
    <border>
      <left style="medium">
        <color indexed="64"/>
      </left>
      <right style="medium">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double">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right style="medium">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right style="double">
        <color indexed="64"/>
      </right>
      <top style="medium">
        <color indexed="64"/>
      </top>
      <bottom/>
      <diagonal/>
    </border>
    <border>
      <left/>
      <right style="double">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double">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diagonal/>
    </border>
    <border>
      <left style="medium">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diagonal/>
    </border>
    <border>
      <left/>
      <right style="double">
        <color indexed="64"/>
      </right>
      <top style="hair">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hair">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double">
        <color indexed="64"/>
      </bottom>
      <diagonal/>
    </border>
    <border>
      <left style="medium">
        <color indexed="64"/>
      </left>
      <right style="double">
        <color indexed="64"/>
      </right>
      <top/>
      <bottom style="double">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hair">
        <color indexed="64"/>
      </bottom>
      <diagonal/>
    </border>
    <border>
      <left style="medium">
        <color indexed="64"/>
      </left>
      <right style="double">
        <color indexed="64"/>
      </right>
      <top style="double">
        <color indexed="64"/>
      </top>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style="hair">
        <color indexed="64"/>
      </bottom>
      <diagonal/>
    </border>
    <border>
      <left style="double">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double">
        <color indexed="64"/>
      </right>
      <top/>
      <bottom style="hair">
        <color indexed="64"/>
      </bottom>
      <diagonal/>
    </border>
    <border>
      <left style="medium">
        <color indexed="64"/>
      </left>
      <right/>
      <top style="double">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double">
        <color indexed="64"/>
      </right>
      <top/>
      <bottom style="medium">
        <color indexed="64"/>
      </bottom>
      <diagonal/>
    </border>
    <border>
      <left/>
      <right style="double">
        <color indexed="64"/>
      </right>
      <top/>
      <bottom style="thin">
        <color indexed="64"/>
      </bottom>
      <diagonal/>
    </border>
    <border>
      <left/>
      <right style="double">
        <color indexed="64"/>
      </right>
      <top style="hair">
        <color indexed="64"/>
      </top>
      <bottom style="thin">
        <color indexed="64"/>
      </bottom>
      <diagonal/>
    </border>
    <border>
      <left/>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right/>
      <top style="hair">
        <color indexed="64"/>
      </top>
      <bottom/>
      <diagonal/>
    </border>
    <border>
      <left/>
      <right/>
      <top style="medium">
        <color indexed="64"/>
      </top>
      <bottom style="hair">
        <color indexed="64"/>
      </bottom>
      <diagonal/>
    </border>
    <border>
      <left/>
      <right/>
      <top style="hair">
        <color indexed="64"/>
      </top>
      <bottom style="double">
        <color indexed="64"/>
      </bottom>
      <diagonal/>
    </border>
    <border>
      <left style="double">
        <color indexed="64"/>
      </left>
      <right/>
      <top/>
      <bottom/>
      <diagonal/>
    </border>
  </borders>
  <cellStyleXfs count="84">
    <xf numFmtId="14" fontId="0" fillId="0" borderId="0" applyProtection="0">
      <alignment vertical="center"/>
    </xf>
    <xf numFmtId="0" fontId="4" fillId="0" borderId="0"/>
    <xf numFmtId="0" fontId="4" fillId="0" borderId="0"/>
    <xf numFmtId="0" fontId="4" fillId="0" borderId="0"/>
    <xf numFmtId="0" fontId="4"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23" fillId="7" borderId="1" applyNumberFormat="0" applyAlignment="0" applyProtection="0"/>
    <xf numFmtId="0" fontId="24" fillId="20" borderId="3"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39" fillId="0" borderId="0" applyNumberFormat="0" applyFill="0" applyBorder="0" applyAlignment="0" applyProtection="0">
      <alignment vertical="top"/>
      <protection locked="0"/>
    </xf>
    <xf numFmtId="0" fontId="15" fillId="7" borderId="1" applyNumberFormat="0" applyAlignment="0" applyProtection="0"/>
    <xf numFmtId="0" fontId="25" fillId="0" borderId="7" applyNumberFormat="0" applyFill="0" applyAlignment="0" applyProtection="0"/>
    <xf numFmtId="0" fontId="26" fillId="21" borderId="2" applyNumberFormat="0" applyAlignment="0" applyProtection="0"/>
    <xf numFmtId="0" fontId="16" fillId="0" borderId="7"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7" fillId="22" borderId="0" applyNumberFormat="0" applyBorder="0" applyAlignment="0" applyProtection="0"/>
    <xf numFmtId="0" fontId="35" fillId="0" borderId="0"/>
    <xf numFmtId="0" fontId="2" fillId="0" borderId="0"/>
    <xf numFmtId="14" fontId="3" fillId="0" borderId="0" applyProtection="0">
      <alignment vertical="center"/>
    </xf>
    <xf numFmtId="14" fontId="3" fillId="0" borderId="0" applyProtection="0">
      <alignment vertical="center"/>
    </xf>
    <xf numFmtId="14" fontId="3" fillId="0" borderId="0" applyProtection="0">
      <alignment vertical="center"/>
    </xf>
    <xf numFmtId="14" fontId="3" fillId="0" borderId="0" applyProtection="0">
      <alignment vertical="center"/>
    </xf>
    <xf numFmtId="0" fontId="34" fillId="0" borderId="0"/>
    <xf numFmtId="0" fontId="1" fillId="0" borderId="0"/>
    <xf numFmtId="0" fontId="34" fillId="0" borderId="0"/>
    <xf numFmtId="0" fontId="1" fillId="0" borderId="0"/>
    <xf numFmtId="0" fontId="2" fillId="0" borderId="0"/>
    <xf numFmtId="0" fontId="2" fillId="0" borderId="0"/>
    <xf numFmtId="0" fontId="2" fillId="0" borderId="0"/>
    <xf numFmtId="0" fontId="4" fillId="0" borderId="0"/>
    <xf numFmtId="0" fontId="1" fillId="0" borderId="0"/>
    <xf numFmtId="0" fontId="5" fillId="23" borderId="8" applyNumberFormat="0" applyFont="0" applyAlignment="0" applyProtection="0"/>
    <xf numFmtId="0" fontId="30" fillId="20" borderId="1" applyNumberFormat="0" applyAlignment="0" applyProtection="0"/>
    <xf numFmtId="0" fontId="18" fillId="20" borderId="3" applyNumberFormat="0" applyAlignment="0" applyProtection="0"/>
    <xf numFmtId="14" fontId="3" fillId="0" borderId="0" applyProtection="0">
      <alignment vertical="center"/>
    </xf>
    <xf numFmtId="0" fontId="31"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9" fillId="0" borderId="0" applyNumberFormat="0" applyFill="0" applyBorder="0" applyAlignment="0" applyProtection="0"/>
    <xf numFmtId="0" fontId="1" fillId="23" borderId="8" applyNumberFormat="0" applyFont="0" applyAlignment="0" applyProtection="0"/>
    <xf numFmtId="0" fontId="21" fillId="0" borderId="0" applyNumberFormat="0" applyFill="0" applyBorder="0" applyAlignment="0" applyProtection="0"/>
  </cellStyleXfs>
  <cellXfs count="1277">
    <xf numFmtId="0" fontId="0" fillId="0" borderId="0" xfId="0" applyNumberFormat="1" applyAlignment="1"/>
    <xf numFmtId="0" fontId="36" fillId="24" borderId="11" xfId="66" applyFont="1" applyFill="1" applyBorder="1" applyAlignment="1">
      <alignment horizontal="left" vertical="center"/>
    </xf>
    <xf numFmtId="0" fontId="36" fillId="24" borderId="12" xfId="66" applyFont="1" applyFill="1" applyBorder="1" applyAlignment="1">
      <alignment horizontal="center" vertical="center"/>
    </xf>
    <xf numFmtId="0" fontId="36" fillId="0" borderId="11" xfId="66" applyFont="1" applyBorder="1" applyAlignment="1">
      <alignment horizontal="left" vertical="center" wrapText="1" indent="1"/>
    </xf>
    <xf numFmtId="0" fontId="36" fillId="0" borderId="12" xfId="66" applyFont="1" applyBorder="1" applyAlignment="1">
      <alignment horizontal="center" vertical="center"/>
    </xf>
    <xf numFmtId="0" fontId="36" fillId="0" borderId="15" xfId="66" applyFont="1" applyBorder="1" applyAlignment="1">
      <alignment horizontal="center" vertical="center"/>
    </xf>
    <xf numFmtId="0" fontId="36" fillId="0" borderId="18" xfId="66" applyFont="1" applyBorder="1" applyAlignment="1">
      <alignment horizontal="center" vertical="center"/>
    </xf>
    <xf numFmtId="0" fontId="36" fillId="0" borderId="21" xfId="66" applyFont="1" applyBorder="1" applyAlignment="1">
      <alignment horizontal="center" vertical="center"/>
    </xf>
    <xf numFmtId="0" fontId="36" fillId="0" borderId="24" xfId="66" applyFont="1" applyBorder="1" applyAlignment="1">
      <alignment horizontal="center" vertical="center"/>
    </xf>
    <xf numFmtId="0" fontId="36" fillId="0" borderId="27" xfId="66" applyFont="1" applyBorder="1" applyAlignment="1">
      <alignment horizontal="center" vertical="center"/>
    </xf>
    <xf numFmtId="0" fontId="36" fillId="0" borderId="30" xfId="66" applyFont="1" applyBorder="1" applyAlignment="1">
      <alignment horizontal="center" vertical="center"/>
    </xf>
    <xf numFmtId="0" fontId="36" fillId="0" borderId="11" xfId="66" applyFont="1" applyBorder="1" applyAlignment="1">
      <alignment horizontal="left" vertical="center" indent="1"/>
    </xf>
    <xf numFmtId="0" fontId="36" fillId="0" borderId="14" xfId="66" applyFont="1" applyBorder="1" applyAlignment="1">
      <alignment horizontal="left" vertical="center" indent="1"/>
    </xf>
    <xf numFmtId="0" fontId="36" fillId="0" borderId="26" xfId="66" applyFont="1" applyBorder="1" applyAlignment="1">
      <alignment horizontal="left" vertical="center" indent="1"/>
    </xf>
    <xf numFmtId="0" fontId="36" fillId="0" borderId="32" xfId="66" applyFont="1" applyBorder="1" applyAlignment="1">
      <alignment horizontal="left" vertical="center" indent="1"/>
    </xf>
    <xf numFmtId="0" fontId="36" fillId="0" borderId="33" xfId="66" applyFont="1" applyBorder="1" applyAlignment="1">
      <alignment horizontal="center" vertical="center"/>
    </xf>
    <xf numFmtId="0" fontId="36" fillId="0" borderId="35" xfId="66" applyFont="1" applyBorder="1" applyAlignment="1">
      <alignment horizontal="left" vertical="center" indent="1"/>
    </xf>
    <xf numFmtId="0" fontId="36" fillId="0" borderId="36" xfId="66" applyFont="1" applyBorder="1" applyAlignment="1">
      <alignment horizontal="center" vertical="center"/>
    </xf>
    <xf numFmtId="14" fontId="40" fillId="25" borderId="0" xfId="75" applyFont="1" applyFill="1" applyBorder="1" applyAlignment="1">
      <alignment horizontal="center" vertical="top" wrapText="1"/>
    </xf>
    <xf numFmtId="0" fontId="38" fillId="25" borderId="0" xfId="0" applyNumberFormat="1" applyFont="1" applyFill="1" applyBorder="1" applyAlignment="1"/>
    <xf numFmtId="0" fontId="38" fillId="25" borderId="0" xfId="0" applyNumberFormat="1" applyFont="1" applyFill="1" applyAlignment="1"/>
    <xf numFmtId="14" fontId="41" fillId="25" borderId="0" xfId="75" applyFont="1" applyFill="1" applyBorder="1" applyAlignment="1">
      <alignment horizontal="center" vertical="top" wrapText="1"/>
    </xf>
    <xf numFmtId="0" fontId="40" fillId="25" borderId="0" xfId="0" applyNumberFormat="1" applyFont="1" applyFill="1" applyBorder="1" applyAlignment="1">
      <alignment horizontal="center" vertical="top" wrapText="1"/>
    </xf>
    <xf numFmtId="0" fontId="42" fillId="25" borderId="0" xfId="0" applyNumberFormat="1" applyFont="1" applyFill="1" applyBorder="1" applyAlignment="1">
      <alignment horizontal="left" vertical="top" wrapText="1"/>
    </xf>
    <xf numFmtId="0" fontId="42" fillId="25" borderId="0" xfId="0" applyNumberFormat="1" applyFont="1" applyFill="1" applyBorder="1" applyAlignment="1">
      <alignment horizontal="center" vertical="top" wrapText="1"/>
    </xf>
    <xf numFmtId="14" fontId="40" fillId="25" borderId="0" xfId="75" applyFont="1" applyFill="1" applyAlignment="1">
      <alignment horizontal="center" vertical="top" wrapText="1"/>
    </xf>
    <xf numFmtId="14" fontId="38" fillId="25" borderId="0" xfId="75" applyFont="1" applyFill="1">
      <alignment vertical="center"/>
    </xf>
    <xf numFmtId="0" fontId="43" fillId="25" borderId="0" xfId="0" applyNumberFormat="1" applyFont="1" applyFill="1" applyAlignment="1"/>
    <xf numFmtId="0" fontId="44" fillId="25" borderId="0" xfId="0" applyNumberFormat="1" applyFont="1" applyFill="1" applyAlignment="1"/>
    <xf numFmtId="0" fontId="44" fillId="25" borderId="0" xfId="0" applyNumberFormat="1" applyFont="1" applyFill="1" applyAlignment="1">
      <alignment horizontal="right" vertical="top"/>
    </xf>
    <xf numFmtId="14" fontId="44" fillId="0" borderId="0" xfId="75" applyFont="1">
      <alignment vertical="center"/>
    </xf>
    <xf numFmtId="0" fontId="38" fillId="0" borderId="0" xfId="66" applyFont="1"/>
    <xf numFmtId="0" fontId="45" fillId="0" borderId="0" xfId="47" applyFont="1" applyAlignment="1" applyProtection="1"/>
    <xf numFmtId="0" fontId="41" fillId="25" borderId="0" xfId="0" applyNumberFormat="1" applyFont="1" applyFill="1" applyAlignment="1"/>
    <xf numFmtId="0" fontId="41" fillId="0" borderId="0" xfId="0" applyNumberFormat="1" applyFont="1" applyAlignment="1"/>
    <xf numFmtId="0" fontId="38" fillId="25" borderId="0" xfId="66" applyFont="1" applyFill="1"/>
    <xf numFmtId="0" fontId="36" fillId="25" borderId="0" xfId="66" applyFont="1" applyFill="1" applyAlignment="1">
      <alignment horizontal="left" vertical="top"/>
    </xf>
    <xf numFmtId="0" fontId="36" fillId="25" borderId="0" xfId="66" applyFont="1" applyFill="1" applyAlignment="1"/>
    <xf numFmtId="14" fontId="48" fillId="25" borderId="0" xfId="47" applyNumberFormat="1" applyFont="1" applyFill="1" applyAlignment="1" applyProtection="1"/>
    <xf numFmtId="0" fontId="38" fillId="25" borderId="0" xfId="70" applyFont="1" applyFill="1"/>
    <xf numFmtId="0" fontId="38" fillId="0" borderId="0" xfId="70" applyFont="1"/>
    <xf numFmtId="14" fontId="38" fillId="0" borderId="81" xfId="62" applyFont="1" applyBorder="1" applyAlignment="1">
      <alignment horizontal="center" vertical="center"/>
    </xf>
    <xf numFmtId="14" fontId="38" fillId="0" borderId="79" xfId="62" applyFont="1" applyBorder="1" applyAlignment="1">
      <alignment horizontal="center" vertical="center"/>
    </xf>
    <xf numFmtId="14" fontId="38" fillId="0" borderId="82" xfId="62" applyFont="1" applyBorder="1" applyAlignment="1">
      <alignment horizontal="center" vertical="center"/>
    </xf>
    <xf numFmtId="14" fontId="36" fillId="0" borderId="84" xfId="62" applyFont="1" applyBorder="1" applyAlignment="1">
      <alignment horizontal="center" vertical="center"/>
    </xf>
    <xf numFmtId="14" fontId="36" fillId="0" borderId="72" xfId="62" applyFont="1" applyBorder="1" applyAlignment="1">
      <alignment horizontal="center" vertical="center"/>
    </xf>
    <xf numFmtId="0" fontId="36" fillId="25" borderId="0" xfId="70" applyFont="1" applyFill="1"/>
    <xf numFmtId="0" fontId="38" fillId="25" borderId="0" xfId="69" applyFont="1" applyFill="1"/>
    <xf numFmtId="0" fontId="38" fillId="25" borderId="0" xfId="69" applyFont="1" applyFill="1" applyAlignment="1">
      <alignment horizontal="center" wrapText="1"/>
    </xf>
    <xf numFmtId="0" fontId="38" fillId="25" borderId="0" xfId="69" applyFont="1" applyFill="1" applyAlignment="1">
      <alignment horizontal="center" vertical="center"/>
    </xf>
    <xf numFmtId="0" fontId="38" fillId="25" borderId="0" xfId="69" applyFont="1" applyFill="1" applyAlignment="1">
      <alignment wrapText="1"/>
    </xf>
    <xf numFmtId="0" fontId="38" fillId="25" borderId="0" xfId="69" applyFont="1" applyFill="1" applyAlignment="1"/>
    <xf numFmtId="0" fontId="36" fillId="25" borderId="0" xfId="69" applyFont="1" applyFill="1"/>
    <xf numFmtId="0" fontId="36" fillId="25" borderId="0" xfId="69" applyFont="1" applyFill="1" applyAlignment="1">
      <alignment horizontal="center" wrapText="1"/>
    </xf>
    <xf numFmtId="0" fontId="36" fillId="25" borderId="0" xfId="69" applyFont="1" applyFill="1" applyAlignment="1">
      <alignment horizontal="center" vertical="center"/>
    </xf>
    <xf numFmtId="0" fontId="36" fillId="25" borderId="0" xfId="69" applyFont="1" applyFill="1" applyAlignment="1">
      <alignment wrapText="1"/>
    </xf>
    <xf numFmtId="0" fontId="36" fillId="25" borderId="0" xfId="69" applyFont="1" applyFill="1" applyAlignment="1"/>
    <xf numFmtId="49" fontId="41" fillId="26" borderId="48" xfId="69" applyNumberFormat="1" applyFont="1" applyFill="1" applyBorder="1" applyAlignment="1">
      <alignment horizontal="center" vertical="center"/>
    </xf>
    <xf numFmtId="2" fontId="41" fillId="26" borderId="48" xfId="68" applyNumberFormat="1" applyFont="1" applyFill="1" applyBorder="1" applyAlignment="1">
      <alignment horizontal="left" vertical="center" wrapText="1"/>
    </xf>
    <xf numFmtId="0" fontId="41" fillId="0" borderId="88" xfId="69" applyFont="1" applyFill="1" applyBorder="1" applyAlignment="1">
      <alignment horizontal="center"/>
    </xf>
    <xf numFmtId="0" fontId="41" fillId="0" borderId="88" xfId="69" applyFont="1" applyFill="1" applyBorder="1" applyAlignment="1"/>
    <xf numFmtId="166" fontId="41" fillId="0" borderId="44" xfId="68" applyNumberFormat="1" applyFont="1" applyFill="1" applyBorder="1" applyAlignment="1">
      <alignment horizontal="right" vertical="center" wrapText="1"/>
    </xf>
    <xf numFmtId="3" fontId="41" fillId="0" borderId="44" xfId="67" applyNumberFormat="1" applyFont="1" applyFill="1" applyBorder="1" applyAlignment="1">
      <alignment horizontal="center" vertical="center" wrapText="1"/>
    </xf>
    <xf numFmtId="3" fontId="41" fillId="0" borderId="44" xfId="67" applyNumberFormat="1" applyFont="1" applyFill="1" applyBorder="1" applyAlignment="1">
      <alignment vertical="center" wrapText="1"/>
    </xf>
    <xf numFmtId="0" fontId="41" fillId="0" borderId="44" xfId="69" applyFont="1" applyFill="1" applyBorder="1" applyAlignment="1"/>
    <xf numFmtId="3" fontId="41" fillId="0" borderId="44" xfId="69" applyNumberFormat="1" applyFont="1" applyFill="1" applyBorder="1" applyAlignment="1">
      <alignment vertical="center" wrapText="1"/>
    </xf>
    <xf numFmtId="3" fontId="41" fillId="0" borderId="88" xfId="69" applyNumberFormat="1" applyFont="1" applyFill="1" applyBorder="1" applyAlignment="1">
      <alignment vertical="center" wrapText="1"/>
    </xf>
    <xf numFmtId="3" fontId="41" fillId="0" borderId="61" xfId="69" applyNumberFormat="1" applyFont="1" applyFill="1" applyBorder="1" applyAlignment="1">
      <alignment vertical="center" wrapText="1"/>
    </xf>
    <xf numFmtId="166" fontId="41" fillId="0" borderId="61" xfId="68" applyNumberFormat="1" applyFont="1" applyFill="1" applyBorder="1" applyAlignment="1">
      <alignment horizontal="right" vertical="center" wrapText="1"/>
    </xf>
    <xf numFmtId="0" fontId="55" fillId="25" borderId="87" xfId="68" applyFont="1" applyFill="1" applyBorder="1" applyAlignment="1">
      <alignment horizontal="center" vertical="center" wrapText="1"/>
    </xf>
    <xf numFmtId="0" fontId="55" fillId="25" borderId="73" xfId="68" applyFont="1" applyFill="1" applyBorder="1" applyAlignment="1">
      <alignment horizontal="center" vertical="center" wrapText="1"/>
    </xf>
    <xf numFmtId="0" fontId="55" fillId="24" borderId="66" xfId="68" applyFont="1" applyFill="1" applyBorder="1" applyAlignment="1">
      <alignment horizontal="center" vertical="center" wrapText="1"/>
    </xf>
    <xf numFmtId="166" fontId="55" fillId="24" borderId="47" xfId="68" applyNumberFormat="1" applyFont="1" applyFill="1" applyBorder="1" applyAlignment="1">
      <alignment horizontal="right" vertical="center" wrapText="1"/>
    </xf>
    <xf numFmtId="0" fontId="38" fillId="25" borderId="0" xfId="69" applyFont="1" applyFill="1" applyAlignment="1">
      <alignment horizontal="center"/>
    </xf>
    <xf numFmtId="0" fontId="41" fillId="25" borderId="0" xfId="0" applyNumberFormat="1" applyFont="1" applyFill="1" applyAlignment="1">
      <alignment horizontal="center"/>
    </xf>
    <xf numFmtId="166" fontId="55" fillId="27" borderId="47" xfId="68" applyNumberFormat="1" applyFont="1" applyFill="1" applyBorder="1" applyAlignment="1">
      <alignment horizontal="right" vertical="center" wrapText="1"/>
    </xf>
    <xf numFmtId="0" fontId="38" fillId="0" borderId="0" xfId="69" applyFont="1" applyAlignment="1"/>
    <xf numFmtId="0" fontId="38" fillId="0" borderId="0" xfId="69" applyFont="1" applyAlignment="1">
      <alignment wrapText="1"/>
    </xf>
    <xf numFmtId="0" fontId="38" fillId="0" borderId="0" xfId="69" applyFont="1"/>
    <xf numFmtId="0" fontId="36" fillId="0" borderId="0" xfId="69" applyFont="1"/>
    <xf numFmtId="0" fontId="36" fillId="0" borderId="0" xfId="69" applyFont="1" applyAlignment="1">
      <alignment horizontal="center" vertical="center"/>
    </xf>
    <xf numFmtId="0" fontId="36" fillId="0" borderId="0" xfId="69" applyFont="1" applyAlignment="1"/>
    <xf numFmtId="0" fontId="38" fillId="0" borderId="0" xfId="69" applyFont="1" applyFill="1" applyBorder="1" applyAlignment="1">
      <alignment horizontal="center" vertical="center"/>
    </xf>
    <xf numFmtId="0" fontId="41" fillId="0" borderId="0" xfId="68" applyFont="1" applyAlignment="1">
      <alignment horizontal="left" vertical="center"/>
    </xf>
    <xf numFmtId="0" fontId="41" fillId="0" borderId="0" xfId="59" applyNumberFormat="1" applyFont="1" applyAlignment="1"/>
    <xf numFmtId="0" fontId="41" fillId="0" borderId="0" xfId="59" applyNumberFormat="1" applyFont="1" applyFill="1" applyBorder="1" applyAlignment="1"/>
    <xf numFmtId="49" fontId="49" fillId="0" borderId="0" xfId="68" applyNumberFormat="1" applyFont="1" applyFill="1" applyBorder="1" applyAlignment="1">
      <alignment horizontal="center" vertical="center" wrapText="1"/>
    </xf>
    <xf numFmtId="49" fontId="41" fillId="26" borderId="90" xfId="69" applyNumberFormat="1" applyFont="1" applyFill="1" applyBorder="1" applyAlignment="1">
      <alignment horizontal="center" vertical="center"/>
    </xf>
    <xf numFmtId="49" fontId="41" fillId="26" borderId="90" xfId="69" applyNumberFormat="1" applyFont="1" applyFill="1" applyBorder="1" applyAlignment="1">
      <alignment horizontal="center" vertical="center" wrapText="1"/>
    </xf>
    <xf numFmtId="2" fontId="41" fillId="26" borderId="83" xfId="68" applyNumberFormat="1" applyFont="1" applyFill="1" applyBorder="1" applyAlignment="1">
      <alignment horizontal="center" vertical="center" wrapText="1"/>
    </xf>
    <xf numFmtId="0" fontId="41" fillId="0" borderId="90"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100" xfId="69" applyFont="1" applyFill="1" applyBorder="1" applyAlignment="1">
      <alignment horizontal="right" vertical="center" wrapText="1"/>
    </xf>
    <xf numFmtId="0" fontId="38" fillId="28" borderId="71" xfId="69" applyFont="1" applyFill="1" applyBorder="1" applyAlignment="1">
      <alignment horizontal="center" vertical="center"/>
    </xf>
    <xf numFmtId="0" fontId="38" fillId="28" borderId="73" xfId="69" applyFont="1" applyFill="1" applyBorder="1" applyAlignment="1">
      <alignment horizontal="center" vertical="center" wrapText="1"/>
    </xf>
    <xf numFmtId="0" fontId="41" fillId="0" borderId="101" xfId="69" applyFont="1" applyFill="1" applyBorder="1" applyAlignment="1">
      <alignment horizontal="right" vertical="center" wrapText="1"/>
    </xf>
    <xf numFmtId="0" fontId="38" fillId="28" borderId="91" xfId="69" applyFont="1" applyFill="1" applyBorder="1" applyAlignment="1">
      <alignment horizontal="center" vertical="center"/>
    </xf>
    <xf numFmtId="0" fontId="38" fillId="28" borderId="76"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88" xfId="69" applyFont="1" applyFill="1" applyBorder="1" applyAlignment="1">
      <alignment horizontal="right" vertical="center" wrapText="1"/>
    </xf>
    <xf numFmtId="0" fontId="41" fillId="0" borderId="102" xfId="69" applyFont="1" applyFill="1" applyBorder="1" applyAlignment="1">
      <alignment horizontal="right" vertical="center" wrapText="1"/>
    </xf>
    <xf numFmtId="0" fontId="38" fillId="28" borderId="78" xfId="69" quotePrefix="1" applyFont="1" applyFill="1" applyBorder="1" applyAlignment="1">
      <alignment horizontal="center" vertical="center"/>
    </xf>
    <xf numFmtId="0" fontId="38" fillId="28" borderId="80" xfId="69" quotePrefix="1" applyFont="1" applyFill="1" applyBorder="1" applyAlignment="1">
      <alignment horizontal="center" vertical="center" wrapText="1"/>
    </xf>
    <xf numFmtId="0" fontId="38" fillId="0" borderId="0" xfId="69" applyFont="1" applyAlignment="1">
      <alignment horizontal="center" vertical="center"/>
    </xf>
    <xf numFmtId="0" fontId="38" fillId="0" borderId="0" xfId="69" applyFont="1" applyAlignment="1">
      <alignment horizontal="center" vertical="center" wrapText="1"/>
    </xf>
    <xf numFmtId="0" fontId="38" fillId="0" borderId="0" xfId="69" applyFont="1" applyAlignment="1">
      <alignment horizontal="right" vertical="center"/>
    </xf>
    <xf numFmtId="0" fontId="38" fillId="0" borderId="0" xfId="69" applyFont="1" applyAlignment="1">
      <alignment horizontal="center"/>
    </xf>
    <xf numFmtId="0" fontId="38" fillId="0" borderId="0" xfId="69" applyFont="1" applyAlignment="1">
      <alignment horizontal="center" wrapText="1"/>
    </xf>
    <xf numFmtId="0" fontId="38" fillId="0" borderId="0" xfId="69" applyFont="1" applyAlignment="1">
      <alignment vertical="center" wrapText="1"/>
    </xf>
    <xf numFmtId="0" fontId="41" fillId="0" borderId="0" xfId="71" applyFont="1"/>
    <xf numFmtId="49" fontId="36" fillId="26" borderId="90" xfId="69" applyNumberFormat="1" applyFont="1" applyFill="1" applyBorder="1" applyAlignment="1">
      <alignment horizontal="center" vertical="center"/>
    </xf>
    <xf numFmtId="0" fontId="41" fillId="0" borderId="103" xfId="69" applyFont="1" applyFill="1" applyBorder="1" applyAlignment="1">
      <alignment horizontal="right" vertical="center" wrapText="1"/>
    </xf>
    <xf numFmtId="0" fontId="49" fillId="0" borderId="0" xfId="68" applyFont="1" applyAlignment="1">
      <alignment horizontal="center" vertical="center" wrapText="1"/>
    </xf>
    <xf numFmtId="49" fontId="49" fillId="0" borderId="0" xfId="68" applyNumberFormat="1" applyFont="1" applyAlignment="1">
      <alignment horizontal="center" vertical="center" wrapText="1"/>
    </xf>
    <xf numFmtId="49" fontId="49" fillId="0" borderId="0" xfId="68" applyNumberFormat="1" applyFont="1" applyAlignment="1">
      <alignment horizontal="left" vertical="center" wrapText="1"/>
    </xf>
    <xf numFmtId="0" fontId="41" fillId="0" borderId="83" xfId="68" applyFont="1" applyFill="1" applyBorder="1" applyAlignment="1">
      <alignment horizontal="right" vertical="center" wrapText="1"/>
    </xf>
    <xf numFmtId="0" fontId="41" fillId="0" borderId="104" xfId="68" applyFont="1" applyFill="1" applyBorder="1" applyAlignment="1">
      <alignment horizontal="left" vertical="center" wrapText="1"/>
    </xf>
    <xf numFmtId="0" fontId="41" fillId="0" borderId="90" xfId="61" applyNumberFormat="1" applyFont="1" applyBorder="1" applyAlignment="1">
      <alignment horizontal="right" vertical="center" wrapText="1"/>
    </xf>
    <xf numFmtId="0" fontId="41" fillId="0" borderId="101" xfId="68" applyFont="1" applyFill="1" applyBorder="1" applyAlignment="1">
      <alignment horizontal="left" vertical="center" wrapText="1"/>
    </xf>
    <xf numFmtId="0" fontId="41" fillId="0" borderId="88" xfId="61" applyNumberFormat="1" applyFont="1" applyBorder="1" applyAlignment="1">
      <alignment horizontal="right" vertical="center" wrapText="1"/>
    </xf>
    <xf numFmtId="0" fontId="41" fillId="0" borderId="102" xfId="68" applyFont="1" applyFill="1" applyBorder="1" applyAlignment="1">
      <alignment horizontal="left" vertical="center" wrapText="1"/>
    </xf>
    <xf numFmtId="0" fontId="41" fillId="0" borderId="105" xfId="68" applyFont="1" applyFill="1" applyBorder="1" applyAlignment="1">
      <alignment horizontal="left" vertical="center" wrapText="1"/>
    </xf>
    <xf numFmtId="0" fontId="55" fillId="0" borderId="0" xfId="68" applyFont="1" applyAlignment="1">
      <alignment horizontal="left" vertical="center" wrapText="1"/>
    </xf>
    <xf numFmtId="0" fontId="41" fillId="0" borderId="106" xfId="68" applyFont="1" applyFill="1" applyBorder="1" applyAlignment="1">
      <alignment horizontal="left" vertical="center" wrapText="1"/>
    </xf>
    <xf numFmtId="0" fontId="55" fillId="24" borderId="78" xfId="68" applyFont="1" applyFill="1" applyBorder="1" applyAlignment="1">
      <alignment horizontal="center" vertical="center" wrapText="1"/>
    </xf>
    <xf numFmtId="166" fontId="55" fillId="24" borderId="52" xfId="68" applyNumberFormat="1" applyFont="1" applyFill="1" applyBorder="1" applyAlignment="1">
      <alignment horizontal="right" vertical="center" wrapText="1"/>
    </xf>
    <xf numFmtId="0" fontId="41" fillId="0" borderId="0" xfId="68" applyFont="1" applyAlignment="1">
      <alignment horizontal="left" vertical="center" wrapText="1"/>
    </xf>
    <xf numFmtId="0" fontId="41" fillId="0" borderId="0" xfId="68" applyFont="1" applyFill="1" applyBorder="1" applyAlignment="1">
      <alignment horizontal="left" vertical="center" wrapText="1"/>
    </xf>
    <xf numFmtId="0" fontId="38" fillId="25" borderId="0" xfId="66" applyFont="1" applyFill="1" applyAlignment="1">
      <alignment horizontal="left" vertical="top"/>
    </xf>
    <xf numFmtId="0" fontId="56" fillId="25" borderId="0" xfId="66" applyFont="1" applyFill="1" applyAlignment="1">
      <alignment horizontal="left" vertical="top"/>
    </xf>
    <xf numFmtId="0" fontId="41" fillId="25" borderId="0" xfId="59" applyNumberFormat="1" applyFont="1" applyFill="1" applyAlignment="1"/>
    <xf numFmtId="0" fontId="41" fillId="25" borderId="0" xfId="71" applyFont="1" applyFill="1"/>
    <xf numFmtId="0" fontId="38" fillId="25" borderId="0" xfId="66" applyFont="1" applyFill="1" applyAlignment="1"/>
    <xf numFmtId="0" fontId="56" fillId="25" borderId="0" xfId="66" applyFont="1" applyFill="1"/>
    <xf numFmtId="0" fontId="36" fillId="25" borderId="0" xfId="66" applyFont="1" applyFill="1" applyAlignment="1">
      <alignment horizontal="center" vertical="center" wrapText="1"/>
    </xf>
    <xf numFmtId="0" fontId="41" fillId="0" borderId="0" xfId="71" applyFont="1" applyAlignment="1"/>
    <xf numFmtId="49" fontId="56" fillId="25" borderId="0" xfId="66" applyNumberFormat="1" applyFont="1" applyFill="1" applyAlignment="1">
      <alignment horizontal="center" vertical="center"/>
    </xf>
    <xf numFmtId="0" fontId="38" fillId="0" borderId="0" xfId="66" applyFont="1" applyAlignment="1"/>
    <xf numFmtId="0" fontId="41" fillId="0" borderId="0" xfId="66" applyFont="1" applyAlignment="1"/>
    <xf numFmtId="0" fontId="41" fillId="0" borderId="0" xfId="66" applyFont="1"/>
    <xf numFmtId="0" fontId="56" fillId="0" borderId="0" xfId="66" applyFont="1"/>
    <xf numFmtId="0" fontId="56" fillId="0" borderId="0" xfId="71" applyFont="1"/>
    <xf numFmtId="0" fontId="43" fillId="25" borderId="0" xfId="66" applyFont="1" applyFill="1"/>
    <xf numFmtId="0" fontId="41" fillId="25" borderId="0" xfId="66" applyFont="1" applyFill="1"/>
    <xf numFmtId="14" fontId="36" fillId="25" borderId="0" xfId="0" applyFont="1" applyFill="1" applyAlignment="1">
      <alignment horizontal="left" vertical="center"/>
    </xf>
    <xf numFmtId="0" fontId="41" fillId="0" borderId="0" xfId="0" applyNumberFormat="1" applyFont="1" applyAlignment="1">
      <alignment vertical="center"/>
    </xf>
    <xf numFmtId="165" fontId="41" fillId="24" borderId="47" xfId="0" applyNumberFormat="1" applyFont="1" applyFill="1" applyBorder="1" applyAlignment="1">
      <alignment vertical="center"/>
    </xf>
    <xf numFmtId="165" fontId="41" fillId="0" borderId="47" xfId="0" applyNumberFormat="1" applyFont="1" applyBorder="1" applyAlignment="1">
      <alignment vertical="center"/>
    </xf>
    <xf numFmtId="165" fontId="41" fillId="0" borderId="88" xfId="0" applyNumberFormat="1" applyFont="1" applyBorder="1" applyAlignment="1">
      <alignment vertical="center"/>
    </xf>
    <xf numFmtId="165" fontId="41" fillId="0" borderId="110" xfId="0" applyNumberFormat="1" applyFont="1" applyBorder="1" applyAlignment="1">
      <alignment vertical="center"/>
    </xf>
    <xf numFmtId="165" fontId="41" fillId="0" borderId="111" xfId="0" applyNumberFormat="1" applyFont="1" applyBorder="1" applyAlignment="1">
      <alignment vertical="center"/>
    </xf>
    <xf numFmtId="165" fontId="41" fillId="0" borderId="112" xfId="0" applyNumberFormat="1" applyFont="1" applyBorder="1" applyAlignment="1">
      <alignment vertical="center"/>
    </xf>
    <xf numFmtId="165" fontId="41" fillId="0" borderId="44" xfId="0" applyNumberFormat="1" applyFont="1" applyBorder="1" applyAlignment="1">
      <alignment vertical="center"/>
    </xf>
    <xf numFmtId="165" fontId="41" fillId="0" borderId="113" xfId="0" applyNumberFormat="1" applyFont="1" applyBorder="1" applyAlignment="1">
      <alignment vertical="center"/>
    </xf>
    <xf numFmtId="165" fontId="41" fillId="0" borderId="61" xfId="0" applyNumberFormat="1" applyFont="1" applyBorder="1" applyAlignment="1">
      <alignment vertical="center"/>
    </xf>
    <xf numFmtId="14" fontId="38" fillId="25" borderId="0" xfId="0" applyFont="1" applyFill="1" applyBorder="1" applyAlignment="1">
      <alignment vertical="center"/>
    </xf>
    <xf numFmtId="14" fontId="38" fillId="0" borderId="0" xfId="0" applyFont="1" applyAlignment="1">
      <alignment vertical="center"/>
    </xf>
    <xf numFmtId="14" fontId="49" fillId="25" borderId="0" xfId="0" applyFont="1" applyFill="1" applyBorder="1" applyAlignment="1">
      <alignment horizontal="center" vertical="center" wrapText="1"/>
    </xf>
    <xf numFmtId="14" fontId="38" fillId="25" borderId="0" xfId="0" applyFont="1" applyFill="1" applyAlignment="1">
      <alignment vertical="center"/>
    </xf>
    <xf numFmtId="167" fontId="43" fillId="25" borderId="0" xfId="0" applyNumberFormat="1" applyFont="1" applyFill="1" applyBorder="1" applyAlignment="1">
      <alignment horizontal="right" vertical="center"/>
    </xf>
    <xf numFmtId="14" fontId="38" fillId="0" borderId="0" xfId="0" applyFont="1" applyBorder="1" applyAlignment="1">
      <alignment vertical="center"/>
    </xf>
    <xf numFmtId="14" fontId="36" fillId="24" borderId="114" xfId="75" applyFont="1" applyFill="1" applyBorder="1" applyAlignment="1">
      <alignment horizontal="left" vertical="center" wrapText="1"/>
    </xf>
    <xf numFmtId="166" fontId="38" fillId="24" borderId="90" xfId="0" applyNumberFormat="1" applyFont="1" applyFill="1" applyBorder="1" applyAlignment="1">
      <alignment horizontal="right" vertical="center"/>
    </xf>
    <xf numFmtId="167" fontId="38" fillId="25" borderId="0" xfId="0" applyNumberFormat="1" applyFont="1" applyFill="1" applyBorder="1" applyAlignment="1">
      <alignment horizontal="right" vertical="center"/>
    </xf>
    <xf numFmtId="14" fontId="50" fillId="25" borderId="98" xfId="75" applyFont="1" applyFill="1" applyBorder="1" applyAlignment="1">
      <alignment vertical="center" wrapText="1"/>
    </xf>
    <xf numFmtId="166" fontId="49" fillId="0" borderId="44" xfId="0" applyNumberFormat="1" applyFont="1" applyBorder="1" applyAlignment="1">
      <alignment horizontal="right" vertical="center" wrapText="1"/>
    </xf>
    <xf numFmtId="167" fontId="49" fillId="25" borderId="0" xfId="0" applyNumberFormat="1" applyFont="1" applyFill="1" applyBorder="1" applyAlignment="1">
      <alignment horizontal="right" vertical="center" wrapText="1"/>
    </xf>
    <xf numFmtId="0" fontId="49" fillId="0" borderId="116" xfId="65" applyFont="1" applyBorder="1" applyAlignment="1">
      <alignment vertical="center" wrapText="1"/>
    </xf>
    <xf numFmtId="0" fontId="41" fillId="0" borderId="116" xfId="65" quotePrefix="1" applyFont="1" applyBorder="1" applyAlignment="1">
      <alignment vertical="center" wrapText="1"/>
    </xf>
    <xf numFmtId="166" fontId="41" fillId="0" borderId="44" xfId="0" applyNumberFormat="1" applyFont="1" applyBorder="1" applyAlignment="1">
      <alignment horizontal="right" vertical="center" wrapText="1"/>
    </xf>
    <xf numFmtId="167" fontId="41" fillId="25" borderId="0" xfId="0" applyNumberFormat="1" applyFont="1" applyFill="1" applyBorder="1" applyAlignment="1">
      <alignment horizontal="right" vertical="center" wrapText="1"/>
    </xf>
    <xf numFmtId="0" fontId="49" fillId="0" borderId="114" xfId="65" applyFont="1" applyBorder="1" applyAlignment="1">
      <alignment vertical="center" wrapText="1"/>
    </xf>
    <xf numFmtId="14" fontId="55" fillId="25" borderId="99" xfId="75" applyFont="1" applyFill="1" applyBorder="1" applyAlignment="1">
      <alignment vertical="center" wrapText="1"/>
    </xf>
    <xf numFmtId="166" fontId="49" fillId="0" borderId="52" xfId="0" applyNumberFormat="1" applyFont="1" applyBorder="1" applyAlignment="1">
      <alignment horizontal="right" vertical="center" wrapText="1"/>
    </xf>
    <xf numFmtId="0" fontId="36" fillId="24" borderId="85" xfId="65" applyFont="1" applyFill="1" applyBorder="1" applyAlignment="1">
      <alignment vertical="center" wrapText="1"/>
    </xf>
    <xf numFmtId="166" fontId="38" fillId="24" borderId="83" xfId="0" applyNumberFormat="1" applyFont="1" applyFill="1" applyBorder="1" applyAlignment="1">
      <alignment horizontal="right" vertical="center"/>
    </xf>
    <xf numFmtId="0" fontId="55" fillId="0" borderId="118" xfId="65" applyFont="1" applyBorder="1" applyAlignment="1">
      <alignment horizontal="left" vertical="center" wrapText="1"/>
    </xf>
    <xf numFmtId="49" fontId="55" fillId="0" borderId="119" xfId="65" applyNumberFormat="1" applyFont="1" applyBorder="1" applyAlignment="1">
      <alignment horizontal="left" vertical="center"/>
    </xf>
    <xf numFmtId="49" fontId="55" fillId="0" borderId="98" xfId="65" applyNumberFormat="1" applyFont="1" applyFill="1" applyBorder="1" applyAlignment="1">
      <alignment horizontal="left" vertical="center"/>
    </xf>
    <xf numFmtId="49" fontId="55" fillId="0" borderId="98" xfId="65" applyNumberFormat="1" applyFont="1" applyBorder="1" applyAlignment="1">
      <alignment horizontal="left" vertical="center"/>
    </xf>
    <xf numFmtId="166" fontId="49" fillId="0" borderId="61" xfId="0" applyNumberFormat="1" applyFont="1" applyBorder="1" applyAlignment="1">
      <alignment horizontal="right" vertical="center" wrapText="1"/>
    </xf>
    <xf numFmtId="0" fontId="36" fillId="25" borderId="0" xfId="0" applyNumberFormat="1" applyFont="1" applyFill="1" applyBorder="1" applyAlignment="1">
      <alignment horizontal="center" vertical="center" wrapText="1"/>
    </xf>
    <xf numFmtId="167" fontId="38" fillId="24" borderId="90" xfId="0" applyNumberFormat="1" applyFont="1" applyFill="1" applyBorder="1" applyAlignment="1">
      <alignment horizontal="right" vertical="center"/>
    </xf>
    <xf numFmtId="167" fontId="49" fillId="0" borderId="44" xfId="0" applyNumberFormat="1" applyFont="1" applyBorder="1" applyAlignment="1">
      <alignment horizontal="right" vertical="center" wrapText="1"/>
    </xf>
    <xf numFmtId="14" fontId="55" fillId="25" borderId="98" xfId="75" applyFont="1" applyFill="1" applyBorder="1" applyAlignment="1">
      <alignment horizontal="left" vertical="center" wrapText="1"/>
    </xf>
    <xf numFmtId="167" fontId="55" fillId="0" borderId="44" xfId="0" applyNumberFormat="1" applyFont="1" applyBorder="1" applyAlignment="1">
      <alignment horizontal="right" vertical="center" wrapText="1"/>
    </xf>
    <xf numFmtId="167" fontId="55" fillId="25" borderId="0" xfId="0" applyNumberFormat="1" applyFont="1" applyFill="1" applyBorder="1" applyAlignment="1">
      <alignment horizontal="right" vertical="center" wrapText="1"/>
    </xf>
    <xf numFmtId="167" fontId="50" fillId="25" borderId="0" xfId="0" applyNumberFormat="1" applyFont="1" applyFill="1" applyBorder="1" applyAlignment="1">
      <alignment horizontal="right" vertical="center"/>
    </xf>
    <xf numFmtId="0" fontId="36" fillId="24" borderId="108" xfId="65" applyFont="1" applyFill="1" applyBorder="1" applyAlignment="1">
      <alignment vertical="center" wrapText="1"/>
    </xf>
    <xf numFmtId="167" fontId="38" fillId="24" borderId="83" xfId="0" applyNumberFormat="1" applyFont="1" applyFill="1" applyBorder="1" applyAlignment="1">
      <alignment horizontal="right" vertical="center"/>
    </xf>
    <xf numFmtId="0" fontId="55" fillId="0" borderId="120" xfId="65" applyFont="1" applyBorder="1" applyAlignment="1">
      <alignment horizontal="left" vertical="center" wrapText="1"/>
    </xf>
    <xf numFmtId="49" fontId="55" fillId="0" borderId="27" xfId="65" applyNumberFormat="1" applyFont="1" applyFill="1" applyBorder="1" applyAlignment="1">
      <alignment horizontal="left" vertical="center"/>
    </xf>
    <xf numFmtId="49" fontId="55" fillId="0" borderId="27" xfId="65" applyNumberFormat="1" applyFont="1" applyBorder="1" applyAlignment="1">
      <alignment horizontal="left" vertical="center"/>
    </xf>
    <xf numFmtId="167" fontId="49" fillId="0" borderId="61" xfId="0" applyNumberFormat="1" applyFont="1" applyBorder="1" applyAlignment="1">
      <alignment horizontal="right" vertical="center" wrapText="1"/>
    </xf>
    <xf numFmtId="0" fontId="50" fillId="25" borderId="0" xfId="0" applyNumberFormat="1" applyFont="1" applyFill="1" applyAlignment="1"/>
    <xf numFmtId="0" fontId="50" fillId="0" borderId="0" xfId="0" applyNumberFormat="1" applyFont="1" applyAlignment="1"/>
    <xf numFmtId="0" fontId="63" fillId="0" borderId="0" xfId="0" applyNumberFormat="1" applyFont="1" applyFill="1" applyAlignment="1"/>
    <xf numFmtId="0" fontId="50" fillId="0" borderId="0" xfId="0" applyNumberFormat="1" applyFont="1" applyAlignment="1">
      <alignment horizontal="center"/>
    </xf>
    <xf numFmtId="0" fontId="0" fillId="0" borderId="0" xfId="0" applyNumberFormat="1" applyAlignment="1">
      <alignment vertical="top"/>
    </xf>
    <xf numFmtId="0" fontId="36" fillId="25" borderId="0" xfId="66" applyFont="1" applyFill="1" applyAlignment="1">
      <alignment horizontal="left" vertical="center"/>
    </xf>
    <xf numFmtId="14" fontId="48" fillId="25" borderId="0" xfId="47" applyNumberFormat="1" applyFont="1" applyFill="1" applyAlignment="1" applyProtection="1">
      <alignment vertical="center"/>
    </xf>
    <xf numFmtId="0" fontId="38" fillId="0" borderId="0" xfId="66" applyFont="1" applyAlignment="1">
      <alignment vertical="center"/>
    </xf>
    <xf numFmtId="14" fontId="38" fillId="0" borderId="88" xfId="0" applyFont="1" applyBorder="1" applyAlignment="1">
      <alignment vertical="center"/>
    </xf>
    <xf numFmtId="0" fontId="0" fillId="0" borderId="0" xfId="0" applyNumberFormat="1" applyAlignment="1">
      <alignment vertical="center"/>
    </xf>
    <xf numFmtId="0" fontId="41" fillId="0" borderId="0" xfId="66" applyFont="1" applyAlignment="1">
      <alignment vertical="center"/>
    </xf>
    <xf numFmtId="14" fontId="43" fillId="25" borderId="0" xfId="0" applyFont="1" applyFill="1" applyAlignment="1">
      <alignment vertical="center"/>
    </xf>
    <xf numFmtId="14" fontId="43" fillId="0" borderId="0" xfId="75" applyFont="1" applyFill="1" applyAlignment="1">
      <alignment vertical="center"/>
    </xf>
    <xf numFmtId="14" fontId="48" fillId="0" borderId="0" xfId="47" applyNumberFormat="1" applyFont="1" applyFill="1" applyAlignment="1" applyProtection="1">
      <alignment vertical="center"/>
    </xf>
    <xf numFmtId="14" fontId="38" fillId="0" borderId="0" xfId="75" applyFont="1" applyFill="1" applyAlignment="1">
      <alignment vertical="center"/>
    </xf>
    <xf numFmtId="14" fontId="38" fillId="25" borderId="0" xfId="75" applyFont="1" applyFill="1" applyAlignment="1">
      <alignment vertical="center"/>
    </xf>
    <xf numFmtId="14" fontId="57" fillId="25" borderId="0" xfId="0" applyFont="1" applyFill="1" applyAlignment="1">
      <alignment horizontal="left" vertical="center"/>
    </xf>
    <xf numFmtId="14" fontId="61" fillId="25" borderId="0" xfId="0" applyFont="1" applyFill="1" applyBorder="1" applyAlignment="1">
      <alignment vertical="center"/>
    </xf>
    <xf numFmtId="14" fontId="38" fillId="25" borderId="0" xfId="0" applyFont="1" applyFill="1" applyAlignment="1">
      <alignment horizontal="left" vertical="center"/>
    </xf>
    <xf numFmtId="14" fontId="36" fillId="25" borderId="0" xfId="0" applyFont="1" applyFill="1" applyBorder="1" applyAlignment="1">
      <alignment horizontal="left" vertical="center"/>
    </xf>
    <xf numFmtId="49" fontId="49" fillId="25" borderId="0" xfId="0" applyNumberFormat="1" applyFont="1" applyFill="1" applyAlignment="1">
      <alignment vertical="center"/>
    </xf>
    <xf numFmtId="49" fontId="49" fillId="25" borderId="0" xfId="0" applyNumberFormat="1" applyFont="1" applyFill="1" applyBorder="1" applyAlignment="1">
      <alignment horizontal="center" vertical="center"/>
    </xf>
    <xf numFmtId="49" fontId="49" fillId="0" borderId="0" xfId="0" applyNumberFormat="1" applyFont="1" applyBorder="1" applyAlignment="1">
      <alignment vertical="center"/>
    </xf>
    <xf numFmtId="14" fontId="38" fillId="0" borderId="0" xfId="0" applyFont="1" applyFill="1" applyBorder="1" applyAlignment="1">
      <alignment vertical="center"/>
    </xf>
    <xf numFmtId="14" fontId="49" fillId="25" borderId="0" xfId="0" applyFont="1" applyFill="1" applyAlignment="1">
      <alignment vertical="center"/>
    </xf>
    <xf numFmtId="14" fontId="49" fillId="0" borderId="0" xfId="0" applyFont="1" applyBorder="1" applyAlignment="1">
      <alignment vertical="center"/>
    </xf>
    <xf numFmtId="14" fontId="41" fillId="25" borderId="0" xfId="0" applyFont="1" applyFill="1" applyAlignment="1">
      <alignment vertical="center"/>
    </xf>
    <xf numFmtId="14" fontId="41" fillId="0" borderId="0" xfId="0" applyFont="1" applyFill="1" applyBorder="1" applyAlignment="1">
      <alignment vertical="center"/>
    </xf>
    <xf numFmtId="14" fontId="41" fillId="0" borderId="0" xfId="0" applyFont="1" applyBorder="1" applyAlignment="1">
      <alignment vertical="center"/>
    </xf>
    <xf numFmtId="0" fontId="49" fillId="0" borderId="98" xfId="65" applyFont="1" applyBorder="1" applyAlignment="1">
      <alignment vertical="center" wrapText="1"/>
    </xf>
    <xf numFmtId="0" fontId="55" fillId="0" borderId="98" xfId="65" applyFont="1" applyBorder="1" applyAlignment="1">
      <alignment vertical="center" wrapText="1"/>
    </xf>
    <xf numFmtId="0" fontId="55" fillId="0" borderId="119" xfId="65" applyFont="1" applyBorder="1" applyAlignment="1">
      <alignment horizontal="left" vertical="center" wrapText="1"/>
    </xf>
    <xf numFmtId="0" fontId="50" fillId="0" borderId="82" xfId="65" applyFont="1" applyBorder="1" applyAlignment="1">
      <alignment vertical="center" wrapText="1"/>
    </xf>
    <xf numFmtId="14" fontId="38" fillId="25" borderId="0" xfId="0" applyFont="1" applyFill="1" applyAlignment="1">
      <alignment horizontal="right" vertical="center"/>
    </xf>
    <xf numFmtId="14" fontId="62" fillId="25" borderId="0" xfId="0" applyFont="1" applyFill="1" applyAlignment="1">
      <alignment vertical="center"/>
    </xf>
    <xf numFmtId="49" fontId="62" fillId="25" borderId="0" xfId="0" applyNumberFormat="1" applyFont="1" applyFill="1" applyBorder="1" applyAlignment="1">
      <alignment horizontal="left" vertical="center"/>
    </xf>
    <xf numFmtId="49" fontId="58" fillId="25" borderId="0" xfId="0" applyNumberFormat="1" applyFont="1" applyFill="1" applyBorder="1" applyAlignment="1">
      <alignment horizontal="left" vertical="center"/>
    </xf>
    <xf numFmtId="14" fontId="57" fillId="25" borderId="0" xfId="0" applyFont="1" applyFill="1" applyBorder="1" applyAlignment="1">
      <alignment vertical="center"/>
    </xf>
    <xf numFmtId="14" fontId="50" fillId="25" borderId="0" xfId="0" applyFont="1" applyFill="1" applyAlignment="1">
      <alignment vertical="center"/>
    </xf>
    <xf numFmtId="14" fontId="50" fillId="0" borderId="0" xfId="0" applyFont="1" applyBorder="1" applyAlignment="1">
      <alignment vertical="center"/>
    </xf>
    <xf numFmtId="0" fontId="50" fillId="0" borderId="128" xfId="65" applyFont="1" applyBorder="1" applyAlignment="1">
      <alignment vertical="center" wrapText="1"/>
    </xf>
    <xf numFmtId="14" fontId="38" fillId="0" borderId="44" xfId="0" applyFont="1" applyBorder="1" applyAlignment="1">
      <alignment vertical="center"/>
    </xf>
    <xf numFmtId="14" fontId="38" fillId="0" borderId="61" xfId="0" applyFont="1" applyBorder="1" applyAlignment="1">
      <alignment vertical="center"/>
    </xf>
    <xf numFmtId="166" fontId="55" fillId="0" borderId="44" xfId="0" applyNumberFormat="1" applyFont="1" applyBorder="1" applyAlignment="1">
      <alignment horizontal="right" vertical="center" wrapText="1"/>
    </xf>
    <xf numFmtId="49" fontId="36" fillId="24" borderId="90" xfId="0" applyNumberFormat="1" applyFont="1" applyFill="1" applyBorder="1" applyAlignment="1">
      <alignment horizontal="center" vertical="center"/>
    </xf>
    <xf numFmtId="0" fontId="55" fillId="0" borderId="115" xfId="65" applyNumberFormat="1" applyFont="1" applyBorder="1" applyAlignment="1">
      <alignment horizontal="center" vertical="center"/>
    </xf>
    <xf numFmtId="0" fontId="55" fillId="0" borderId="44" xfId="65" applyNumberFormat="1" applyFont="1" applyBorder="1" applyAlignment="1">
      <alignment horizontal="center" vertical="center"/>
    </xf>
    <xf numFmtId="0" fontId="36" fillId="24" borderId="88" xfId="0" applyNumberFormat="1" applyFont="1" applyFill="1" applyBorder="1" applyAlignment="1">
      <alignment horizontal="center" vertical="center" wrapText="1"/>
    </xf>
    <xf numFmtId="0" fontId="55" fillId="0" borderId="44" xfId="65" applyNumberFormat="1" applyFont="1" applyBorder="1" applyAlignment="1">
      <alignment horizontal="center" vertical="center" wrapText="1"/>
    </xf>
    <xf numFmtId="0" fontId="49" fillId="0" borderId="88" xfId="65" applyNumberFormat="1" applyFont="1" applyBorder="1" applyAlignment="1">
      <alignment horizontal="center" vertical="center" wrapText="1"/>
    </xf>
    <xf numFmtId="0" fontId="49" fillId="0" borderId="88" xfId="65" applyNumberFormat="1" applyFont="1" applyBorder="1" applyAlignment="1">
      <alignment horizontal="center" vertical="center"/>
    </xf>
    <xf numFmtId="0" fontId="49" fillId="0" borderId="44" xfId="65" applyNumberFormat="1" applyFont="1" applyBorder="1" applyAlignment="1">
      <alignment horizontal="center" vertical="center"/>
    </xf>
    <xf numFmtId="0" fontId="49" fillId="0" borderId="44" xfId="65" applyNumberFormat="1" applyFont="1" applyBorder="1" applyAlignment="1">
      <alignment horizontal="center" vertical="center" wrapText="1"/>
    </xf>
    <xf numFmtId="0" fontId="55" fillId="0" borderId="88" xfId="65" applyNumberFormat="1" applyFont="1" applyBorder="1" applyAlignment="1">
      <alignment horizontal="center" vertical="center"/>
    </xf>
    <xf numFmtId="0" fontId="36" fillId="24" borderId="48" xfId="0" applyNumberFormat="1" applyFont="1" applyFill="1" applyBorder="1" applyAlignment="1">
      <alignment horizontal="center" vertical="center" wrapText="1"/>
    </xf>
    <xf numFmtId="0" fontId="55" fillId="0" borderId="45" xfId="65" applyNumberFormat="1" applyFont="1" applyBorder="1" applyAlignment="1">
      <alignment horizontal="center" vertical="center" wrapText="1"/>
    </xf>
    <xf numFmtId="0" fontId="55" fillId="0" borderId="61" xfId="65" applyNumberFormat="1" applyFont="1" applyBorder="1" applyAlignment="1">
      <alignment horizontal="center" vertical="center" wrapText="1"/>
    </xf>
    <xf numFmtId="0" fontId="36" fillId="24" borderId="90" xfId="0" applyNumberFormat="1" applyFont="1" applyFill="1" applyBorder="1" applyAlignment="1">
      <alignment horizontal="center" vertical="center"/>
    </xf>
    <xf numFmtId="0" fontId="38" fillId="0" borderId="27" xfId="0" applyNumberFormat="1" applyFont="1" applyFill="1" applyBorder="1" applyAlignment="1">
      <alignment horizontal="center" vertical="center"/>
    </xf>
    <xf numFmtId="0" fontId="38" fillId="0" borderId="36" xfId="0" applyNumberFormat="1" applyFont="1" applyFill="1" applyBorder="1" applyAlignment="1">
      <alignment horizontal="center" vertical="center"/>
    </xf>
    <xf numFmtId="14" fontId="38" fillId="0" borderId="92" xfId="0" applyFont="1" applyBorder="1" applyAlignment="1">
      <alignment horizontal="left" vertical="center"/>
    </xf>
    <xf numFmtId="14" fontId="38" fillId="0" borderId="94" xfId="0" applyFont="1" applyBorder="1" applyAlignment="1">
      <alignment horizontal="left" vertical="center"/>
    </xf>
    <xf numFmtId="14" fontId="38" fillId="0" borderId="89" xfId="0" applyFont="1" applyBorder="1" applyAlignment="1">
      <alignment horizontal="left" vertical="center"/>
    </xf>
    <xf numFmtId="0" fontId="38" fillId="0" borderId="15" xfId="0" applyNumberFormat="1" applyFont="1" applyFill="1" applyBorder="1" applyAlignment="1">
      <alignment horizontal="center" vertical="center"/>
    </xf>
    <xf numFmtId="0" fontId="36" fillId="0" borderId="14" xfId="66" applyFont="1" applyBorder="1" applyAlignment="1">
      <alignment horizontal="left" vertical="center" indent="2"/>
    </xf>
    <xf numFmtId="0" fontId="36" fillId="0" borderId="26" xfId="66" applyFont="1" applyBorder="1" applyAlignment="1">
      <alignment horizontal="left" vertical="center" indent="2"/>
    </xf>
    <xf numFmtId="0" fontId="36" fillId="0" borderId="17" xfId="66" applyFont="1" applyBorder="1" applyAlignment="1">
      <alignment horizontal="left" vertical="center" indent="4"/>
    </xf>
    <xf numFmtId="0" fontId="36" fillId="0" borderId="20" xfId="66" applyFont="1" applyBorder="1" applyAlignment="1">
      <alignment horizontal="left" vertical="center" indent="4"/>
    </xf>
    <xf numFmtId="0" fontId="36" fillId="0" borderId="20" xfId="66" applyFont="1" applyBorder="1" applyAlignment="1">
      <alignment horizontal="left" vertical="center" indent="5"/>
    </xf>
    <xf numFmtId="0" fontId="36" fillId="0" borderId="17" xfId="66" applyFont="1" applyBorder="1" applyAlignment="1">
      <alignment horizontal="left" vertical="center" indent="5"/>
    </xf>
    <xf numFmtId="0" fontId="36" fillId="0" borderId="23" xfId="66" applyFont="1" applyBorder="1" applyAlignment="1">
      <alignment horizontal="left" vertical="center" indent="8"/>
    </xf>
    <xf numFmtId="0" fontId="36" fillId="0" borderId="29" xfId="66" applyFont="1" applyBorder="1" applyAlignment="1">
      <alignment horizontal="left" vertical="center" indent="8"/>
    </xf>
    <xf numFmtId="0" fontId="36" fillId="0" borderId="132" xfId="66" applyFont="1" applyBorder="1" applyAlignment="1">
      <alignment horizontal="left" vertical="center" indent="5"/>
    </xf>
    <xf numFmtId="0" fontId="36" fillId="0" borderId="133" xfId="66" applyFont="1" applyBorder="1" applyAlignment="1">
      <alignment horizontal="center" vertical="center"/>
    </xf>
    <xf numFmtId="165" fontId="41" fillId="0" borderId="134" xfId="0" applyNumberFormat="1" applyFont="1" applyBorder="1" applyAlignment="1">
      <alignment vertical="center"/>
    </xf>
    <xf numFmtId="0" fontId="36" fillId="0" borderId="23" xfId="66" applyFont="1" applyBorder="1" applyAlignment="1">
      <alignment horizontal="left" vertical="center" indent="9"/>
    </xf>
    <xf numFmtId="0" fontId="41" fillId="25" borderId="0" xfId="66" applyFont="1" applyFill="1" applyAlignment="1">
      <alignment vertical="center"/>
    </xf>
    <xf numFmtId="0" fontId="41" fillId="25" borderId="0" xfId="66" applyFont="1" applyFill="1" applyBorder="1" applyAlignment="1">
      <alignment vertical="center"/>
    </xf>
    <xf numFmtId="0" fontId="41" fillId="30" borderId="0" xfId="66" applyFont="1" applyFill="1" applyAlignment="1">
      <alignment vertical="center"/>
    </xf>
    <xf numFmtId="0" fontId="36" fillId="25" borderId="0" xfId="66" applyFont="1" applyFill="1" applyAlignment="1">
      <alignment horizontal="left" vertical="center" wrapText="1"/>
    </xf>
    <xf numFmtId="0" fontId="0" fillId="30" borderId="0" xfId="0" applyNumberFormat="1" applyFill="1" applyAlignment="1">
      <alignment vertical="center"/>
    </xf>
    <xf numFmtId="0" fontId="36" fillId="27" borderId="78" xfId="66" applyFont="1" applyFill="1" applyBorder="1" applyAlignment="1">
      <alignment horizontal="center" vertical="center"/>
    </xf>
    <xf numFmtId="165" fontId="36" fillId="27" borderId="52" xfId="66" applyNumberFormat="1" applyFont="1" applyFill="1" applyBorder="1" applyAlignment="1">
      <alignment vertical="center"/>
    </xf>
    <xf numFmtId="14" fontId="41" fillId="25" borderId="0" xfId="0" applyFont="1" applyFill="1" applyAlignment="1">
      <alignment horizontal="left" vertical="center" wrapText="1"/>
    </xf>
    <xf numFmtId="14" fontId="41" fillId="0" borderId="0" xfId="0" applyFont="1" applyAlignment="1">
      <alignment horizontal="left" vertical="center" wrapText="1"/>
    </xf>
    <xf numFmtId="14" fontId="41" fillId="0" borderId="0" xfId="0" applyFont="1" applyAlignment="1">
      <alignment vertical="center"/>
    </xf>
    <xf numFmtId="0" fontId="38" fillId="25" borderId="0" xfId="0" applyNumberFormat="1" applyFont="1" applyFill="1" applyAlignment="1">
      <alignment vertical="center"/>
    </xf>
    <xf numFmtId="0" fontId="41" fillId="0" borderId="0" xfId="66" applyFont="1" applyAlignment="1">
      <alignment horizontal="right" vertical="center"/>
    </xf>
    <xf numFmtId="0" fontId="55" fillId="25" borderId="138" xfId="66" applyFont="1" applyFill="1" applyBorder="1" applyAlignment="1">
      <alignment horizontal="center" vertical="center"/>
    </xf>
    <xf numFmtId="168" fontId="41" fillId="0" borderId="139" xfId="66" applyNumberFormat="1" applyFont="1" applyBorder="1" applyAlignment="1">
      <alignment horizontal="right" vertical="center"/>
    </xf>
    <xf numFmtId="0" fontId="55" fillId="25" borderId="142" xfId="66" applyFont="1" applyFill="1" applyBorder="1" applyAlignment="1">
      <alignment horizontal="center" vertical="center"/>
    </xf>
    <xf numFmtId="168" fontId="41" fillId="0" borderId="143" xfId="66" applyNumberFormat="1" applyFont="1" applyBorder="1" applyAlignment="1">
      <alignment horizontal="right" vertical="center"/>
    </xf>
    <xf numFmtId="0" fontId="50" fillId="0" borderId="111" xfId="66" applyFont="1" applyBorder="1" applyAlignment="1">
      <alignment horizontal="left" vertical="center" wrapText="1"/>
    </xf>
    <xf numFmtId="0" fontId="50" fillId="0" borderId="141" xfId="66" applyFont="1" applyBorder="1" applyAlignment="1">
      <alignment horizontal="left" vertical="center" wrapText="1"/>
    </xf>
    <xf numFmtId="0" fontId="60" fillId="0" borderId="140" xfId="66" applyNumberFormat="1" applyFont="1" applyBorder="1" applyAlignment="1">
      <alignment horizontal="center" vertical="center" wrapText="1"/>
    </xf>
    <xf numFmtId="0" fontId="38" fillId="0" borderId="111" xfId="66" applyFont="1" applyBorder="1" applyAlignment="1">
      <alignment horizontal="left" vertical="center" wrapText="1" indent="3"/>
    </xf>
    <xf numFmtId="0" fontId="36" fillId="25" borderId="138" xfId="66" applyFont="1" applyFill="1" applyBorder="1" applyAlignment="1">
      <alignment horizontal="center" vertical="center"/>
    </xf>
    <xf numFmtId="0" fontId="38" fillId="0" borderId="141" xfId="66" applyFont="1" applyBorder="1" applyAlignment="1">
      <alignment horizontal="left" vertical="center" wrapText="1" indent="3"/>
    </xf>
    <xf numFmtId="0" fontId="36" fillId="25" borderId="142" xfId="66" applyFont="1" applyFill="1" applyBorder="1" applyAlignment="1">
      <alignment horizontal="center" vertical="center"/>
    </xf>
    <xf numFmtId="0" fontId="38" fillId="30" borderId="135" xfId="0" applyNumberFormat="1" applyFont="1" applyFill="1" applyBorder="1" applyAlignment="1">
      <alignment horizontal="left" vertical="center" indent="3"/>
    </xf>
    <xf numFmtId="0" fontId="38" fillId="30" borderId="136" xfId="0" applyNumberFormat="1" applyFont="1" applyFill="1" applyBorder="1" applyAlignment="1">
      <alignment horizontal="center" vertical="center"/>
    </xf>
    <xf numFmtId="0" fontId="38" fillId="30" borderId="20" xfId="0" applyNumberFormat="1" applyFont="1" applyFill="1" applyBorder="1" applyAlignment="1">
      <alignment horizontal="left" vertical="center" indent="3"/>
    </xf>
    <xf numFmtId="0" fontId="38" fillId="30" borderId="21" xfId="0" applyNumberFormat="1" applyFont="1" applyFill="1" applyBorder="1" applyAlignment="1">
      <alignment horizontal="center" vertical="center"/>
    </xf>
    <xf numFmtId="0" fontId="38" fillId="30" borderId="132" xfId="0" applyNumberFormat="1" applyFont="1" applyFill="1" applyBorder="1" applyAlignment="1">
      <alignment horizontal="left" vertical="center" indent="3"/>
    </xf>
    <xf numFmtId="0" fontId="38" fillId="30" borderId="133" xfId="0" applyNumberFormat="1" applyFont="1" applyFill="1" applyBorder="1" applyAlignment="1">
      <alignment horizontal="center" vertical="center"/>
    </xf>
    <xf numFmtId="0" fontId="38" fillId="30" borderId="29" xfId="0" applyNumberFormat="1" applyFont="1" applyFill="1" applyBorder="1" applyAlignment="1">
      <alignment horizontal="left" vertical="center" indent="3"/>
    </xf>
    <xf numFmtId="0" fontId="38" fillId="30" borderId="30" xfId="0" applyNumberFormat="1" applyFont="1" applyFill="1" applyBorder="1" applyAlignment="1">
      <alignment horizontal="center" vertical="center"/>
    </xf>
    <xf numFmtId="168" fontId="38" fillId="0" borderId="139" xfId="66" applyNumberFormat="1" applyFont="1" applyBorder="1" applyAlignment="1">
      <alignment horizontal="right" vertical="center"/>
    </xf>
    <xf numFmtId="168" fontId="38" fillId="0" borderId="143" xfId="66" applyNumberFormat="1" applyFont="1" applyBorder="1" applyAlignment="1">
      <alignment horizontal="right" vertical="center"/>
    </xf>
    <xf numFmtId="164" fontId="38" fillId="30" borderId="154" xfId="0" applyNumberFormat="1" applyFont="1" applyFill="1" applyBorder="1" applyAlignment="1">
      <alignment vertical="center"/>
    </xf>
    <xf numFmtId="164" fontId="38" fillId="30" borderId="155" xfId="0" applyNumberFormat="1" applyFont="1" applyFill="1" applyBorder="1" applyAlignment="1">
      <alignment vertical="center"/>
    </xf>
    <xf numFmtId="164" fontId="38" fillId="30" borderId="156" xfId="0" applyNumberFormat="1" applyFont="1" applyFill="1" applyBorder="1" applyAlignment="1">
      <alignment vertical="center"/>
    </xf>
    <xf numFmtId="164" fontId="38" fillId="30" borderId="157" xfId="0" applyNumberFormat="1" applyFont="1" applyFill="1" applyBorder="1" applyAlignment="1">
      <alignment vertical="center"/>
    </xf>
    <xf numFmtId="0" fontId="36" fillId="31" borderId="67" xfId="66" applyFont="1" applyFill="1" applyBorder="1" applyAlignment="1">
      <alignment vertical="center"/>
    </xf>
    <xf numFmtId="0" fontId="36" fillId="31" borderId="109" xfId="66" applyFont="1" applyFill="1" applyBorder="1" applyAlignment="1">
      <alignment horizontal="center" vertical="center"/>
    </xf>
    <xf numFmtId="164" fontId="36" fillId="31" borderId="158" xfId="66" applyNumberFormat="1" applyFont="1" applyFill="1" applyBorder="1" applyAlignment="1">
      <alignment vertical="center"/>
    </xf>
    <xf numFmtId="0" fontId="38" fillId="30" borderId="150" xfId="0" applyNumberFormat="1" applyFont="1" applyFill="1" applyBorder="1" applyAlignment="1">
      <alignment horizontal="left" vertical="center" indent="3"/>
    </xf>
    <xf numFmtId="0" fontId="38" fillId="30" borderId="151" xfId="0" applyNumberFormat="1" applyFont="1" applyFill="1" applyBorder="1" applyAlignment="1">
      <alignment horizontal="center" vertical="center"/>
    </xf>
    <xf numFmtId="164" fontId="38" fillId="30" borderId="159" xfId="0" applyNumberFormat="1" applyFont="1" applyFill="1" applyBorder="1" applyAlignment="1">
      <alignment vertical="center"/>
    </xf>
    <xf numFmtId="168" fontId="38" fillId="30" borderId="154" xfId="0" applyNumberFormat="1" applyFont="1" applyFill="1" applyBorder="1" applyAlignment="1">
      <alignment vertical="center"/>
    </xf>
    <xf numFmtId="168" fontId="38" fillId="30" borderId="155" xfId="0" applyNumberFormat="1" applyFont="1" applyFill="1" applyBorder="1" applyAlignment="1">
      <alignment vertical="center"/>
    </xf>
    <xf numFmtId="168" fontId="38" fillId="30" borderId="156" xfId="0" applyNumberFormat="1" applyFont="1" applyFill="1" applyBorder="1" applyAlignment="1">
      <alignment vertical="center"/>
    </xf>
    <xf numFmtId="168" fontId="36" fillId="31" borderId="158" xfId="66" applyNumberFormat="1" applyFont="1" applyFill="1" applyBorder="1" applyAlignment="1">
      <alignment vertical="center"/>
    </xf>
    <xf numFmtId="168" fontId="38" fillId="30" borderId="157" xfId="0" applyNumberFormat="1" applyFont="1" applyFill="1" applyBorder="1" applyAlignment="1">
      <alignment vertical="center"/>
    </xf>
    <xf numFmtId="0" fontId="55" fillId="27" borderId="66" xfId="68" applyFont="1" applyFill="1" applyBorder="1" applyAlignment="1">
      <alignment horizontal="center" vertical="center" wrapText="1"/>
    </xf>
    <xf numFmtId="0" fontId="38" fillId="0" borderId="0" xfId="66" applyFont="1" applyAlignment="1">
      <alignment horizontal="right" vertical="center"/>
    </xf>
    <xf numFmtId="0" fontId="36" fillId="0" borderId="0" xfId="66" applyFont="1" applyAlignment="1">
      <alignment horizontal="left" vertical="center"/>
    </xf>
    <xf numFmtId="0" fontId="50" fillId="0" borderId="141" xfId="66" applyFont="1" applyBorder="1" applyAlignment="1">
      <alignment horizontal="left" vertical="center" wrapText="1" indent="2"/>
    </xf>
    <xf numFmtId="0" fontId="50" fillId="0" borderId="150" xfId="66" applyFont="1" applyBorder="1" applyAlignment="1">
      <alignment horizontal="left" vertical="center" wrapText="1" indent="2"/>
    </xf>
    <xf numFmtId="0" fontId="50" fillId="0" borderId="29" xfId="66" applyFont="1" applyBorder="1" applyAlignment="1">
      <alignment horizontal="left" vertical="center" wrapText="1" indent="2"/>
    </xf>
    <xf numFmtId="0" fontId="38" fillId="30" borderId="165" xfId="0" applyNumberFormat="1" applyFont="1" applyFill="1" applyBorder="1" applyAlignment="1">
      <alignment horizontal="center" vertical="center"/>
    </xf>
    <xf numFmtId="0" fontId="36" fillId="31" borderId="32" xfId="66" applyFont="1" applyFill="1" applyBorder="1" applyAlignment="1">
      <alignment vertical="center"/>
    </xf>
    <xf numFmtId="0" fontId="36" fillId="31" borderId="33" xfId="66" applyFont="1" applyFill="1" applyBorder="1" applyAlignment="1">
      <alignment horizontal="center" vertical="center"/>
    </xf>
    <xf numFmtId="164" fontId="36" fillId="31" borderId="49" xfId="66" applyNumberFormat="1" applyFont="1" applyFill="1" applyBorder="1" applyAlignment="1">
      <alignment vertical="center"/>
    </xf>
    <xf numFmtId="0" fontId="50" fillId="0" borderId="17" xfId="66" applyFont="1" applyBorder="1" applyAlignment="1">
      <alignment horizontal="left" vertical="center" wrapText="1" indent="2"/>
    </xf>
    <xf numFmtId="0" fontId="38" fillId="30" borderId="18" xfId="0" applyNumberFormat="1" applyFont="1" applyFill="1" applyBorder="1" applyAlignment="1">
      <alignment horizontal="center" vertical="center"/>
    </xf>
    <xf numFmtId="164" fontId="38" fillId="30" borderId="167" xfId="0" applyNumberFormat="1" applyFont="1" applyFill="1" applyBorder="1" applyAlignment="1">
      <alignment vertical="center"/>
    </xf>
    <xf numFmtId="0" fontId="36" fillId="31" borderId="72" xfId="66" applyFont="1" applyFill="1" applyBorder="1" applyAlignment="1">
      <alignment vertical="center"/>
    </xf>
    <xf numFmtId="0" fontId="36" fillId="31" borderId="108" xfId="66" applyFont="1" applyFill="1" applyBorder="1" applyAlignment="1">
      <alignment horizontal="center" vertical="center"/>
    </xf>
    <xf numFmtId="164" fontId="36" fillId="31" borderId="129" xfId="66" applyNumberFormat="1" applyFont="1" applyFill="1" applyBorder="1" applyAlignment="1">
      <alignment vertical="center"/>
    </xf>
    <xf numFmtId="0" fontId="55" fillId="27" borderId="66" xfId="68" applyFont="1" applyFill="1" applyBorder="1" applyAlignment="1">
      <alignment horizontal="center" vertical="center" wrapText="1"/>
    </xf>
    <xf numFmtId="0" fontId="36" fillId="0" borderId="132" xfId="66" applyFont="1" applyBorder="1" applyAlignment="1">
      <alignment horizontal="left" vertical="center" indent="8"/>
    </xf>
    <xf numFmtId="0" fontId="36" fillId="0" borderId="23" xfId="66" applyFont="1" applyBorder="1" applyAlignment="1">
      <alignment horizontal="left" vertical="center" indent="5"/>
    </xf>
    <xf numFmtId="14" fontId="47" fillId="24" borderId="55" xfId="0" applyFont="1" applyFill="1" applyBorder="1" applyAlignment="1">
      <alignment vertical="center"/>
    </xf>
    <xf numFmtId="0" fontId="36" fillId="33" borderId="11" xfId="66" applyFont="1" applyFill="1" applyBorder="1" applyAlignment="1">
      <alignment horizontal="left" vertical="center" wrapText="1" indent="1"/>
    </xf>
    <xf numFmtId="0" fontId="36" fillId="33" borderId="11" xfId="66" applyFont="1" applyFill="1" applyBorder="1" applyAlignment="1">
      <alignment horizontal="left" vertical="center" indent="1"/>
    </xf>
    <xf numFmtId="0" fontId="36" fillId="33" borderId="14" xfId="66" applyFont="1" applyFill="1" applyBorder="1" applyAlignment="1">
      <alignment horizontal="left" vertical="center" indent="1"/>
    </xf>
    <xf numFmtId="0" fontId="36" fillId="33" borderId="26" xfId="66" applyFont="1" applyFill="1" applyBorder="1" applyAlignment="1">
      <alignment horizontal="left" vertical="center" indent="1"/>
    </xf>
    <xf numFmtId="0" fontId="36" fillId="33" borderId="32" xfId="66" applyFont="1" applyFill="1" applyBorder="1" applyAlignment="1">
      <alignment horizontal="left" vertical="center" indent="1"/>
    </xf>
    <xf numFmtId="0" fontId="36" fillId="33" borderId="35" xfId="66" applyFont="1" applyFill="1" applyBorder="1" applyAlignment="1">
      <alignment horizontal="left" vertical="center" indent="1"/>
    </xf>
    <xf numFmtId="0" fontId="36" fillId="29" borderId="32" xfId="66" applyFont="1" applyFill="1" applyBorder="1" applyAlignment="1">
      <alignment horizontal="left" vertical="center" indent="2"/>
    </xf>
    <xf numFmtId="49" fontId="38" fillId="33" borderId="12" xfId="62" applyNumberFormat="1" applyFont="1" applyFill="1" applyBorder="1" applyAlignment="1">
      <alignment horizontal="center" vertical="center"/>
    </xf>
    <xf numFmtId="0" fontId="38" fillId="26" borderId="33" xfId="63" applyFont="1" applyFill="1" applyBorder="1" applyAlignment="1">
      <alignment horizontal="center"/>
    </xf>
    <xf numFmtId="49" fontId="38" fillId="0" borderId="18" xfId="62" applyNumberFormat="1" applyFont="1" applyBorder="1" applyAlignment="1">
      <alignment horizontal="center" vertical="center"/>
    </xf>
    <xf numFmtId="49" fontId="38" fillId="0" borderId="21" xfId="62" applyNumberFormat="1" applyFont="1" applyBorder="1" applyAlignment="1">
      <alignment horizontal="center" vertical="center"/>
    </xf>
    <xf numFmtId="49" fontId="38" fillId="0" borderId="24" xfId="62" applyNumberFormat="1" applyFont="1" applyBorder="1" applyAlignment="1">
      <alignment horizontal="center" vertical="center"/>
    </xf>
    <xf numFmtId="49" fontId="38" fillId="0" borderId="30" xfId="62" applyNumberFormat="1" applyFont="1" applyBorder="1" applyAlignment="1">
      <alignment horizontal="center" vertical="center"/>
    </xf>
    <xf numFmtId="49" fontId="38" fillId="29" borderId="33" xfId="62" applyNumberFormat="1" applyFont="1" applyFill="1" applyBorder="1" applyAlignment="1">
      <alignment horizontal="center" vertical="center"/>
    </xf>
    <xf numFmtId="49" fontId="38" fillId="0" borderId="18" xfId="62" applyNumberFormat="1" applyFont="1" applyFill="1" applyBorder="1" applyAlignment="1">
      <alignment horizontal="center" vertical="center"/>
    </xf>
    <xf numFmtId="49" fontId="38" fillId="0" borderId="21" xfId="62" applyNumberFormat="1" applyFont="1" applyFill="1" applyBorder="1" applyAlignment="1">
      <alignment horizontal="center" vertical="center"/>
    </xf>
    <xf numFmtId="49" fontId="38" fillId="0" borderId="24" xfId="62" applyNumberFormat="1" applyFont="1" applyFill="1" applyBorder="1" applyAlignment="1">
      <alignment horizontal="center" vertical="center"/>
    </xf>
    <xf numFmtId="49" fontId="38" fillId="0" borderId="30" xfId="62" applyNumberFormat="1" applyFont="1" applyFill="1" applyBorder="1" applyAlignment="1">
      <alignment horizontal="center" vertical="center"/>
    </xf>
    <xf numFmtId="49" fontId="38" fillId="33" borderId="108" xfId="62" applyNumberFormat="1" applyFont="1" applyFill="1" applyBorder="1" applyAlignment="1">
      <alignment horizontal="center" vertical="center"/>
    </xf>
    <xf numFmtId="49" fontId="38" fillId="33" borderId="33" xfId="62" applyNumberFormat="1" applyFont="1" applyFill="1" applyBorder="1" applyAlignment="1">
      <alignment horizontal="center" vertical="center"/>
    </xf>
    <xf numFmtId="49" fontId="38" fillId="33" borderId="27" xfId="62" applyNumberFormat="1" applyFont="1" applyFill="1" applyBorder="1" applyAlignment="1">
      <alignment horizontal="center" vertical="center"/>
    </xf>
    <xf numFmtId="49" fontId="38" fillId="33" borderId="36" xfId="62" applyNumberFormat="1" applyFont="1" applyFill="1" applyBorder="1" applyAlignment="1">
      <alignment horizontal="center" vertical="center"/>
    </xf>
    <xf numFmtId="1" fontId="38" fillId="33" borderId="109" xfId="62" applyNumberFormat="1" applyFont="1" applyFill="1" applyBorder="1" applyAlignment="1">
      <alignment horizontal="center" vertical="center"/>
    </xf>
    <xf numFmtId="1" fontId="38" fillId="0" borderId="18" xfId="62" applyNumberFormat="1" applyFont="1" applyBorder="1" applyAlignment="1">
      <alignment horizontal="center" vertical="center"/>
    </xf>
    <xf numFmtId="1" fontId="38" fillId="0" borderId="24" xfId="62" applyNumberFormat="1" applyFont="1" applyBorder="1" applyAlignment="1">
      <alignment horizontal="center" vertical="center"/>
    </xf>
    <xf numFmtId="1" fontId="38" fillId="33" borderId="27" xfId="62" applyNumberFormat="1" applyFont="1" applyFill="1" applyBorder="1" applyAlignment="1">
      <alignment horizontal="center" vertical="center"/>
    </xf>
    <xf numFmtId="1" fontId="38" fillId="33" borderId="36" xfId="62" applyNumberFormat="1" applyFont="1" applyFill="1" applyBorder="1" applyAlignment="1">
      <alignment horizontal="center" vertical="center"/>
    </xf>
    <xf numFmtId="0" fontId="60" fillId="33" borderId="10" xfId="62" applyNumberFormat="1" applyFont="1" applyFill="1" applyBorder="1" applyAlignment="1">
      <alignment horizontal="center" vertical="center"/>
    </xf>
    <xf numFmtId="0" fontId="60" fillId="29" borderId="84" xfId="62" applyNumberFormat="1" applyFont="1" applyFill="1" applyBorder="1" applyAlignment="1">
      <alignment horizontal="center" vertical="center"/>
    </xf>
    <xf numFmtId="0" fontId="60" fillId="33" borderId="34" xfId="62" applyNumberFormat="1" applyFont="1" applyFill="1" applyBorder="1" applyAlignment="1">
      <alignment horizontal="center" vertical="center"/>
    </xf>
    <xf numFmtId="164" fontId="36" fillId="29" borderId="47" xfId="62" applyNumberFormat="1" applyFont="1" applyFill="1" applyBorder="1" applyAlignment="1">
      <alignment vertical="center"/>
    </xf>
    <xf numFmtId="164" fontId="38" fillId="33" borderId="84" xfId="62" applyNumberFormat="1" applyFont="1" applyFill="1" applyBorder="1" applyAlignment="1">
      <alignment vertical="center"/>
    </xf>
    <xf numFmtId="164" fontId="38" fillId="33" borderId="72" xfId="62" applyNumberFormat="1" applyFont="1" applyFill="1" applyBorder="1" applyAlignment="1">
      <alignment vertical="center"/>
    </xf>
    <xf numFmtId="164" fontId="38" fillId="33" borderId="85" xfId="62" applyNumberFormat="1" applyFont="1" applyFill="1" applyBorder="1" applyAlignment="1">
      <alignment vertical="center"/>
    </xf>
    <xf numFmtId="164" fontId="36" fillId="29" borderId="83" xfId="62" applyNumberFormat="1" applyFont="1" applyFill="1" applyBorder="1" applyAlignment="1">
      <alignment vertical="center"/>
    </xf>
    <xf numFmtId="164" fontId="38" fillId="0" borderId="16" xfId="62" applyNumberFormat="1" applyFont="1" applyBorder="1" applyAlignment="1">
      <alignment vertical="center"/>
    </xf>
    <xf numFmtId="164" fontId="38" fillId="0" borderId="170" xfId="62" applyNumberFormat="1" applyFont="1" applyBorder="1" applyAlignment="1">
      <alignment vertical="center"/>
    </xf>
    <xf numFmtId="164" fontId="38" fillId="0" borderId="171" xfId="62" applyNumberFormat="1" applyFont="1" applyBorder="1" applyAlignment="1">
      <alignment vertical="center"/>
    </xf>
    <xf numFmtId="164" fontId="36" fillId="29" borderId="110" xfId="62" applyNumberFormat="1" applyFont="1" applyFill="1" applyBorder="1" applyAlignment="1">
      <alignment vertical="center"/>
    </xf>
    <xf numFmtId="164" fontId="38" fillId="0" borderId="19" xfId="62" applyNumberFormat="1" applyFont="1" applyBorder="1" applyAlignment="1">
      <alignment vertical="center"/>
    </xf>
    <xf numFmtId="164" fontId="38" fillId="0" borderId="172" xfId="62" applyNumberFormat="1" applyFont="1" applyBorder="1" applyAlignment="1">
      <alignment vertical="center"/>
    </xf>
    <xf numFmtId="164" fontId="38" fillId="0" borderId="173" xfId="62" applyNumberFormat="1" applyFont="1" applyBorder="1" applyAlignment="1">
      <alignment vertical="center"/>
    </xf>
    <xf numFmtId="164" fontId="36" fillId="29" borderId="111" xfId="62" applyNumberFormat="1" applyFont="1" applyFill="1" applyBorder="1" applyAlignment="1">
      <alignment vertical="center"/>
    </xf>
    <xf numFmtId="164" fontId="38" fillId="0" borderId="22" xfId="62" applyNumberFormat="1" applyFont="1" applyBorder="1" applyAlignment="1">
      <alignment vertical="center"/>
    </xf>
    <xf numFmtId="164" fontId="38" fillId="0" borderId="174" xfId="62" applyNumberFormat="1" applyFont="1" applyBorder="1" applyAlignment="1">
      <alignment vertical="center"/>
    </xf>
    <xf numFmtId="164" fontId="38" fillId="0" borderId="175" xfId="62" applyNumberFormat="1" applyFont="1" applyBorder="1" applyAlignment="1">
      <alignment vertical="center"/>
    </xf>
    <xf numFmtId="164" fontId="36" fillId="29" borderId="112" xfId="62" applyNumberFormat="1" applyFont="1" applyFill="1" applyBorder="1" applyAlignment="1">
      <alignment vertical="center"/>
    </xf>
    <xf numFmtId="164" fontId="38" fillId="33" borderId="31" xfId="62" applyNumberFormat="1" applyFont="1" applyFill="1" applyBorder="1" applyAlignment="1">
      <alignment vertical="center"/>
    </xf>
    <xf numFmtId="164" fontId="38" fillId="33" borderId="32" xfId="62" applyNumberFormat="1" applyFont="1" applyFill="1" applyBorder="1" applyAlignment="1">
      <alignment vertical="center"/>
    </xf>
    <xf numFmtId="164" fontId="38" fillId="33" borderId="114" xfId="62" applyNumberFormat="1" applyFont="1" applyFill="1" applyBorder="1" applyAlignment="1">
      <alignment vertical="center"/>
    </xf>
    <xf numFmtId="164" fontId="36" fillId="29" borderId="90" xfId="62" applyNumberFormat="1" applyFont="1" applyFill="1" applyBorder="1" applyAlignment="1">
      <alignment vertical="center"/>
    </xf>
    <xf numFmtId="164" fontId="38" fillId="0" borderId="16" xfId="62" applyNumberFormat="1" applyFont="1" applyFill="1" applyBorder="1" applyAlignment="1">
      <alignment vertical="center"/>
    </xf>
    <xf numFmtId="164" fontId="38" fillId="0" borderId="17" xfId="62" applyNumberFormat="1" applyFont="1" applyFill="1" applyBorder="1" applyAlignment="1">
      <alignment vertical="center"/>
    </xf>
    <xf numFmtId="164" fontId="38" fillId="0" borderId="178" xfId="62" applyNumberFormat="1" applyFont="1" applyFill="1" applyBorder="1" applyAlignment="1">
      <alignment vertical="center"/>
    </xf>
    <xf numFmtId="164" fontId="38" fillId="0" borderId="19" xfId="62" applyNumberFormat="1" applyFont="1" applyFill="1" applyBorder="1" applyAlignment="1">
      <alignment vertical="center"/>
    </xf>
    <xf numFmtId="164" fontId="38" fillId="0" borderId="20" xfId="62" applyNumberFormat="1" applyFont="1" applyFill="1" applyBorder="1" applyAlignment="1">
      <alignment vertical="center"/>
    </xf>
    <xf numFmtId="164" fontId="38" fillId="0" borderId="179" xfId="62" applyNumberFormat="1" applyFont="1" applyFill="1" applyBorder="1" applyAlignment="1">
      <alignment vertical="center"/>
    </xf>
    <xf numFmtId="164" fontId="38" fillId="0" borderId="22" xfId="62" applyNumberFormat="1" applyFont="1" applyFill="1" applyBorder="1" applyAlignment="1">
      <alignment vertical="center"/>
    </xf>
    <xf numFmtId="164" fontId="38" fillId="0" borderId="23" xfId="62" applyNumberFormat="1" applyFont="1" applyFill="1" applyBorder="1" applyAlignment="1">
      <alignment vertical="center"/>
    </xf>
    <xf numFmtId="164" fontId="38" fillId="0" borderId="180" xfId="62" applyNumberFormat="1" applyFont="1" applyFill="1" applyBorder="1" applyAlignment="1">
      <alignment vertical="center"/>
    </xf>
    <xf numFmtId="164" fontId="38" fillId="33" borderId="25" xfId="62" applyNumberFormat="1" applyFont="1" applyFill="1" applyBorder="1" applyAlignment="1">
      <alignment vertical="center"/>
    </xf>
    <xf numFmtId="164" fontId="38" fillId="33" borderId="26" xfId="62" applyNumberFormat="1" applyFont="1" applyFill="1" applyBorder="1" applyAlignment="1">
      <alignment vertical="center"/>
    </xf>
    <xf numFmtId="164" fontId="38" fillId="33" borderId="98" xfId="62" applyNumberFormat="1" applyFont="1" applyFill="1" applyBorder="1" applyAlignment="1">
      <alignment vertical="center"/>
    </xf>
    <xf numFmtId="164" fontId="36" fillId="29" borderId="44" xfId="62" applyNumberFormat="1" applyFont="1" applyFill="1" applyBorder="1" applyAlignment="1">
      <alignment vertical="center"/>
    </xf>
    <xf numFmtId="164" fontId="38" fillId="33" borderId="34" xfId="62" applyNumberFormat="1" applyFont="1" applyFill="1" applyBorder="1" applyAlignment="1">
      <alignment vertical="center"/>
    </xf>
    <xf numFmtId="164" fontId="38" fillId="33" borderId="35" xfId="62" applyNumberFormat="1" applyFont="1" applyFill="1" applyBorder="1" applyAlignment="1">
      <alignment vertical="center"/>
    </xf>
    <xf numFmtId="164" fontId="38" fillId="33" borderId="99" xfId="62" applyNumberFormat="1" applyFont="1" applyFill="1" applyBorder="1" applyAlignment="1">
      <alignment vertical="center"/>
    </xf>
    <xf numFmtId="164" fontId="36" fillId="29" borderId="61" xfId="62" applyNumberFormat="1" applyFont="1" applyFill="1" applyBorder="1" applyAlignment="1">
      <alignment vertical="center"/>
    </xf>
    <xf numFmtId="164" fontId="38" fillId="33" borderId="97" xfId="62" applyNumberFormat="1" applyFont="1" applyFill="1" applyBorder="1" applyAlignment="1">
      <alignment vertical="center"/>
    </xf>
    <xf numFmtId="164" fontId="38" fillId="33" borderId="67" xfId="62" applyNumberFormat="1" applyFont="1" applyFill="1" applyBorder="1" applyAlignment="1">
      <alignment vertical="center"/>
    </xf>
    <xf numFmtId="164" fontId="38" fillId="33" borderId="96" xfId="62" applyNumberFormat="1" applyFont="1" applyFill="1" applyBorder="1" applyAlignment="1">
      <alignment vertical="center"/>
    </xf>
    <xf numFmtId="164" fontId="36" fillId="29" borderId="48" xfId="62" applyNumberFormat="1" applyFont="1" applyFill="1" applyBorder="1" applyAlignment="1">
      <alignment vertical="center"/>
    </xf>
    <xf numFmtId="164" fontId="38" fillId="0" borderId="17" xfId="62" applyNumberFormat="1" applyFont="1" applyBorder="1" applyAlignment="1">
      <alignment vertical="center"/>
    </xf>
    <xf numFmtId="164" fontId="38" fillId="0" borderId="178" xfId="62" applyNumberFormat="1" applyFont="1" applyBorder="1" applyAlignment="1">
      <alignment vertical="center"/>
    </xf>
    <xf numFmtId="164" fontId="38" fillId="0" borderId="23" xfId="62" applyNumberFormat="1" applyFont="1" applyBorder="1" applyAlignment="1">
      <alignment vertical="center"/>
    </xf>
    <xf numFmtId="164" fontId="38" fillId="0" borderId="180" xfId="62" applyNumberFormat="1" applyFont="1" applyBorder="1" applyAlignment="1">
      <alignment vertical="center"/>
    </xf>
    <xf numFmtId="164" fontId="38" fillId="33" borderId="92" xfId="62" applyNumberFormat="1" applyFont="1" applyFill="1" applyBorder="1" applyAlignment="1">
      <alignment vertical="center"/>
    </xf>
    <xf numFmtId="164" fontId="38" fillId="33" borderId="94" xfId="62" applyNumberFormat="1" applyFont="1" applyFill="1" applyBorder="1" applyAlignment="1">
      <alignment vertical="center"/>
    </xf>
    <xf numFmtId="164" fontId="38" fillId="33" borderId="60" xfId="62" applyNumberFormat="1" applyFont="1" applyFill="1" applyBorder="1" applyAlignment="1">
      <alignment vertical="center"/>
    </xf>
    <xf numFmtId="168" fontId="36" fillId="29" borderId="83" xfId="62" applyNumberFormat="1" applyFont="1" applyFill="1" applyBorder="1" applyAlignment="1">
      <alignment vertical="center"/>
    </xf>
    <xf numFmtId="168" fontId="38" fillId="33" borderId="10" xfId="62" applyNumberFormat="1" applyFont="1" applyFill="1" applyBorder="1" applyAlignment="1">
      <alignment vertical="center"/>
    </xf>
    <xf numFmtId="168" fontId="38" fillId="33" borderId="11" xfId="62" applyNumberFormat="1" applyFont="1" applyFill="1" applyBorder="1" applyAlignment="1">
      <alignment vertical="center"/>
    </xf>
    <xf numFmtId="168" fontId="38" fillId="33" borderId="86" xfId="62" applyNumberFormat="1" applyFont="1" applyFill="1" applyBorder="1" applyAlignment="1">
      <alignment vertical="center"/>
    </xf>
    <xf numFmtId="168" fontId="36" fillId="29" borderId="47" xfId="62" applyNumberFormat="1" applyFont="1" applyFill="1" applyBorder="1" applyAlignment="1">
      <alignment vertical="center"/>
    </xf>
    <xf numFmtId="168" fontId="38" fillId="26" borderId="31" xfId="62" applyNumberFormat="1" applyFont="1" applyFill="1" applyBorder="1" applyAlignment="1">
      <alignment vertical="center"/>
    </xf>
    <xf numFmtId="168" fontId="38" fillId="26" borderId="168" xfId="62" applyNumberFormat="1" applyFont="1" applyFill="1" applyBorder="1" applyAlignment="1">
      <alignment vertical="center"/>
    </xf>
    <xf numFmtId="168" fontId="38" fillId="26" borderId="0" xfId="62" applyNumberFormat="1" applyFont="1" applyFill="1" applyBorder="1" applyAlignment="1">
      <alignment vertical="center"/>
    </xf>
    <xf numFmtId="168" fontId="38" fillId="0" borderId="16" xfId="62" applyNumberFormat="1" applyFont="1" applyBorder="1" applyAlignment="1">
      <alignment vertical="center"/>
    </xf>
    <xf numFmtId="168" fontId="38" fillId="0" borderId="170" xfId="62" applyNumberFormat="1" applyFont="1" applyBorder="1" applyAlignment="1">
      <alignment vertical="center"/>
    </xf>
    <xf numFmtId="168" fontId="38" fillId="0" borderId="171" xfId="62" applyNumberFormat="1" applyFont="1" applyBorder="1" applyAlignment="1">
      <alignment vertical="center"/>
    </xf>
    <xf numFmtId="168" fontId="36" fillId="29" borderId="110" xfId="62" applyNumberFormat="1" applyFont="1" applyFill="1" applyBorder="1" applyAlignment="1">
      <alignment vertical="center"/>
    </xf>
    <xf numFmtId="168" fontId="38" fillId="0" borderId="19" xfId="62" applyNumberFormat="1" applyFont="1" applyBorder="1" applyAlignment="1">
      <alignment vertical="center"/>
    </xf>
    <xf numFmtId="168" fontId="38" fillId="0" borderId="172" xfId="62" applyNumberFormat="1" applyFont="1" applyBorder="1" applyAlignment="1">
      <alignment vertical="center"/>
    </xf>
    <xf numFmtId="168" fontId="38" fillId="0" borderId="173" xfId="62" applyNumberFormat="1" applyFont="1" applyBorder="1" applyAlignment="1">
      <alignment vertical="center"/>
    </xf>
    <xf numFmtId="168" fontId="36" fillId="29" borderId="111" xfId="62" applyNumberFormat="1" applyFont="1" applyFill="1" applyBorder="1" applyAlignment="1">
      <alignment vertical="center"/>
    </xf>
    <xf numFmtId="168" fontId="38" fillId="0" borderId="22" xfId="62" applyNumberFormat="1" applyFont="1" applyBorder="1" applyAlignment="1">
      <alignment vertical="center"/>
    </xf>
    <xf numFmtId="168" fontId="38" fillId="0" borderId="174" xfId="62" applyNumberFormat="1" applyFont="1" applyBorder="1" applyAlignment="1">
      <alignment vertical="center"/>
    </xf>
    <xf numFmtId="168" fontId="38" fillId="0" borderId="175" xfId="62" applyNumberFormat="1" applyFont="1" applyBorder="1" applyAlignment="1">
      <alignment vertical="center"/>
    </xf>
    <xf numFmtId="168" fontId="36" fillId="29" borderId="112" xfId="62" applyNumberFormat="1" applyFont="1" applyFill="1" applyBorder="1" applyAlignment="1">
      <alignment vertical="center"/>
    </xf>
    <xf numFmtId="168" fontId="36" fillId="29" borderId="90" xfId="62" applyNumberFormat="1" applyFont="1" applyFill="1" applyBorder="1" applyAlignment="1">
      <alignment vertical="center"/>
    </xf>
    <xf numFmtId="168" fontId="38" fillId="0" borderId="28" xfId="62" applyNumberFormat="1" applyFont="1" applyBorder="1" applyAlignment="1">
      <alignment vertical="center"/>
    </xf>
    <xf numFmtId="168" fontId="38" fillId="0" borderId="176" xfId="62" applyNumberFormat="1" applyFont="1" applyBorder="1" applyAlignment="1">
      <alignment vertical="center"/>
    </xf>
    <xf numFmtId="168" fontId="38" fillId="0" borderId="177" xfId="62" applyNumberFormat="1" applyFont="1" applyBorder="1" applyAlignment="1">
      <alignment vertical="center"/>
    </xf>
    <xf numFmtId="168" fontId="36" fillId="29" borderId="113" xfId="62" applyNumberFormat="1" applyFont="1" applyFill="1" applyBorder="1" applyAlignment="1">
      <alignment vertical="center"/>
    </xf>
    <xf numFmtId="168" fontId="38" fillId="33" borderId="93" xfId="62" applyNumberFormat="1" applyFont="1" applyFill="1" applyBorder="1" applyAlignment="1">
      <alignment vertical="center"/>
    </xf>
    <xf numFmtId="168" fontId="38" fillId="33" borderId="57" xfId="62" applyNumberFormat="1" applyFont="1" applyFill="1" applyBorder="1" applyAlignment="1">
      <alignment vertical="center"/>
    </xf>
    <xf numFmtId="168" fontId="38" fillId="29" borderId="31" xfId="62" applyNumberFormat="1" applyFont="1" applyFill="1" applyBorder="1" applyAlignment="1">
      <alignment vertical="center"/>
    </xf>
    <xf numFmtId="168" fontId="38" fillId="29" borderId="168" xfId="62" applyNumberFormat="1" applyFont="1" applyFill="1" applyBorder="1" applyAlignment="1">
      <alignment vertical="center"/>
    </xf>
    <xf numFmtId="168" fontId="38" fillId="29" borderId="0" xfId="62" applyNumberFormat="1" applyFont="1" applyFill="1" applyBorder="1" applyAlignment="1">
      <alignment vertical="center"/>
    </xf>
    <xf numFmtId="168" fontId="38" fillId="0" borderId="16" xfId="62" applyNumberFormat="1" applyFont="1" applyFill="1" applyBorder="1" applyAlignment="1">
      <alignment vertical="center"/>
    </xf>
    <xf numFmtId="168" fontId="38" fillId="0" borderId="170" xfId="62" applyNumberFormat="1" applyFont="1" applyFill="1" applyBorder="1" applyAlignment="1">
      <alignment vertical="center"/>
    </xf>
    <xf numFmtId="168" fontId="38" fillId="0" borderId="171" xfId="62" applyNumberFormat="1" applyFont="1" applyFill="1" applyBorder="1" applyAlignment="1">
      <alignment vertical="center"/>
    </xf>
    <xf numFmtId="168" fontId="38" fillId="0" borderId="19" xfId="62" applyNumberFormat="1" applyFont="1" applyFill="1" applyBorder="1" applyAlignment="1">
      <alignment vertical="center"/>
    </xf>
    <xf numFmtId="168" fontId="38" fillId="0" borderId="172" xfId="62" applyNumberFormat="1" applyFont="1" applyFill="1" applyBorder="1" applyAlignment="1">
      <alignment vertical="center"/>
    </xf>
    <xf numFmtId="168" fontId="38" fillId="0" borderId="173" xfId="62" applyNumberFormat="1" applyFont="1" applyFill="1" applyBorder="1" applyAlignment="1">
      <alignment vertical="center"/>
    </xf>
    <xf numFmtId="168" fontId="38" fillId="0" borderId="22" xfId="62" applyNumberFormat="1" applyFont="1" applyFill="1" applyBorder="1" applyAlignment="1">
      <alignment vertical="center"/>
    </xf>
    <xf numFmtId="168" fontId="38" fillId="0" borderId="174" xfId="62" applyNumberFormat="1" applyFont="1" applyFill="1" applyBorder="1" applyAlignment="1">
      <alignment vertical="center"/>
    </xf>
    <xf numFmtId="168" fontId="38" fillId="0" borderId="175" xfId="62" applyNumberFormat="1" applyFont="1" applyFill="1" applyBorder="1" applyAlignment="1">
      <alignment vertical="center"/>
    </xf>
    <xf numFmtId="168" fontId="38" fillId="0" borderId="28" xfId="62" applyNumberFormat="1" applyFont="1" applyFill="1" applyBorder="1" applyAlignment="1">
      <alignment vertical="center"/>
    </xf>
    <xf numFmtId="168" fontId="38" fillId="0" borderId="176" xfId="62" applyNumberFormat="1" applyFont="1" applyFill="1" applyBorder="1" applyAlignment="1">
      <alignment vertical="center"/>
    </xf>
    <xf numFmtId="168" fontId="38" fillId="0" borderId="177" xfId="62" applyNumberFormat="1" applyFont="1" applyFill="1" applyBorder="1" applyAlignment="1">
      <alignment vertical="center"/>
    </xf>
    <xf numFmtId="0" fontId="36" fillId="0" borderId="72" xfId="62" applyNumberFormat="1" applyFont="1" applyBorder="1" applyAlignment="1">
      <alignment horizontal="center" vertical="center"/>
    </xf>
    <xf numFmtId="0" fontId="36" fillId="0" borderId="85" xfId="62" applyNumberFormat="1" applyFont="1" applyBorder="1" applyAlignment="1">
      <alignment horizontal="center" vertical="center"/>
    </xf>
    <xf numFmtId="0" fontId="38" fillId="0" borderId="0" xfId="0" applyNumberFormat="1" applyFont="1" applyAlignment="1"/>
    <xf numFmtId="14" fontId="39" fillId="25" borderId="0" xfId="47" applyNumberFormat="1" applyFont="1" applyFill="1" applyAlignment="1" applyProtection="1"/>
    <xf numFmtId="49" fontId="38" fillId="0" borderId="25" xfId="75" applyNumberFormat="1" applyFont="1" applyFill="1" applyBorder="1" applyAlignment="1">
      <alignment horizontal="center" vertical="center"/>
    </xf>
    <xf numFmtId="49" fontId="38" fillId="0" borderId="117" xfId="75" applyNumberFormat="1" applyFont="1" applyFill="1" applyBorder="1" applyAlignment="1">
      <alignment horizontal="center" vertical="center"/>
    </xf>
    <xf numFmtId="49" fontId="36" fillId="33" borderId="10" xfId="75" applyNumberFormat="1" applyFont="1" applyFill="1" applyBorder="1" applyAlignment="1">
      <alignment horizontal="center" vertical="center"/>
    </xf>
    <xf numFmtId="49" fontId="38" fillId="0" borderId="13" xfId="75" applyNumberFormat="1" applyFont="1" applyFill="1" applyBorder="1" applyAlignment="1">
      <alignment horizontal="center" vertical="center"/>
    </xf>
    <xf numFmtId="49" fontId="36" fillId="33" borderId="84" xfId="75" applyNumberFormat="1" applyFont="1" applyFill="1" applyBorder="1" applyAlignment="1">
      <alignment horizontal="center" vertical="center"/>
    </xf>
    <xf numFmtId="14" fontId="36" fillId="0" borderId="69" xfId="75" applyFont="1" applyFill="1" applyBorder="1" applyAlignment="1">
      <alignment horizontal="center" vertical="center" wrapText="1"/>
    </xf>
    <xf numFmtId="49" fontId="36" fillId="34" borderId="71" xfId="75" applyNumberFormat="1" applyFont="1" applyFill="1" applyBorder="1" applyAlignment="1">
      <alignment horizontal="center" vertical="center"/>
    </xf>
    <xf numFmtId="166" fontId="36" fillId="34" borderId="73" xfId="75" applyNumberFormat="1" applyFont="1" applyFill="1" applyBorder="1" applyAlignment="1">
      <alignment horizontal="right" vertical="center"/>
    </xf>
    <xf numFmtId="49" fontId="38" fillId="34" borderId="91" xfId="75" applyNumberFormat="1" applyFont="1" applyFill="1" applyBorder="1" applyAlignment="1">
      <alignment horizontal="center" vertical="center"/>
    </xf>
    <xf numFmtId="49" fontId="38" fillId="34" borderId="76" xfId="75" applyNumberFormat="1" applyFont="1" applyFill="1" applyBorder="1" applyAlignment="1">
      <alignment horizontal="center" vertical="center"/>
    </xf>
    <xf numFmtId="49" fontId="36" fillId="34" borderId="91" xfId="75" applyNumberFormat="1" applyFont="1" applyFill="1" applyBorder="1" applyAlignment="1">
      <alignment horizontal="center" vertical="center"/>
    </xf>
    <xf numFmtId="49" fontId="36" fillId="34" borderId="76" xfId="75" applyNumberFormat="1" applyFont="1" applyFill="1" applyBorder="1" applyAlignment="1">
      <alignment horizontal="center" vertical="center"/>
    </xf>
    <xf numFmtId="49" fontId="38" fillId="34" borderId="78" xfId="75" applyNumberFormat="1" applyFont="1" applyFill="1" applyBorder="1" applyAlignment="1">
      <alignment horizontal="center" vertical="center"/>
    </xf>
    <xf numFmtId="49" fontId="38" fillId="34" borderId="80" xfId="75" applyNumberFormat="1" applyFont="1" applyFill="1" applyBorder="1" applyAlignment="1">
      <alignment horizontal="center" vertical="center"/>
    </xf>
    <xf numFmtId="49" fontId="38" fillId="0" borderId="95" xfId="75" applyNumberFormat="1" applyFont="1" applyFill="1" applyBorder="1" applyAlignment="1">
      <alignment horizontal="center" vertical="center"/>
    </xf>
    <xf numFmtId="49" fontId="38" fillId="0" borderId="34" xfId="75" applyNumberFormat="1" applyFont="1" applyFill="1" applyBorder="1" applyAlignment="1">
      <alignment horizontal="center" vertical="center"/>
    </xf>
    <xf numFmtId="164" fontId="36" fillId="33" borderId="12" xfId="75" applyNumberFormat="1" applyFont="1" applyFill="1" applyBorder="1" applyAlignment="1">
      <alignment horizontal="right" vertical="center"/>
    </xf>
    <xf numFmtId="164" fontId="38" fillId="0" borderId="27" xfId="75" applyNumberFormat="1" applyFont="1" applyFill="1" applyBorder="1" applyAlignment="1">
      <alignment vertical="center"/>
    </xf>
    <xf numFmtId="164" fontId="38" fillId="0" borderId="120" xfId="75" applyNumberFormat="1" applyFont="1" applyFill="1" applyBorder="1" applyAlignment="1">
      <alignment vertical="center"/>
    </xf>
    <xf numFmtId="164" fontId="36" fillId="33" borderId="12" xfId="75" applyNumberFormat="1" applyFont="1" applyFill="1" applyBorder="1" applyAlignment="1">
      <alignment vertical="center"/>
    </xf>
    <xf numFmtId="164" fontId="38" fillId="0" borderId="109" xfId="75" applyNumberFormat="1" applyFont="1" applyFill="1" applyBorder="1" applyAlignment="1">
      <alignment vertical="center"/>
    </xf>
    <xf numFmtId="164" fontId="38" fillId="0" borderId="36" xfId="75" applyNumberFormat="1" applyFont="1" applyFill="1" applyBorder="1" applyAlignment="1">
      <alignment vertical="center"/>
    </xf>
    <xf numFmtId="168" fontId="36" fillId="33" borderId="12" xfId="75" applyNumberFormat="1" applyFont="1" applyFill="1" applyBorder="1" applyAlignment="1">
      <alignment horizontal="right" vertical="center"/>
    </xf>
    <xf numFmtId="168" fontId="38" fillId="0" borderId="15" xfId="75" applyNumberFormat="1" applyFont="1" applyFill="1" applyBorder="1" applyAlignment="1">
      <alignment horizontal="right" vertical="center"/>
    </xf>
    <xf numFmtId="168" fontId="38" fillId="0" borderId="120" xfId="75" applyNumberFormat="1" applyFont="1" applyFill="1" applyBorder="1" applyAlignment="1">
      <alignment horizontal="right" vertical="center"/>
    </xf>
    <xf numFmtId="168" fontId="36" fillId="33" borderId="93" xfId="75" applyNumberFormat="1" applyFont="1" applyFill="1" applyBorder="1" applyAlignment="1">
      <alignment horizontal="right" vertical="center"/>
    </xf>
    <xf numFmtId="168" fontId="36" fillId="33" borderId="65" xfId="75" applyNumberFormat="1" applyFont="1" applyFill="1" applyBorder="1" applyAlignment="1">
      <alignment horizontal="right" vertical="center"/>
    </xf>
    <xf numFmtId="168" fontId="38" fillId="0" borderId="89" xfId="75" applyNumberFormat="1" applyFont="1" applyFill="1" applyBorder="1" applyAlignment="1">
      <alignment horizontal="right" vertical="center"/>
    </xf>
    <xf numFmtId="168" fontId="38" fillId="0" borderId="123" xfId="75" applyNumberFormat="1" applyFont="1" applyFill="1" applyBorder="1" applyAlignment="1">
      <alignment horizontal="right" vertical="center"/>
    </xf>
    <xf numFmtId="168" fontId="38" fillId="0" borderId="182" xfId="75" applyNumberFormat="1" applyFont="1" applyFill="1" applyBorder="1" applyAlignment="1">
      <alignment horizontal="right" vertical="center"/>
    </xf>
    <xf numFmtId="168" fontId="38" fillId="0" borderId="70" xfId="75" applyNumberFormat="1" applyFont="1" applyFill="1" applyBorder="1" applyAlignment="1">
      <alignment horizontal="right" vertical="center"/>
    </xf>
    <xf numFmtId="168" fontId="38" fillId="0" borderId="92" xfId="75" applyNumberFormat="1" applyFont="1" applyFill="1" applyBorder="1" applyAlignment="1">
      <alignment horizontal="right" vertical="center"/>
    </xf>
    <xf numFmtId="168" fontId="38" fillId="0" borderId="69" xfId="75" applyNumberFormat="1" applyFont="1" applyFill="1" applyBorder="1" applyAlignment="1">
      <alignment horizontal="right" vertical="center"/>
    </xf>
    <xf numFmtId="168" fontId="38" fillId="0" borderId="97" xfId="75" applyNumberFormat="1" applyFont="1" applyFill="1" applyBorder="1" applyAlignment="1">
      <alignment horizontal="right" vertical="center"/>
    </xf>
    <xf numFmtId="168" fontId="38" fillId="0" borderId="68" xfId="75" applyNumberFormat="1" applyFont="1" applyFill="1" applyBorder="1" applyAlignment="1">
      <alignment horizontal="right" vertical="center"/>
    </xf>
    <xf numFmtId="168" fontId="38" fillId="0" borderId="94" xfId="75" applyNumberFormat="1" applyFont="1" applyFill="1" applyBorder="1" applyAlignment="1">
      <alignment horizontal="right" vertical="center"/>
    </xf>
    <xf numFmtId="168" fontId="38" fillId="0" borderId="181" xfId="75" applyNumberFormat="1" applyFont="1" applyFill="1" applyBorder="1" applyAlignment="1">
      <alignment horizontal="right" vertical="center"/>
    </xf>
    <xf numFmtId="168" fontId="36" fillId="32" borderId="75" xfId="75" applyNumberFormat="1" applyFont="1" applyFill="1" applyBorder="1" applyAlignment="1">
      <alignment horizontal="right" vertical="center"/>
    </xf>
    <xf numFmtId="168" fontId="38" fillId="0" borderId="168" xfId="75" applyNumberFormat="1" applyFont="1" applyFill="1" applyBorder="1" applyAlignment="1">
      <alignment horizontal="right" vertical="center"/>
    </xf>
    <xf numFmtId="168" fontId="38" fillId="0" borderId="76" xfId="75" applyNumberFormat="1" applyFont="1" applyFill="1" applyBorder="1" applyAlignment="1">
      <alignment horizontal="right" vertical="center"/>
    </xf>
    <xf numFmtId="168" fontId="36" fillId="32" borderId="77" xfId="75" applyNumberFormat="1" applyFont="1" applyFill="1" applyBorder="1" applyAlignment="1">
      <alignment horizontal="right" vertical="center"/>
    </xf>
    <xf numFmtId="168" fontId="38" fillId="0" borderId="93" xfId="75" applyNumberFormat="1" applyFont="1" applyFill="1" applyBorder="1" applyAlignment="1">
      <alignment horizontal="right" vertical="center"/>
    </xf>
    <xf numFmtId="168" fontId="38" fillId="0" borderId="65" xfId="75" applyNumberFormat="1" applyFont="1" applyFill="1" applyBorder="1" applyAlignment="1">
      <alignment horizontal="right" vertical="center"/>
    </xf>
    <xf numFmtId="168" fontId="36" fillId="32" borderId="169" xfId="75" applyNumberFormat="1" applyFont="1" applyFill="1" applyBorder="1" applyAlignment="1">
      <alignment horizontal="right" vertical="center"/>
    </xf>
    <xf numFmtId="168" fontId="36" fillId="32" borderId="80" xfId="75" applyNumberFormat="1" applyFont="1" applyFill="1" applyBorder="1" applyAlignment="1">
      <alignment horizontal="right" vertical="center"/>
    </xf>
    <xf numFmtId="166" fontId="38" fillId="0" borderId="184" xfId="66" applyNumberFormat="1" applyFont="1" applyFill="1" applyBorder="1" applyAlignment="1" applyProtection="1">
      <alignment horizontal="right"/>
      <protection locked="0"/>
    </xf>
    <xf numFmtId="166" fontId="50" fillId="0" borderId="46" xfId="66" applyNumberFormat="1" applyFont="1" applyBorder="1" applyAlignment="1">
      <alignment horizontal="right"/>
    </xf>
    <xf numFmtId="166" fontId="50" fillId="0" borderId="38" xfId="66" applyNumberFormat="1" applyFont="1" applyBorder="1" applyAlignment="1">
      <alignment horizontal="right"/>
    </xf>
    <xf numFmtId="166" fontId="50" fillId="0" borderId="58" xfId="66" applyNumberFormat="1" applyFont="1" applyBorder="1" applyAlignment="1">
      <alignment horizontal="right"/>
    </xf>
    <xf numFmtId="166" fontId="50" fillId="0" borderId="185" xfId="66" applyNumberFormat="1" applyFont="1" applyBorder="1" applyAlignment="1">
      <alignment horizontal="right"/>
    </xf>
    <xf numFmtId="166" fontId="38" fillId="0" borderId="145" xfId="66" applyNumberFormat="1" applyFont="1" applyFill="1" applyBorder="1" applyAlignment="1" applyProtection="1">
      <alignment horizontal="right"/>
      <protection locked="0"/>
    </xf>
    <xf numFmtId="166" fontId="50" fillId="0" borderId="190" xfId="66" applyNumberFormat="1" applyFont="1" applyBorder="1" applyAlignment="1">
      <alignment horizontal="right"/>
    </xf>
    <xf numFmtId="166" fontId="36" fillId="32" borderId="58" xfId="66" applyNumberFormat="1" applyFont="1" applyFill="1" applyBorder="1" applyAlignment="1" applyProtection="1">
      <alignment horizontal="right" vertical="center" wrapText="1"/>
      <protection locked="0"/>
    </xf>
    <xf numFmtId="166" fontId="50" fillId="0" borderId="192" xfId="66" applyNumberFormat="1" applyFont="1" applyBorder="1" applyAlignment="1">
      <alignment horizontal="right"/>
    </xf>
    <xf numFmtId="166" fontId="36" fillId="32" borderId="42" xfId="66" applyNumberFormat="1" applyFont="1" applyFill="1" applyBorder="1" applyAlignment="1" applyProtection="1">
      <alignment horizontal="right" vertical="center" wrapText="1"/>
      <protection locked="0"/>
    </xf>
    <xf numFmtId="49" fontId="50" fillId="0" borderId="67" xfId="66" applyNumberFormat="1" applyFont="1" applyBorder="1" applyAlignment="1">
      <alignment horizontal="left" indent="1"/>
    </xf>
    <xf numFmtId="49" fontId="50" fillId="0" borderId="35" xfId="66" applyNumberFormat="1" applyFont="1" applyBorder="1" applyAlignment="1">
      <alignment horizontal="left" indent="1"/>
    </xf>
    <xf numFmtId="49" fontId="50" fillId="0" borderId="14" xfId="66" applyNumberFormat="1" applyFont="1" applyBorder="1" applyAlignment="1">
      <alignment horizontal="left" indent="1"/>
    </xf>
    <xf numFmtId="49" fontId="50" fillId="0" borderId="26" xfId="66" applyNumberFormat="1" applyFont="1" applyBorder="1" applyAlignment="1">
      <alignment horizontal="left" indent="1"/>
    </xf>
    <xf numFmtId="49" fontId="50" fillId="0" borderId="11" xfId="66" applyNumberFormat="1" applyFont="1" applyBorder="1" applyAlignment="1">
      <alignment horizontal="left" vertical="center" indent="1"/>
    </xf>
    <xf numFmtId="49" fontId="50" fillId="0" borderId="11" xfId="66" applyNumberFormat="1" applyFont="1" applyBorder="1" applyAlignment="1">
      <alignment horizontal="left" indent="1"/>
    </xf>
    <xf numFmtId="49" fontId="50" fillId="0" borderId="196" xfId="66" applyNumberFormat="1" applyFont="1" applyBorder="1" applyAlignment="1">
      <alignment horizontal="left" vertical="center" indent="1"/>
    </xf>
    <xf numFmtId="49" fontId="50" fillId="0" borderId="74" xfId="66" applyNumberFormat="1" applyFont="1" applyBorder="1" applyAlignment="1">
      <alignment horizontal="left" indent="1"/>
    </xf>
    <xf numFmtId="0" fontId="60" fillId="0" borderId="53" xfId="66" applyNumberFormat="1" applyFont="1" applyBorder="1" applyAlignment="1">
      <alignment horizontal="center" vertical="center"/>
    </xf>
    <xf numFmtId="0" fontId="60" fillId="0" borderId="161" xfId="66" applyNumberFormat="1" applyFont="1" applyBorder="1" applyAlignment="1">
      <alignment horizontal="center" vertical="center"/>
    </xf>
    <xf numFmtId="0" fontId="60" fillId="0" borderId="50" xfId="66" applyNumberFormat="1" applyFont="1" applyBorder="1" applyAlignment="1">
      <alignment horizontal="center" vertical="center"/>
    </xf>
    <xf numFmtId="0" fontId="60" fillId="0" borderId="56" xfId="66" applyNumberFormat="1" applyFont="1" applyBorder="1" applyAlignment="1">
      <alignment horizontal="center" vertical="center"/>
    </xf>
    <xf numFmtId="0" fontId="60" fillId="32" borderId="56" xfId="66" applyNumberFormat="1" applyFont="1" applyFill="1" applyBorder="1" applyAlignment="1">
      <alignment horizontal="center" vertical="center" wrapText="1"/>
    </xf>
    <xf numFmtId="0" fontId="60" fillId="0" borderId="63" xfId="66" applyNumberFormat="1" applyFont="1" applyBorder="1" applyAlignment="1">
      <alignment horizontal="center" vertical="center"/>
    </xf>
    <xf numFmtId="0" fontId="60" fillId="32" borderId="198" xfId="66" applyNumberFormat="1" applyFont="1" applyFill="1" applyBorder="1" applyAlignment="1">
      <alignment horizontal="center" vertical="center" wrapText="1"/>
    </xf>
    <xf numFmtId="0" fontId="60" fillId="0" borderId="51" xfId="66" applyNumberFormat="1" applyFont="1" applyBorder="1" applyAlignment="1">
      <alignment horizontal="center" vertical="center"/>
    </xf>
    <xf numFmtId="0" fontId="60" fillId="25" borderId="63" xfId="0" applyNumberFormat="1" applyFont="1" applyFill="1" applyBorder="1" applyAlignment="1">
      <alignment horizontal="center"/>
    </xf>
    <xf numFmtId="14" fontId="36" fillId="32" borderId="12" xfId="75" applyFont="1" applyFill="1" applyBorder="1" applyAlignment="1">
      <alignment horizontal="center" vertical="center" wrapText="1"/>
    </xf>
    <xf numFmtId="49" fontId="38" fillId="0" borderId="109" xfId="66" applyNumberFormat="1" applyFont="1" applyBorder="1" applyAlignment="1">
      <alignment horizontal="center"/>
    </xf>
    <xf numFmtId="49" fontId="38" fillId="0" borderId="36" xfId="66" applyNumberFormat="1" applyFont="1" applyBorder="1" applyAlignment="1">
      <alignment horizontal="center"/>
    </xf>
    <xf numFmtId="49" fontId="38" fillId="0" borderId="27" xfId="66" applyNumberFormat="1" applyFont="1" applyBorder="1" applyAlignment="1">
      <alignment horizontal="center"/>
    </xf>
    <xf numFmtId="49" fontId="38" fillId="0" borderId="12" xfId="66" applyNumberFormat="1" applyFont="1" applyBorder="1" applyAlignment="1">
      <alignment horizontal="center"/>
    </xf>
    <xf numFmtId="49" fontId="38" fillId="0" borderId="120" xfId="66" applyNumberFormat="1" applyFont="1" applyBorder="1" applyAlignment="1">
      <alignment horizontal="center"/>
    </xf>
    <xf numFmtId="49" fontId="38" fillId="0" borderId="197" xfId="66" applyNumberFormat="1" applyFont="1" applyBorder="1" applyAlignment="1">
      <alignment horizontal="center"/>
    </xf>
    <xf numFmtId="14" fontId="36" fillId="32" borderId="200" xfId="75" applyFont="1" applyFill="1" applyBorder="1" applyAlignment="1">
      <alignment horizontal="center" vertical="center" wrapText="1"/>
    </xf>
    <xf numFmtId="0" fontId="36" fillId="26" borderId="203" xfId="66" applyFont="1" applyFill="1" applyBorder="1" applyAlignment="1">
      <alignment horizontal="center" vertical="center" wrapText="1"/>
    </xf>
    <xf numFmtId="0" fontId="36" fillId="26" borderId="38" xfId="66" applyFont="1" applyFill="1" applyBorder="1" applyAlignment="1">
      <alignment horizontal="center" vertical="center" wrapText="1"/>
    </xf>
    <xf numFmtId="0" fontId="60" fillId="0" borderId="161" xfId="66" applyFont="1" applyFill="1" applyBorder="1" applyAlignment="1">
      <alignment horizontal="center" vertical="center"/>
    </xf>
    <xf numFmtId="14" fontId="36" fillId="32" borderId="72" xfId="62" applyFont="1" applyFill="1" applyBorder="1" applyAlignment="1">
      <alignment vertical="center" wrapText="1"/>
    </xf>
    <xf numFmtId="49" fontId="38" fillId="32" borderId="108" xfId="62" applyNumberFormat="1" applyFont="1" applyFill="1" applyBorder="1" applyAlignment="1">
      <alignment horizontal="center" vertical="center"/>
    </xf>
    <xf numFmtId="168" fontId="38" fillId="32" borderId="10" xfId="62" applyNumberFormat="1" applyFont="1" applyFill="1" applyBorder="1" applyAlignment="1">
      <alignment vertical="center"/>
    </xf>
    <xf numFmtId="168" fontId="38" fillId="32" borderId="11" xfId="62" applyNumberFormat="1" applyFont="1" applyFill="1" applyBorder="1" applyAlignment="1">
      <alignment vertical="center"/>
    </xf>
    <xf numFmtId="168" fontId="38" fillId="32" borderId="86" xfId="62" applyNumberFormat="1" applyFont="1" applyFill="1" applyBorder="1" applyAlignment="1">
      <alignment vertical="center"/>
    </xf>
    <xf numFmtId="0" fontId="60" fillId="32" borderId="10" xfId="62" applyNumberFormat="1" applyFont="1" applyFill="1" applyBorder="1" applyAlignment="1">
      <alignment horizontal="center" vertical="center"/>
    </xf>
    <xf numFmtId="0" fontId="36" fillId="32" borderId="11" xfId="66" applyFont="1" applyFill="1" applyBorder="1" applyAlignment="1">
      <alignment horizontal="left" vertical="center"/>
    </xf>
    <xf numFmtId="49" fontId="38" fillId="32" borderId="12" xfId="62" applyNumberFormat="1" applyFont="1" applyFill="1" applyBorder="1" applyAlignment="1">
      <alignment horizontal="center" vertical="center"/>
    </xf>
    <xf numFmtId="164" fontId="38" fillId="32" borderId="10" xfId="62" applyNumberFormat="1" applyFont="1" applyFill="1" applyBorder="1" applyAlignment="1">
      <alignment vertical="center"/>
    </xf>
    <xf numFmtId="164" fontId="38" fillId="32" borderId="93" xfId="62" applyNumberFormat="1" applyFont="1" applyFill="1" applyBorder="1" applyAlignment="1">
      <alignment vertical="center"/>
    </xf>
    <xf numFmtId="164" fontId="38" fillId="32" borderId="57" xfId="62" applyNumberFormat="1" applyFont="1" applyFill="1" applyBorder="1" applyAlignment="1">
      <alignment vertical="center"/>
    </xf>
    <xf numFmtId="0" fontId="60" fillId="32" borderId="84" xfId="64" applyNumberFormat="1" applyFont="1" applyFill="1" applyBorder="1" applyAlignment="1">
      <alignment horizontal="center" vertical="center"/>
    </xf>
    <xf numFmtId="1" fontId="38" fillId="32" borderId="108" xfId="62" applyNumberFormat="1" applyFont="1" applyFill="1" applyBorder="1" applyAlignment="1">
      <alignment horizontal="center" vertical="center"/>
    </xf>
    <xf numFmtId="164" fontId="38" fillId="32" borderId="11" xfId="62" applyNumberFormat="1" applyFont="1" applyFill="1" applyBorder="1" applyAlignment="1">
      <alignment vertical="center"/>
    </xf>
    <xf numFmtId="164" fontId="38" fillId="32" borderId="86" xfId="62" applyNumberFormat="1" applyFont="1" applyFill="1" applyBorder="1" applyAlignment="1">
      <alignment vertical="center"/>
    </xf>
    <xf numFmtId="14" fontId="36" fillId="0" borderId="182" xfId="75" applyFont="1" applyFill="1" applyBorder="1" applyAlignment="1">
      <alignment horizontal="center" vertical="center" wrapText="1"/>
    </xf>
    <xf numFmtId="14" fontId="36" fillId="0" borderId="70" xfId="75" applyFont="1" applyFill="1" applyBorder="1" applyAlignment="1">
      <alignment horizontal="center" vertical="center" wrapText="1"/>
    </xf>
    <xf numFmtId="49" fontId="36" fillId="33" borderId="62" xfId="75" applyNumberFormat="1" applyFont="1" applyFill="1" applyBorder="1" applyAlignment="1">
      <alignment vertical="center"/>
    </xf>
    <xf numFmtId="49" fontId="38" fillId="0" borderId="5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indent="2"/>
    </xf>
    <xf numFmtId="49" fontId="36" fillId="33" borderId="57" xfId="75" applyNumberFormat="1" applyFont="1" applyFill="1" applyBorder="1" applyAlignment="1">
      <alignment horizontal="left" vertical="center"/>
    </xf>
    <xf numFmtId="49" fontId="38" fillId="0" borderId="55" xfId="75" applyNumberFormat="1" applyFont="1" applyFill="1" applyBorder="1" applyAlignment="1">
      <alignment horizontal="left" vertical="center" indent="2"/>
    </xf>
    <xf numFmtId="49" fontId="36" fillId="33" borderId="87" xfId="75" applyNumberFormat="1" applyFont="1" applyFill="1" applyBorder="1" applyAlignment="1">
      <alignment vertical="center"/>
    </xf>
    <xf numFmtId="49" fontId="38" fillId="0" borderId="59" xfId="75" applyNumberFormat="1" applyFont="1" applyFill="1" applyBorder="1" applyAlignment="1">
      <alignment horizontal="left" vertical="center" indent="2"/>
    </xf>
    <xf numFmtId="49" fontId="38" fillId="0" borderId="60" xfId="75" applyNumberFormat="1" applyFont="1" applyFill="1" applyBorder="1" applyAlignment="1">
      <alignment horizontal="left" vertical="center" indent="2"/>
    </xf>
    <xf numFmtId="14" fontId="36" fillId="32" borderId="191" xfId="75" applyFont="1" applyFill="1" applyBorder="1" applyAlignment="1">
      <alignment vertical="center"/>
    </xf>
    <xf numFmtId="14" fontId="38" fillId="0" borderId="193" xfId="75" applyFont="1" applyFill="1" applyBorder="1" applyAlignment="1">
      <alignment vertical="center" wrapText="1"/>
    </xf>
    <xf numFmtId="14" fontId="38" fillId="0" borderId="57" xfId="75" applyFont="1" applyFill="1" applyBorder="1" applyAlignment="1">
      <alignment horizontal="left" vertical="center" wrapText="1"/>
    </xf>
    <xf numFmtId="14" fontId="36" fillId="32" borderId="62" xfId="75" applyFont="1" applyFill="1" applyBorder="1" applyAlignment="1">
      <alignment horizontal="left" vertical="center"/>
    </xf>
    <xf numFmtId="14" fontId="50" fillId="0" borderId="163" xfId="0" applyFont="1" applyBorder="1" applyAlignment="1" applyProtection="1">
      <alignment horizontal="center" vertical="center"/>
      <protection locked="0"/>
    </xf>
    <xf numFmtId="14" fontId="50" fillId="0" borderId="155" xfId="0" applyFont="1" applyBorder="1" applyAlignment="1" applyProtection="1">
      <alignment horizontal="center" vertical="center"/>
      <protection locked="0"/>
    </xf>
    <xf numFmtId="14" fontId="50" fillId="0" borderId="186" xfId="0" applyFont="1" applyBorder="1" applyAlignment="1" applyProtection="1">
      <alignment horizontal="center" vertical="center"/>
      <protection locked="0"/>
    </xf>
    <xf numFmtId="14" fontId="50" fillId="0" borderId="21" xfId="0" applyFont="1" applyBorder="1" applyAlignment="1" applyProtection="1">
      <alignment horizontal="center" vertical="center"/>
      <protection locked="0"/>
    </xf>
    <xf numFmtId="0" fontId="36" fillId="29" borderId="206" xfId="66" applyFont="1" applyFill="1" applyBorder="1" applyAlignment="1">
      <alignment horizontal="center" vertical="center" wrapText="1"/>
    </xf>
    <xf numFmtId="0" fontId="36" fillId="29" borderId="39" xfId="66" applyFont="1" applyFill="1" applyBorder="1" applyAlignment="1">
      <alignment horizontal="center" vertical="center" wrapText="1"/>
    </xf>
    <xf numFmtId="14" fontId="50" fillId="0" borderId="30" xfId="0" applyFont="1" applyBorder="1" applyAlignment="1" applyProtection="1">
      <alignment horizontal="center" vertical="center"/>
      <protection locked="0"/>
    </xf>
    <xf numFmtId="14" fontId="50" fillId="0" borderId="157" xfId="0" applyFont="1" applyBorder="1" applyAlignment="1" applyProtection="1">
      <alignment horizontal="center" vertical="center"/>
      <protection locked="0"/>
    </xf>
    <xf numFmtId="14" fontId="50" fillId="35" borderId="197" xfId="0" applyFont="1" applyFill="1" applyBorder="1" applyAlignment="1" applyProtection="1">
      <alignment horizontal="center" vertical="center"/>
      <protection locked="0"/>
    </xf>
    <xf numFmtId="14" fontId="50" fillId="35" borderId="207" xfId="0" applyFont="1" applyFill="1" applyBorder="1" applyAlignment="1" applyProtection="1">
      <alignment horizontal="center" vertical="center"/>
      <protection locked="0"/>
    </xf>
    <xf numFmtId="0" fontId="60" fillId="0" borderId="10" xfId="62" applyNumberFormat="1" applyFont="1" applyBorder="1" applyAlignment="1">
      <alignment horizontal="center" vertical="center"/>
    </xf>
    <xf numFmtId="0" fontId="60" fillId="32" borderId="81" xfId="0" applyNumberFormat="1" applyFont="1" applyFill="1" applyBorder="1" applyAlignment="1">
      <alignment horizontal="center" vertical="center"/>
    </xf>
    <xf numFmtId="0" fontId="60" fillId="26" borderId="31" xfId="63" applyNumberFormat="1" applyFont="1" applyFill="1" applyBorder="1" applyAlignment="1">
      <alignment horizontal="center"/>
    </xf>
    <xf numFmtId="0" fontId="60" fillId="0" borderId="16" xfId="63" applyNumberFormat="1" applyFont="1" applyBorder="1" applyAlignment="1">
      <alignment horizontal="center"/>
    </xf>
    <xf numFmtId="0" fontId="60" fillId="0" borderId="19" xfId="63" applyNumberFormat="1" applyFont="1" applyBorder="1" applyAlignment="1">
      <alignment horizontal="center"/>
    </xf>
    <xf numFmtId="0" fontId="60" fillId="0" borderId="22" xfId="63" applyNumberFormat="1" applyFont="1" applyBorder="1" applyAlignment="1">
      <alignment horizontal="center"/>
    </xf>
    <xf numFmtId="0" fontId="60" fillId="0" borderId="28" xfId="63" applyNumberFormat="1" applyFont="1" applyBorder="1" applyAlignment="1">
      <alignment horizontal="center"/>
    </xf>
    <xf numFmtId="0" fontId="60" fillId="0" borderId="16" xfId="62" applyNumberFormat="1" applyFont="1" applyFill="1" applyBorder="1" applyAlignment="1">
      <alignment horizontal="center" vertical="center"/>
    </xf>
    <xf numFmtId="0" fontId="60" fillId="0" borderId="19" xfId="62" applyNumberFormat="1" applyFont="1" applyFill="1" applyBorder="1" applyAlignment="1">
      <alignment horizontal="center" vertical="center"/>
    </xf>
    <xf numFmtId="0" fontId="60" fillId="0" borderId="22" xfId="62" applyNumberFormat="1" applyFont="1" applyFill="1" applyBorder="1" applyAlignment="1">
      <alignment horizontal="center" vertical="center"/>
    </xf>
    <xf numFmtId="0" fontId="60" fillId="29" borderId="31" xfId="62" applyNumberFormat="1" applyFont="1" applyFill="1" applyBorder="1" applyAlignment="1">
      <alignment horizontal="center" vertical="center"/>
    </xf>
    <xf numFmtId="0" fontId="60" fillId="0" borderId="28" xfId="62" applyNumberFormat="1" applyFont="1" applyFill="1" applyBorder="1" applyAlignment="1">
      <alignment horizontal="center" vertical="center"/>
    </xf>
    <xf numFmtId="0" fontId="60" fillId="33" borderId="84" xfId="62" applyNumberFormat="1" applyFont="1" applyFill="1" applyBorder="1" applyAlignment="1">
      <alignment horizontal="center" vertical="center"/>
    </xf>
    <xf numFmtId="0" fontId="60" fillId="33" borderId="31" xfId="62" applyNumberFormat="1" applyFont="1" applyFill="1" applyBorder="1" applyAlignment="1">
      <alignment horizontal="center" vertical="center"/>
    </xf>
    <xf numFmtId="0" fontId="60" fillId="33" borderId="25" xfId="62" applyNumberFormat="1" applyFont="1" applyFill="1" applyBorder="1" applyAlignment="1">
      <alignment horizontal="center" vertical="center"/>
    </xf>
    <xf numFmtId="0" fontId="60" fillId="33" borderId="95" xfId="64" applyNumberFormat="1" applyFont="1" applyFill="1" applyBorder="1" applyAlignment="1">
      <alignment horizontal="center"/>
    </xf>
    <xf numFmtId="0" fontId="60" fillId="25" borderId="16" xfId="64" applyNumberFormat="1" applyFont="1" applyFill="1" applyBorder="1" applyAlignment="1">
      <alignment horizontal="center"/>
    </xf>
    <xf numFmtId="0" fontId="60" fillId="25" borderId="22" xfId="64" applyNumberFormat="1" applyFont="1" applyFill="1" applyBorder="1" applyAlignment="1">
      <alignment horizontal="center"/>
    </xf>
    <xf numFmtId="0" fontId="60" fillId="33" borderId="25" xfId="64" applyNumberFormat="1" applyFont="1" applyFill="1" applyBorder="1" applyAlignment="1">
      <alignment horizontal="center"/>
    </xf>
    <xf numFmtId="0" fontId="60" fillId="0" borderId="11" xfId="62" applyNumberFormat="1" applyFont="1" applyBorder="1" applyAlignment="1">
      <alignment horizontal="center" vertical="center"/>
    </xf>
    <xf numFmtId="0" fontId="60" fillId="0" borderId="86" xfId="62" applyNumberFormat="1" applyFont="1" applyBorder="1" applyAlignment="1">
      <alignment horizontal="center" vertical="center"/>
    </xf>
    <xf numFmtId="0" fontId="60" fillId="29" borderId="47" xfId="62" applyNumberFormat="1" applyFont="1" applyFill="1" applyBorder="1" applyAlignment="1">
      <alignment horizontal="center" vertical="center"/>
    </xf>
    <xf numFmtId="0" fontId="60" fillId="25" borderId="34" xfId="0" applyNumberFormat="1" applyFont="1" applyFill="1" applyBorder="1" applyAlignment="1">
      <alignment horizontal="center" vertical="center"/>
    </xf>
    <xf numFmtId="0" fontId="60" fillId="33" borderId="81" xfId="0" applyNumberFormat="1" applyFont="1" applyFill="1" applyBorder="1" applyAlignment="1">
      <alignment horizontal="center" vertical="center"/>
    </xf>
    <xf numFmtId="0" fontId="60" fillId="25" borderId="13" xfId="0" applyNumberFormat="1" applyFont="1" applyFill="1" applyBorder="1" applyAlignment="1">
      <alignment horizontal="center" vertical="center"/>
    </xf>
    <xf numFmtId="0" fontId="60" fillId="25" borderId="25" xfId="0" applyNumberFormat="1" applyFont="1" applyFill="1" applyBorder="1" applyAlignment="1">
      <alignment horizontal="center" vertical="center"/>
    </xf>
    <xf numFmtId="0" fontId="60" fillId="25" borderId="117" xfId="0" applyNumberFormat="1" applyFont="1" applyFill="1" applyBorder="1" applyAlignment="1">
      <alignment horizontal="center" vertical="center"/>
    </xf>
    <xf numFmtId="0" fontId="60" fillId="33" borderId="10" xfId="0" applyNumberFormat="1" applyFont="1" applyFill="1" applyBorder="1" applyAlignment="1">
      <alignment horizontal="center" vertical="center"/>
    </xf>
    <xf numFmtId="0" fontId="60" fillId="32" borderId="183" xfId="0" applyNumberFormat="1" applyFont="1" applyFill="1" applyBorder="1" applyAlignment="1">
      <alignment horizontal="center" vertical="center"/>
    </xf>
    <xf numFmtId="0" fontId="60" fillId="25" borderId="31" xfId="0" applyNumberFormat="1" applyFont="1" applyFill="1" applyBorder="1" applyAlignment="1">
      <alignment horizontal="center" vertical="center"/>
    </xf>
    <xf numFmtId="0" fontId="60" fillId="32" borderId="10" xfId="0" applyNumberFormat="1" applyFont="1" applyFill="1" applyBorder="1" applyAlignment="1">
      <alignment horizontal="center" vertical="center"/>
    </xf>
    <xf numFmtId="0" fontId="60" fillId="0" borderId="181" xfId="75" applyNumberFormat="1" applyFont="1" applyFill="1" applyBorder="1" applyAlignment="1">
      <alignment horizontal="center" vertical="center"/>
    </xf>
    <xf numFmtId="0" fontId="60" fillId="32" borderId="56" xfId="0" applyNumberFormat="1" applyFont="1" applyFill="1" applyBorder="1" applyAlignment="1">
      <alignment horizontal="center" vertical="center"/>
    </xf>
    <xf numFmtId="0" fontId="60" fillId="0" borderId="36" xfId="66" applyFont="1" applyFill="1" applyBorder="1" applyAlignment="1">
      <alignment horizontal="center" vertical="center" wrapText="1"/>
    </xf>
    <xf numFmtId="0" fontId="60" fillId="0" borderId="185" xfId="66" applyFont="1" applyFill="1" applyBorder="1" applyAlignment="1">
      <alignment horizontal="center" vertical="center" wrapText="1"/>
    </xf>
    <xf numFmtId="0" fontId="60" fillId="0" borderId="161" xfId="0" applyNumberFormat="1" applyFont="1" applyBorder="1" applyAlignment="1">
      <alignment horizontal="center" vertical="center"/>
    </xf>
    <xf numFmtId="0" fontId="60" fillId="0" borderId="202" xfId="0" applyNumberFormat="1" applyFont="1" applyBorder="1" applyAlignment="1">
      <alignment horizontal="center" vertical="center"/>
    </xf>
    <xf numFmtId="0" fontId="60" fillId="0" borderId="148" xfId="0" applyNumberFormat="1" applyFont="1" applyBorder="1" applyAlignment="1">
      <alignment horizontal="center" vertical="center"/>
    </xf>
    <xf numFmtId="0" fontId="60" fillId="0" borderId="153" xfId="0" applyNumberFormat="1" applyFont="1" applyBorder="1" applyAlignment="1">
      <alignment horizontal="center" vertical="center"/>
    </xf>
    <xf numFmtId="0" fontId="60" fillId="35" borderId="63" xfId="0" applyNumberFormat="1" applyFont="1" applyFill="1" applyBorder="1" applyAlignment="1">
      <alignment horizontal="center" vertical="center"/>
    </xf>
    <xf numFmtId="0" fontId="60" fillId="0" borderId="130" xfId="0" applyNumberFormat="1" applyFont="1" applyBorder="1" applyAlignment="1">
      <alignment horizontal="center" vertical="center"/>
    </xf>
    <xf numFmtId="0" fontId="36" fillId="29" borderId="48" xfId="0" applyNumberFormat="1" applyFont="1" applyFill="1" applyBorder="1" applyAlignment="1">
      <alignment horizontal="center" vertical="center" wrapText="1"/>
    </xf>
    <xf numFmtId="0" fontId="36" fillId="26" borderId="44" xfId="66" applyFont="1" applyFill="1" applyBorder="1" applyAlignment="1">
      <alignment horizontal="center" vertical="center" wrapText="1"/>
    </xf>
    <xf numFmtId="0" fontId="60" fillId="0" borderId="52"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wrapText="1"/>
    </xf>
    <xf numFmtId="0" fontId="60" fillId="0" borderId="61" xfId="68" applyNumberFormat="1" applyFont="1" applyFill="1" applyBorder="1" applyAlignment="1">
      <alignment horizontal="center" vertical="center" wrapText="1"/>
    </xf>
    <xf numFmtId="0" fontId="60" fillId="0" borderId="10" xfId="66" applyNumberFormat="1" applyFont="1" applyBorder="1" applyAlignment="1">
      <alignment horizontal="center" vertical="center"/>
    </xf>
    <xf numFmtId="0" fontId="60" fillId="0" borderId="13" xfId="66" applyNumberFormat="1" applyFont="1" applyBorder="1" applyAlignment="1">
      <alignment horizontal="center" vertical="center"/>
    </xf>
    <xf numFmtId="0" fontId="60" fillId="0" borderId="16" xfId="66" applyNumberFormat="1" applyFont="1" applyBorder="1" applyAlignment="1">
      <alignment horizontal="center" vertical="center"/>
    </xf>
    <xf numFmtId="0" fontId="60" fillId="0" borderId="19" xfId="66" applyNumberFormat="1" applyFont="1" applyBorder="1" applyAlignment="1">
      <alignment horizontal="center" vertical="center"/>
    </xf>
    <xf numFmtId="0" fontId="60" fillId="0" borderId="22" xfId="66" applyNumberFormat="1" applyFont="1" applyBorder="1" applyAlignment="1">
      <alignment horizontal="center" vertical="center"/>
    </xf>
    <xf numFmtId="0" fontId="60" fillId="0" borderId="25" xfId="66" applyNumberFormat="1" applyFont="1" applyBorder="1" applyAlignment="1">
      <alignment horizontal="center" vertical="center"/>
    </xf>
    <xf numFmtId="0" fontId="60" fillId="0" borderId="28" xfId="66" applyNumberFormat="1" applyFont="1" applyBorder="1" applyAlignment="1">
      <alignment horizontal="center" vertical="center"/>
    </xf>
    <xf numFmtId="0" fontId="60" fillId="0" borderId="131" xfId="66" applyNumberFormat="1" applyFont="1" applyBorder="1" applyAlignment="1">
      <alignment horizontal="center" vertical="center"/>
    </xf>
    <xf numFmtId="0" fontId="60" fillId="24" borderId="10" xfId="66" applyNumberFormat="1" applyFont="1" applyFill="1" applyBorder="1" applyAlignment="1">
      <alignment horizontal="center" vertical="center"/>
    </xf>
    <xf numFmtId="0" fontId="60" fillId="0" borderId="31" xfId="66" applyNumberFormat="1" applyFont="1" applyBorder="1" applyAlignment="1">
      <alignment horizontal="center" vertical="center"/>
    </xf>
    <xf numFmtId="0" fontId="60" fillId="0" borderId="34" xfId="66" applyNumberFormat="1" applyFont="1" applyBorder="1" applyAlignment="1">
      <alignment horizontal="center" vertical="center"/>
    </xf>
    <xf numFmtId="0" fontId="60" fillId="0" borderId="34" xfId="0" applyNumberFormat="1" applyFont="1" applyBorder="1" applyAlignment="1">
      <alignment horizontal="center" vertical="center"/>
    </xf>
    <xf numFmtId="0" fontId="60" fillId="0" borderId="61" xfId="0" applyNumberFormat="1" applyFont="1" applyBorder="1" applyAlignment="1">
      <alignment horizontal="center" vertical="center"/>
    </xf>
    <xf numFmtId="0" fontId="60" fillId="0" borderId="140" xfId="66" applyNumberFormat="1" applyFont="1" applyBorder="1" applyAlignment="1">
      <alignment horizontal="center" vertical="center"/>
    </xf>
    <xf numFmtId="0" fontId="60" fillId="0" borderId="189" xfId="66" applyNumberFormat="1" applyFont="1" applyBorder="1" applyAlignment="1">
      <alignment horizontal="center" vertical="center"/>
    </xf>
    <xf numFmtId="0" fontId="36" fillId="29" borderId="122" xfId="0" applyNumberFormat="1" applyFont="1" applyFill="1" applyBorder="1" applyAlignment="1">
      <alignment horizontal="center" vertical="center" wrapText="1"/>
    </xf>
    <xf numFmtId="0" fontId="50" fillId="0" borderId="135" xfId="66" applyFont="1" applyBorder="1" applyAlignment="1">
      <alignment horizontal="left" vertical="center" wrapText="1" indent="2"/>
    </xf>
    <xf numFmtId="0" fontId="38" fillId="30" borderId="187" xfId="0" applyNumberFormat="1" applyFont="1" applyFill="1" applyBorder="1" applyAlignment="1">
      <alignment horizontal="center" vertical="center"/>
    </xf>
    <xf numFmtId="0" fontId="36" fillId="31" borderId="67" xfId="0" applyNumberFormat="1" applyFont="1" applyFill="1" applyBorder="1" applyAlignment="1">
      <alignment vertical="center"/>
    </xf>
    <xf numFmtId="0" fontId="36" fillId="31" borderId="109" xfId="0" applyNumberFormat="1" applyFont="1" applyFill="1" applyBorder="1" applyAlignment="1">
      <alignment horizontal="center" vertical="center"/>
    </xf>
    <xf numFmtId="164" fontId="36" fillId="31" borderId="158" xfId="0" applyNumberFormat="1" applyFont="1" applyFill="1" applyBorder="1" applyAlignment="1">
      <alignment vertical="center"/>
    </xf>
    <xf numFmtId="0" fontId="60" fillId="31" borderId="53" xfId="66" applyFont="1" applyFill="1" applyBorder="1" applyAlignment="1">
      <alignment horizontal="center" vertical="center"/>
    </xf>
    <xf numFmtId="0" fontId="60" fillId="25" borderId="210" xfId="0" applyNumberFormat="1" applyFont="1" applyFill="1" applyBorder="1" applyAlignment="1">
      <alignment horizontal="center" vertical="center"/>
    </xf>
    <xf numFmtId="0" fontId="60" fillId="25" borderId="164" xfId="0" applyNumberFormat="1" applyFont="1" applyFill="1" applyBorder="1" applyAlignment="1">
      <alignment horizontal="center" vertical="center"/>
    </xf>
    <xf numFmtId="0" fontId="60" fillId="31" borderId="51" xfId="66" applyFont="1" applyFill="1" applyBorder="1" applyAlignment="1">
      <alignment horizontal="center" vertical="center"/>
    </xf>
    <xf numFmtId="0" fontId="60" fillId="25" borderId="166" xfId="0" applyNumberFormat="1" applyFont="1" applyFill="1" applyBorder="1" applyAlignment="1">
      <alignment horizontal="center" vertical="center"/>
    </xf>
    <xf numFmtId="0" fontId="60" fillId="25" borderId="153" xfId="0" applyNumberFormat="1" applyFont="1" applyFill="1" applyBorder="1" applyAlignment="1">
      <alignment horizontal="center" vertical="center"/>
    </xf>
    <xf numFmtId="0" fontId="60" fillId="31" borderId="146" xfId="66" applyFont="1" applyFill="1" applyBorder="1" applyAlignment="1">
      <alignment horizontal="center" vertical="center"/>
    </xf>
    <xf numFmtId="0" fontId="60" fillId="25" borderId="149" xfId="0" applyNumberFormat="1" applyFont="1" applyFill="1" applyBorder="1" applyAlignment="1">
      <alignment horizontal="center" vertical="center"/>
    </xf>
    <xf numFmtId="0" fontId="60" fillId="0" borderId="185" xfId="66" applyNumberFormat="1" applyFont="1" applyBorder="1" applyAlignment="1">
      <alignment horizontal="center" vertical="center"/>
    </xf>
    <xf numFmtId="0" fontId="60" fillId="0" borderId="211" xfId="66" applyNumberFormat="1" applyFont="1" applyBorder="1" applyAlignment="1">
      <alignment horizontal="center" vertical="center"/>
    </xf>
    <xf numFmtId="0" fontId="50" fillId="0" borderId="212" xfId="66" applyFont="1" applyBorder="1" applyAlignment="1">
      <alignment horizontal="left" vertical="center" wrapText="1" indent="2"/>
    </xf>
    <xf numFmtId="0" fontId="55" fillId="25" borderId="213" xfId="66" applyFont="1" applyFill="1" applyBorder="1" applyAlignment="1">
      <alignment horizontal="center" vertical="center"/>
    </xf>
    <xf numFmtId="168" fontId="41" fillId="0" borderId="214" xfId="66" applyNumberFormat="1" applyFont="1" applyBorder="1" applyAlignment="1">
      <alignment horizontal="right" vertical="center"/>
    </xf>
    <xf numFmtId="0" fontId="60" fillId="31" borderId="188" xfId="0" applyNumberFormat="1" applyFont="1" applyFill="1" applyBorder="1" applyAlignment="1">
      <alignment horizontal="center" vertical="center"/>
    </xf>
    <xf numFmtId="0" fontId="55" fillId="31" borderId="48" xfId="66" applyFont="1" applyFill="1" applyBorder="1" applyAlignment="1">
      <alignment horizontal="left" vertical="center" wrapText="1"/>
    </xf>
    <xf numFmtId="0" fontId="55" fillId="31" borderId="64" xfId="66" applyFont="1" applyFill="1" applyBorder="1" applyAlignment="1">
      <alignment horizontal="center" vertical="center"/>
    </xf>
    <xf numFmtId="168" fontId="41" fillId="31" borderId="190" xfId="66" applyNumberFormat="1" applyFont="1" applyFill="1" applyBorder="1" applyAlignment="1">
      <alignment horizontal="right" vertical="center"/>
    </xf>
    <xf numFmtId="0" fontId="36" fillId="29" borderId="38" xfId="66" applyFont="1" applyFill="1" applyBorder="1" applyAlignment="1">
      <alignment horizontal="center" vertical="center" wrapText="1"/>
    </xf>
    <xf numFmtId="0" fontId="60" fillId="25" borderId="161" xfId="0" applyNumberFormat="1" applyFont="1" applyFill="1" applyBorder="1" applyAlignment="1">
      <alignment horizontal="center" vertical="center"/>
    </xf>
    <xf numFmtId="0" fontId="60" fillId="30" borderId="130" xfId="66" applyFont="1" applyFill="1" applyBorder="1" applyAlignment="1">
      <alignment horizontal="center" vertical="center" wrapText="1"/>
    </xf>
    <xf numFmtId="0" fontId="36" fillId="29" borderId="122" xfId="66" applyFont="1" applyFill="1" applyBorder="1" applyAlignment="1">
      <alignment horizontal="center" vertical="center" wrapText="1"/>
    </xf>
    <xf numFmtId="0" fontId="60" fillId="0" borderId="137" xfId="66" applyNumberFormat="1" applyFont="1" applyBorder="1" applyAlignment="1">
      <alignment horizontal="center" vertical="center"/>
    </xf>
    <xf numFmtId="0" fontId="50" fillId="0" borderId="212" xfId="66" applyFont="1" applyBorder="1" applyAlignment="1">
      <alignment horizontal="left" vertical="center" wrapText="1"/>
    </xf>
    <xf numFmtId="0" fontId="1" fillId="0" borderId="0" xfId="0" applyNumberFormat="1" applyFont="1" applyFill="1" applyAlignment="1">
      <alignment vertical="top" wrapText="1"/>
    </xf>
    <xf numFmtId="0" fontId="1" fillId="0" borderId="0" xfId="0" applyNumberFormat="1" applyFont="1" applyAlignment="1">
      <alignment vertical="top" wrapText="1"/>
    </xf>
    <xf numFmtId="0" fontId="43" fillId="30" borderId="0" xfId="66" applyFont="1" applyFill="1" applyAlignment="1">
      <alignment vertical="center"/>
    </xf>
    <xf numFmtId="0" fontId="41" fillId="30" borderId="0" xfId="66" applyFont="1" applyFill="1" applyBorder="1" applyAlignment="1">
      <alignment vertical="center"/>
    </xf>
    <xf numFmtId="0" fontId="41" fillId="30" borderId="0" xfId="66" applyFont="1" applyFill="1" applyAlignment="1">
      <alignment horizontal="right" vertical="top"/>
    </xf>
    <xf numFmtId="0" fontId="1" fillId="30" borderId="0" xfId="0" applyNumberFormat="1" applyFont="1" applyFill="1" applyAlignment="1">
      <alignment vertical="top" wrapText="1"/>
    </xf>
    <xf numFmtId="0" fontId="41" fillId="30" borderId="0" xfId="66" applyFont="1" applyFill="1" applyAlignment="1">
      <alignment horizontal="right" vertical="center"/>
    </xf>
    <xf numFmtId="0" fontId="49" fillId="30" borderId="0" xfId="66" applyFont="1" applyFill="1" applyAlignment="1">
      <alignment horizontal="left" vertical="center" wrapText="1"/>
    </xf>
    <xf numFmtId="0" fontId="41" fillId="30" borderId="0" xfId="0" applyNumberFormat="1" applyFont="1" applyFill="1" applyAlignment="1">
      <alignment vertical="center"/>
    </xf>
    <xf numFmtId="0" fontId="36" fillId="30" borderId="0" xfId="66" applyFont="1" applyFill="1" applyAlignment="1">
      <alignment horizontal="left" vertical="center"/>
    </xf>
    <xf numFmtId="0" fontId="38" fillId="30" borderId="0" xfId="66" applyFont="1" applyFill="1" applyAlignment="1">
      <alignment vertical="center"/>
    </xf>
    <xf numFmtId="0" fontId="38" fillId="30" borderId="0" xfId="0" applyNumberFormat="1" applyFont="1" applyFill="1" applyAlignment="1">
      <alignment vertical="center"/>
    </xf>
    <xf numFmtId="0" fontId="38" fillId="0" borderId="212" xfId="66" applyFont="1" applyBorder="1" applyAlignment="1">
      <alignment horizontal="left" vertical="center" wrapText="1" indent="3"/>
    </xf>
    <xf numFmtId="0" fontId="36" fillId="25" borderId="213" xfId="66" applyFont="1" applyFill="1" applyBorder="1" applyAlignment="1">
      <alignment horizontal="center" vertical="center"/>
    </xf>
    <xf numFmtId="168" fontId="38" fillId="0" borderId="214" xfId="66" applyNumberFormat="1" applyFont="1" applyBorder="1" applyAlignment="1">
      <alignment horizontal="right" vertical="center"/>
    </xf>
    <xf numFmtId="0" fontId="36" fillId="31" borderId="48" xfId="66" applyFont="1" applyFill="1" applyBorder="1" applyAlignment="1">
      <alignment horizontal="left" vertical="center" wrapText="1"/>
    </xf>
    <xf numFmtId="0" fontId="36" fillId="31" borderId="64" xfId="66" applyFont="1" applyFill="1" applyBorder="1" applyAlignment="1">
      <alignment horizontal="center" vertical="center"/>
    </xf>
    <xf numFmtId="168" fontId="38" fillId="31" borderId="190" xfId="66" applyNumberFormat="1" applyFont="1" applyFill="1" applyBorder="1" applyAlignment="1">
      <alignment horizontal="right" vertical="center"/>
    </xf>
    <xf numFmtId="14" fontId="36" fillId="30" borderId="0" xfId="0" applyFont="1" applyFill="1" applyAlignment="1">
      <alignment horizontal="left" vertical="center"/>
    </xf>
    <xf numFmtId="0" fontId="60" fillId="25" borderId="147" xfId="0" applyNumberFormat="1" applyFont="1" applyFill="1" applyBorder="1" applyAlignment="1">
      <alignment horizontal="center" vertical="center"/>
    </xf>
    <xf numFmtId="0" fontId="60" fillId="25" borderId="148" xfId="0" applyNumberFormat="1" applyFont="1" applyFill="1" applyBorder="1" applyAlignment="1">
      <alignment horizontal="center" vertical="center"/>
    </xf>
    <xf numFmtId="0" fontId="60" fillId="25" borderId="152" xfId="0" applyNumberFormat="1" applyFont="1" applyFill="1" applyBorder="1" applyAlignment="1">
      <alignment horizontal="center" vertical="center"/>
    </xf>
    <xf numFmtId="0" fontId="41" fillId="30" borderId="0" xfId="66" applyFont="1" applyFill="1" applyAlignment="1">
      <alignment horizontal="left" vertical="center" wrapText="1"/>
    </xf>
    <xf numFmtId="0" fontId="41" fillId="30" borderId="0" xfId="0" applyNumberFormat="1" applyFont="1" applyFill="1" applyAlignment="1">
      <alignment vertical="center" wrapText="1"/>
    </xf>
    <xf numFmtId="168" fontId="36" fillId="31" borderId="158" xfId="0" applyNumberFormat="1" applyFont="1" applyFill="1" applyBorder="1" applyAlignment="1">
      <alignment vertical="center"/>
    </xf>
    <xf numFmtId="0" fontId="60" fillId="31" borderId="53" xfId="0" applyNumberFormat="1" applyFont="1" applyFill="1" applyBorder="1" applyAlignment="1">
      <alignment horizontal="center" vertical="center"/>
    </xf>
    <xf numFmtId="168" fontId="38" fillId="30" borderId="159" xfId="0" applyNumberFormat="1" applyFont="1" applyFill="1" applyBorder="1" applyAlignment="1">
      <alignment vertical="center"/>
    </xf>
    <xf numFmtId="0" fontId="0" fillId="30" borderId="0" xfId="0" applyNumberFormat="1" applyFill="1" applyAlignment="1"/>
    <xf numFmtId="0" fontId="1" fillId="30" borderId="0" xfId="0" applyNumberFormat="1" applyFont="1" applyFill="1" applyAlignment="1">
      <alignment horizontal="left" vertical="top" wrapText="1"/>
    </xf>
    <xf numFmtId="0" fontId="36" fillId="24" borderId="79" xfId="66" applyFont="1" applyFill="1" applyBorder="1" applyAlignment="1">
      <alignment horizontal="left" vertical="center"/>
    </xf>
    <xf numFmtId="0" fontId="36" fillId="24" borderId="128" xfId="66" applyFont="1" applyFill="1" applyBorder="1" applyAlignment="1">
      <alignment horizontal="center" vertical="center"/>
    </xf>
    <xf numFmtId="165" fontId="41" fillId="24" borderId="52" xfId="0" applyNumberFormat="1" applyFont="1" applyFill="1" applyBorder="1" applyAlignment="1">
      <alignment vertical="center"/>
    </xf>
    <xf numFmtId="49" fontId="42" fillId="26" borderId="82" xfId="0" applyNumberFormat="1" applyFont="1" applyFill="1" applyBorder="1" applyAlignment="1">
      <alignment vertical="center"/>
    </xf>
    <xf numFmtId="0" fontId="42" fillId="26" borderId="52" xfId="0" applyNumberFormat="1" applyFont="1" applyFill="1" applyBorder="1" applyAlignment="1">
      <alignment horizontal="center" vertical="center"/>
    </xf>
    <xf numFmtId="166" fontId="43" fillId="26" borderId="52" xfId="0" applyNumberFormat="1" applyFont="1" applyFill="1" applyBorder="1" applyAlignment="1">
      <alignment horizontal="right" vertical="center"/>
    </xf>
    <xf numFmtId="0" fontId="36" fillId="29" borderId="44" xfId="66" applyFont="1" applyFill="1" applyBorder="1" applyAlignment="1">
      <alignment horizontal="center" vertical="center" wrapText="1"/>
    </xf>
    <xf numFmtId="14" fontId="60" fillId="24" borderId="31" xfId="0" applyFont="1" applyFill="1" applyBorder="1" applyAlignment="1">
      <alignment horizontal="center" vertical="center"/>
    </xf>
    <xf numFmtId="0" fontId="60" fillId="0" borderId="25" xfId="75" applyNumberFormat="1" applyFont="1" applyBorder="1" applyAlignment="1">
      <alignment horizontal="center" vertical="center"/>
    </xf>
    <xf numFmtId="0" fontId="60" fillId="0" borderId="25" xfId="65" applyFont="1" applyBorder="1" applyAlignment="1">
      <alignment horizontal="center" vertical="center"/>
    </xf>
    <xf numFmtId="0" fontId="60" fillId="0" borderId="117" xfId="65" applyFont="1" applyBorder="1" applyAlignment="1">
      <alignment horizontal="center" vertical="center"/>
    </xf>
    <xf numFmtId="14" fontId="60" fillId="0" borderId="34" xfId="75" applyFont="1" applyFill="1" applyBorder="1" applyAlignment="1">
      <alignment horizontal="center" vertical="center"/>
    </xf>
    <xf numFmtId="0" fontId="60" fillId="24" borderId="84" xfId="65" applyFont="1" applyFill="1" applyBorder="1" applyAlignment="1">
      <alignment horizontal="center" vertical="center"/>
    </xf>
    <xf numFmtId="0" fontId="60" fillId="0" borderId="13" xfId="65" applyFont="1" applyBorder="1" applyAlignment="1">
      <alignment horizontal="center" vertical="center"/>
    </xf>
    <xf numFmtId="0" fontId="60" fillId="0" borderId="34" xfId="65" applyFont="1" applyBorder="1" applyAlignment="1">
      <alignment horizontal="center" vertical="center"/>
    </xf>
    <xf numFmtId="0" fontId="60" fillId="29" borderId="81" xfId="0" applyNumberFormat="1" applyFont="1" applyFill="1" applyBorder="1" applyAlignment="1">
      <alignment horizontal="center" vertical="center"/>
    </xf>
    <xf numFmtId="49" fontId="42" fillId="26" borderId="128" xfId="0" applyNumberFormat="1" applyFont="1" applyFill="1" applyBorder="1" applyAlignment="1">
      <alignment vertical="center"/>
    </xf>
    <xf numFmtId="167" fontId="43" fillId="26" borderId="52" xfId="0" applyNumberFormat="1" applyFont="1" applyFill="1" applyBorder="1" applyAlignment="1">
      <alignment horizontal="right" vertical="center"/>
    </xf>
    <xf numFmtId="14" fontId="38" fillId="30" borderId="0" xfId="0" applyFont="1" applyFill="1" applyBorder="1" applyAlignment="1">
      <alignment vertical="center"/>
    </xf>
    <xf numFmtId="14" fontId="36" fillId="30" borderId="0" xfId="0" applyFont="1" applyFill="1" applyBorder="1" applyAlignment="1">
      <alignment horizontal="left" vertical="center"/>
    </xf>
    <xf numFmtId="49" fontId="49" fillId="30" borderId="0" xfId="0" applyNumberFormat="1" applyFont="1" applyFill="1" applyBorder="1" applyAlignment="1">
      <alignment horizontal="center" vertical="center"/>
    </xf>
    <xf numFmtId="167" fontId="43" fillId="30" borderId="0" xfId="0" applyNumberFormat="1" applyFont="1" applyFill="1" applyBorder="1" applyAlignment="1">
      <alignment horizontal="right" vertical="center"/>
    </xf>
    <xf numFmtId="167" fontId="38" fillId="30" borderId="0" xfId="0" applyNumberFormat="1" applyFont="1" applyFill="1" applyBorder="1" applyAlignment="1">
      <alignment horizontal="right" vertical="center"/>
    </xf>
    <xf numFmtId="166" fontId="49" fillId="30" borderId="0" xfId="0" applyNumberFormat="1" applyFont="1" applyFill="1" applyBorder="1" applyAlignment="1">
      <alignment horizontal="right" vertical="center" wrapText="1"/>
    </xf>
    <xf numFmtId="166" fontId="41" fillId="30" borderId="0" xfId="0" applyNumberFormat="1" applyFont="1" applyFill="1" applyBorder="1" applyAlignment="1">
      <alignment horizontal="right" vertical="center" wrapText="1"/>
    </xf>
    <xf numFmtId="166" fontId="38" fillId="30" borderId="0" xfId="0" applyNumberFormat="1" applyFont="1" applyFill="1" applyBorder="1" applyAlignment="1">
      <alignment horizontal="right" vertical="center"/>
    </xf>
    <xf numFmtId="14" fontId="38" fillId="30" borderId="0" xfId="0" applyFont="1" applyFill="1" applyAlignment="1">
      <alignment vertical="center"/>
    </xf>
    <xf numFmtId="14" fontId="36" fillId="30" borderId="0" xfId="0" applyFont="1" applyFill="1" applyAlignment="1">
      <alignment vertical="center"/>
    </xf>
    <xf numFmtId="49" fontId="42" fillId="29" borderId="169" xfId="0" applyNumberFormat="1" applyFont="1" applyFill="1" applyBorder="1" applyAlignment="1">
      <alignment vertical="center"/>
    </xf>
    <xf numFmtId="0" fontId="38" fillId="29" borderId="128" xfId="0" applyNumberFormat="1" applyFont="1" applyFill="1" applyBorder="1" applyAlignment="1">
      <alignment horizontal="center" vertical="center"/>
    </xf>
    <xf numFmtId="166" fontId="43" fillId="29" borderId="52" xfId="0" applyNumberFormat="1" applyFont="1" applyFill="1" applyBorder="1" applyAlignment="1">
      <alignment horizontal="right" vertical="center"/>
    </xf>
    <xf numFmtId="0" fontId="60" fillId="0" borderId="13" xfId="0" applyNumberFormat="1" applyFont="1" applyFill="1" applyBorder="1" applyAlignment="1">
      <alignment horizontal="center" vertical="center"/>
    </xf>
    <xf numFmtId="0" fontId="60" fillId="0" borderId="25" xfId="0" applyNumberFormat="1" applyFont="1" applyFill="1" applyBorder="1" applyAlignment="1">
      <alignment horizontal="center" vertical="center"/>
    </xf>
    <xf numFmtId="0" fontId="60" fillId="0" borderId="34" xfId="0" applyNumberFormat="1" applyFont="1" applyFill="1" applyBorder="1" applyAlignment="1">
      <alignment horizontal="center" vertical="center"/>
    </xf>
    <xf numFmtId="0" fontId="38" fillId="0" borderId="0" xfId="0" applyNumberFormat="1" applyFont="1" applyAlignment="1">
      <alignment vertical="center"/>
    </xf>
    <xf numFmtId="14" fontId="55" fillId="0" borderId="92" xfId="0" applyFont="1" applyFill="1" applyBorder="1" applyAlignment="1" applyProtection="1">
      <alignment horizontal="center" vertical="center" wrapText="1"/>
      <protection locked="0"/>
    </xf>
    <xf numFmtId="14" fontId="55" fillId="0" borderId="26" xfId="0" applyFont="1" applyFill="1" applyBorder="1" applyAlignment="1" applyProtection="1">
      <alignment horizontal="center" vertical="center" wrapText="1"/>
      <protection locked="0"/>
    </xf>
    <xf numFmtId="14" fontId="55" fillId="0" borderId="162" xfId="0" applyFont="1" applyBorder="1" applyAlignment="1" applyProtection="1">
      <alignment horizontal="left" vertical="center" indent="1"/>
      <protection locked="0"/>
    </xf>
    <xf numFmtId="165" fontId="50" fillId="0" borderId="217" xfId="0" applyNumberFormat="1" applyFont="1" applyBorder="1" applyAlignment="1" applyProtection="1">
      <alignment vertical="center"/>
      <protection locked="0"/>
    </xf>
    <xf numFmtId="165" fontId="50" fillId="0" borderId="162" xfId="0" applyNumberFormat="1" applyFont="1" applyBorder="1" applyAlignment="1" applyProtection="1">
      <alignment vertical="center"/>
      <protection locked="0"/>
    </xf>
    <xf numFmtId="165" fontId="50" fillId="0" borderId="218" xfId="0" applyNumberFormat="1" applyFont="1" applyBorder="1" applyAlignment="1" applyProtection="1">
      <alignment vertical="center"/>
      <protection locked="0"/>
    </xf>
    <xf numFmtId="165" fontId="50" fillId="36" borderId="219" xfId="0" applyNumberFormat="1" applyFont="1" applyFill="1" applyBorder="1" applyAlignment="1" applyProtection="1">
      <alignment vertical="center"/>
      <protection locked="0"/>
    </xf>
    <xf numFmtId="164" fontId="50" fillId="36" borderId="112" xfId="0" applyNumberFormat="1" applyFont="1" applyFill="1" applyBorder="1" applyAlignment="1" applyProtection="1">
      <alignment vertical="center"/>
      <protection locked="0"/>
    </xf>
    <xf numFmtId="165" fontId="50" fillId="36" borderId="61" xfId="0" applyNumberFormat="1" applyFont="1" applyFill="1" applyBorder="1" applyAlignment="1" applyProtection="1">
      <alignment vertical="center"/>
      <protection locked="0"/>
    </xf>
    <xf numFmtId="14" fontId="55" fillId="0" borderId="23" xfId="0" applyFont="1" applyBorder="1" applyAlignment="1" applyProtection="1">
      <alignment horizontal="left" vertical="center" indent="1"/>
      <protection locked="0"/>
    </xf>
    <xf numFmtId="14" fontId="50" fillId="0" borderId="24" xfId="0" applyFont="1" applyBorder="1" applyAlignment="1" applyProtection="1">
      <alignment horizontal="center" vertical="center"/>
      <protection locked="0"/>
    </xf>
    <xf numFmtId="164" fontId="50" fillId="0" borderId="22" xfId="0" applyNumberFormat="1" applyFont="1" applyBorder="1" applyAlignment="1" applyProtection="1">
      <alignment vertical="center"/>
      <protection locked="0"/>
    </xf>
    <xf numFmtId="164" fontId="50" fillId="0" borderId="23" xfId="0" applyNumberFormat="1" applyFont="1" applyBorder="1" applyAlignment="1" applyProtection="1">
      <alignment vertical="center"/>
      <protection locked="0"/>
    </xf>
    <xf numFmtId="164" fontId="50" fillId="0" borderId="180" xfId="0" applyNumberFormat="1" applyFont="1" applyBorder="1" applyAlignment="1" applyProtection="1">
      <alignment vertical="center"/>
      <protection locked="0"/>
    </xf>
    <xf numFmtId="14" fontId="55" fillId="36" borderId="35" xfId="0" applyFont="1" applyFill="1" applyBorder="1" applyAlignment="1" applyProtection="1">
      <alignment horizontal="left" vertical="center" indent="1"/>
      <protection locked="0"/>
    </xf>
    <xf numFmtId="14" fontId="50" fillId="36" borderId="36" xfId="0" applyFont="1" applyFill="1" applyBorder="1" applyAlignment="1" applyProtection="1">
      <alignment horizontal="center" vertical="center"/>
      <protection locked="0"/>
    </xf>
    <xf numFmtId="165" fontId="50" fillId="36" borderId="34" xfId="0" applyNumberFormat="1" applyFont="1" applyFill="1" applyBorder="1" applyAlignment="1" applyProtection="1">
      <alignment vertical="center"/>
      <protection locked="0"/>
    </xf>
    <xf numFmtId="165" fontId="50" fillId="36" borderId="35" xfId="0" applyNumberFormat="1" applyFont="1" applyFill="1" applyBorder="1" applyAlignment="1" applyProtection="1">
      <alignment vertical="center"/>
      <protection locked="0"/>
    </xf>
    <xf numFmtId="0" fontId="41" fillId="30" borderId="0" xfId="0" applyNumberFormat="1" applyFont="1" applyFill="1" applyAlignment="1"/>
    <xf numFmtId="14" fontId="0" fillId="30" borderId="0" xfId="0" applyFill="1">
      <alignment vertical="center"/>
    </xf>
    <xf numFmtId="14" fontId="49" fillId="30" borderId="0" xfId="0" applyFont="1" applyFill="1" applyAlignment="1" applyProtection="1">
      <alignment vertical="center"/>
      <protection locked="0"/>
    </xf>
    <xf numFmtId="14" fontId="41" fillId="30" borderId="0" xfId="0" applyFont="1" applyFill="1" applyAlignment="1" applyProtection="1">
      <alignment vertical="center"/>
      <protection locked="0"/>
    </xf>
    <xf numFmtId="14" fontId="55" fillId="30" borderId="0" xfId="0" applyFont="1" applyFill="1" applyAlignment="1" applyProtection="1">
      <alignment vertical="center"/>
      <protection locked="0"/>
    </xf>
    <xf numFmtId="14" fontId="55" fillId="30" borderId="0" xfId="0" applyFont="1" applyFill="1">
      <alignment vertical="center"/>
    </xf>
    <xf numFmtId="14" fontId="72" fillId="30" borderId="0" xfId="0" applyFont="1" applyFill="1" applyAlignment="1" applyProtection="1">
      <alignment horizontal="right" vertical="center"/>
      <protection locked="0"/>
    </xf>
    <xf numFmtId="14" fontId="55" fillId="30" borderId="0" xfId="0" applyFont="1" applyFill="1" applyAlignment="1">
      <alignment horizontal="left" vertical="center"/>
    </xf>
    <xf numFmtId="0" fontId="60" fillId="0" borderId="34" xfId="0" applyNumberFormat="1" applyFont="1" applyFill="1" applyBorder="1" applyAlignment="1" applyProtection="1">
      <alignment horizontal="center" vertical="center"/>
      <protection locked="0"/>
    </xf>
    <xf numFmtId="0" fontId="60" fillId="0" borderId="36" xfId="0" applyNumberFormat="1" applyFont="1" applyFill="1" applyBorder="1" applyAlignment="1" applyProtection="1">
      <alignment horizontal="center" vertical="center"/>
      <protection locked="0"/>
    </xf>
    <xf numFmtId="0" fontId="60" fillId="0" borderId="94" xfId="0" applyNumberFormat="1" applyFont="1" applyFill="1" applyBorder="1" applyAlignment="1" applyProtection="1">
      <alignment horizontal="center" vertical="center"/>
      <protection locked="0"/>
    </xf>
    <xf numFmtId="0" fontId="60" fillId="0" borderId="35" xfId="0" applyNumberFormat="1" applyFont="1" applyFill="1" applyBorder="1" applyAlignment="1" applyProtection="1">
      <alignment horizontal="center" vertical="center"/>
      <protection locked="0"/>
    </xf>
    <xf numFmtId="0" fontId="60" fillId="0" borderId="61" xfId="0" applyNumberFormat="1" applyFont="1" applyFill="1" applyBorder="1" applyAlignment="1" applyProtection="1">
      <alignment horizontal="center" vertical="center"/>
      <protection locked="0"/>
    </xf>
    <xf numFmtId="0" fontId="60" fillId="0" borderId="162" xfId="0" applyNumberFormat="1" applyFont="1" applyBorder="1" applyAlignment="1" applyProtection="1">
      <alignment horizontal="center" vertical="center"/>
      <protection locked="0"/>
    </xf>
    <xf numFmtId="0" fontId="60" fillId="0" borderId="23" xfId="0" applyNumberFormat="1" applyFont="1" applyBorder="1" applyAlignment="1" applyProtection="1">
      <alignment horizontal="center" vertical="center"/>
      <protection locked="0"/>
    </xf>
    <xf numFmtId="0" fontId="60" fillId="36" borderId="35" xfId="0" applyNumberFormat="1" applyFont="1" applyFill="1" applyBorder="1" applyAlignment="1" applyProtection="1">
      <alignment horizontal="center" vertical="center"/>
      <protection locked="0"/>
    </xf>
    <xf numFmtId="0" fontId="36" fillId="30" borderId="0" xfId="66" applyFont="1" applyFill="1" applyAlignment="1">
      <alignment vertical="center"/>
    </xf>
    <xf numFmtId="0" fontId="41" fillId="25" borderId="0" xfId="0" applyNumberFormat="1" applyFont="1" applyFill="1" applyAlignment="1">
      <alignment vertical="center"/>
    </xf>
    <xf numFmtId="0" fontId="36" fillId="25" borderId="0" xfId="66" applyFont="1" applyFill="1" applyAlignment="1">
      <alignment vertical="center"/>
    </xf>
    <xf numFmtId="0" fontId="60" fillId="0" borderId="220" xfId="66" applyFont="1" applyFill="1" applyBorder="1" applyAlignment="1">
      <alignment horizontal="center" vertical="center" wrapText="1"/>
    </xf>
    <xf numFmtId="0" fontId="36" fillId="26" borderId="122" xfId="66" applyFont="1" applyFill="1" applyBorder="1" applyAlignment="1">
      <alignment horizontal="center" vertical="center" wrapText="1"/>
    </xf>
    <xf numFmtId="164" fontId="47" fillId="25" borderId="221" xfId="0" applyNumberFormat="1" applyFont="1" applyFill="1" applyBorder="1" applyAlignment="1">
      <alignment vertical="center"/>
    </xf>
    <xf numFmtId="164" fontId="47" fillId="24" borderId="39" xfId="0" applyNumberFormat="1" applyFont="1" applyFill="1" applyBorder="1" applyAlignment="1">
      <alignment vertical="center"/>
    </xf>
    <xf numFmtId="164" fontId="50" fillId="24" borderId="39" xfId="0" applyNumberFormat="1" applyFont="1" applyFill="1" applyBorder="1" applyAlignment="1">
      <alignment vertical="center"/>
    </xf>
    <xf numFmtId="164" fontId="47" fillId="25" borderId="167" xfId="0" applyNumberFormat="1" applyFont="1" applyFill="1" applyBorder="1" applyAlignment="1">
      <alignment horizontal="right" vertical="center"/>
    </xf>
    <xf numFmtId="164" fontId="47" fillId="25" borderId="222" xfId="0" applyNumberFormat="1" applyFont="1" applyFill="1" applyBorder="1" applyAlignment="1">
      <alignment horizontal="right" vertical="center"/>
    </xf>
    <xf numFmtId="14" fontId="47" fillId="25" borderId="15" xfId="0" applyFont="1" applyFill="1" applyBorder="1" applyAlignment="1">
      <alignment horizontal="center" vertical="center"/>
    </xf>
    <xf numFmtId="14" fontId="47" fillId="24" borderId="27" xfId="0" applyFont="1" applyFill="1" applyBorder="1" applyAlignment="1">
      <alignment horizontal="center" vertical="center"/>
    </xf>
    <xf numFmtId="14" fontId="47" fillId="25" borderId="18" xfId="0" applyFont="1" applyFill="1" applyBorder="1" applyAlignment="1">
      <alignment horizontal="center" vertical="center"/>
    </xf>
    <xf numFmtId="14" fontId="47" fillId="25" borderId="24" xfId="0" applyFont="1" applyFill="1" applyBorder="1" applyAlignment="1">
      <alignment horizontal="center" vertical="center"/>
    </xf>
    <xf numFmtId="14" fontId="47" fillId="25" borderId="54" xfId="0" applyFont="1" applyFill="1" applyBorder="1" applyAlignment="1">
      <alignment vertical="center"/>
    </xf>
    <xf numFmtId="14" fontId="47" fillId="25" borderId="171" xfId="0" applyFont="1" applyFill="1" applyBorder="1" applyAlignment="1">
      <alignment horizontal="left" vertical="center" indent="2"/>
    </xf>
    <xf numFmtId="14" fontId="47" fillId="25" borderId="175" xfId="0" applyFont="1" applyFill="1" applyBorder="1" applyAlignment="1">
      <alignment horizontal="left" vertical="center" indent="2"/>
    </xf>
    <xf numFmtId="0" fontId="73" fillId="30" borderId="224" xfId="0" applyNumberFormat="1" applyFont="1" applyFill="1" applyBorder="1" applyAlignment="1">
      <alignment horizontal="center" vertical="center"/>
    </xf>
    <xf numFmtId="0" fontId="73" fillId="24" borderId="50" xfId="0" applyNumberFormat="1" applyFont="1" applyFill="1" applyBorder="1" applyAlignment="1">
      <alignment horizontal="center" vertical="center"/>
    </xf>
    <xf numFmtId="0" fontId="73" fillId="25" borderId="166" xfId="0" applyNumberFormat="1" applyFont="1" applyFill="1" applyBorder="1" applyAlignment="1">
      <alignment horizontal="center" vertical="center"/>
    </xf>
    <xf numFmtId="0" fontId="73" fillId="25" borderId="226" xfId="0" applyNumberFormat="1" applyFont="1" applyFill="1" applyBorder="1" applyAlignment="1">
      <alignment horizontal="center" vertical="center"/>
    </xf>
    <xf numFmtId="0" fontId="45" fillId="30" borderId="0" xfId="47" applyFont="1" applyFill="1" applyAlignment="1" applyProtection="1">
      <alignment vertical="center"/>
    </xf>
    <xf numFmtId="0" fontId="41" fillId="25" borderId="0" xfId="66" applyFont="1" applyFill="1" applyAlignment="1">
      <alignment horizontal="right" vertical="top"/>
    </xf>
    <xf numFmtId="0" fontId="36" fillId="25" borderId="0" xfId="69" applyFont="1" applyFill="1" applyBorder="1" applyAlignment="1">
      <alignment horizontal="left" vertical="center"/>
    </xf>
    <xf numFmtId="0" fontId="41" fillId="30" borderId="0" xfId="0" applyNumberFormat="1" applyFont="1" applyFill="1" applyAlignment="1">
      <alignment horizontal="right" vertical="center"/>
    </xf>
    <xf numFmtId="0" fontId="38" fillId="30" borderId="0" xfId="66" applyFont="1" applyFill="1" applyAlignment="1">
      <alignment horizontal="right" vertical="center"/>
    </xf>
    <xf numFmtId="0" fontId="36" fillId="26" borderId="122" xfId="0" applyNumberFormat="1" applyFont="1" applyFill="1" applyBorder="1" applyAlignment="1">
      <alignment horizontal="center" vertical="center"/>
    </xf>
    <xf numFmtId="0" fontId="38" fillId="0" borderId="37" xfId="0" applyNumberFormat="1" applyFont="1" applyBorder="1" applyAlignment="1">
      <alignment horizontal="center" vertical="center"/>
    </xf>
    <xf numFmtId="0" fontId="38" fillId="0" borderId="40" xfId="0" applyNumberFormat="1" applyFont="1" applyBorder="1" applyAlignment="1">
      <alignment horizontal="center" vertical="center"/>
    </xf>
    <xf numFmtId="14" fontId="36" fillId="26" borderId="121" xfId="0" applyNumberFormat="1" applyFont="1" applyFill="1" applyBorder="1" applyAlignment="1">
      <alignment horizontal="center" vertical="center"/>
    </xf>
    <xf numFmtId="0" fontId="0" fillId="0" borderId="0" xfId="0" applyNumberFormat="1" applyAlignment="1"/>
    <xf numFmtId="0" fontId="60" fillId="37" borderId="13" xfId="0" applyNumberFormat="1" applyFont="1" applyFill="1" applyBorder="1" applyAlignment="1">
      <alignment horizontal="center" vertical="center"/>
    </xf>
    <xf numFmtId="0" fontId="36" fillId="37" borderId="89" xfId="0" applyNumberFormat="1" applyFont="1" applyFill="1" applyBorder="1" applyAlignment="1">
      <alignment horizontal="left" vertical="center"/>
    </xf>
    <xf numFmtId="0" fontId="38" fillId="37" borderId="15" xfId="0" applyNumberFormat="1" applyFont="1" applyFill="1" applyBorder="1" applyAlignment="1">
      <alignment horizontal="center" vertical="center"/>
    </xf>
    <xf numFmtId="166" fontId="38" fillId="37" borderId="88" xfId="0" applyNumberFormat="1" applyFont="1" applyFill="1" applyBorder="1" applyAlignment="1">
      <alignment vertical="center"/>
    </xf>
    <xf numFmtId="0" fontId="60" fillId="38" borderId="25" xfId="0" applyNumberFormat="1" applyFont="1" applyFill="1" applyBorder="1" applyAlignment="1">
      <alignment horizontal="center" vertical="center"/>
    </xf>
    <xf numFmtId="0" fontId="36" fillId="38" borderId="92" xfId="0" applyNumberFormat="1" applyFont="1" applyFill="1" applyBorder="1" applyAlignment="1">
      <alignment horizontal="left" vertical="center" indent="1"/>
    </xf>
    <xf numFmtId="0" fontId="38" fillId="38" borderId="27" xfId="0" applyNumberFormat="1" applyFont="1" applyFill="1" applyBorder="1" applyAlignment="1">
      <alignment horizontal="center" vertical="center"/>
    </xf>
    <xf numFmtId="166" fontId="38" fillId="38" borderId="44" xfId="0" applyNumberFormat="1" applyFont="1" applyFill="1" applyBorder="1" applyAlignment="1">
      <alignment vertical="center"/>
    </xf>
    <xf numFmtId="0" fontId="36" fillId="38" borderId="92" xfId="0" applyNumberFormat="1" applyFont="1" applyFill="1" applyBorder="1" applyAlignment="1">
      <alignment horizontal="left" vertical="center" wrapText="1" indent="1"/>
    </xf>
    <xf numFmtId="0" fontId="60" fillId="39" borderId="34" xfId="0" applyNumberFormat="1" applyFont="1" applyFill="1" applyBorder="1" applyAlignment="1">
      <alignment horizontal="center" vertical="center"/>
    </xf>
    <xf numFmtId="0" fontId="36" fillId="39" borderId="94" xfId="0" applyNumberFormat="1" applyFont="1" applyFill="1" applyBorder="1" applyAlignment="1">
      <alignment horizontal="left" vertical="center" wrapText="1"/>
    </xf>
    <xf numFmtId="0" fontId="38" fillId="39" borderId="36" xfId="0" applyNumberFormat="1" applyFont="1" applyFill="1" applyBorder="1" applyAlignment="1">
      <alignment horizontal="center" vertical="center"/>
    </xf>
    <xf numFmtId="166" fontId="38" fillId="39" borderId="61" xfId="0" applyNumberFormat="1" applyFont="1" applyFill="1" applyBorder="1" applyAlignment="1">
      <alignment vertical="center"/>
    </xf>
    <xf numFmtId="0" fontId="43" fillId="30" borderId="0" xfId="66" applyFont="1" applyFill="1" applyAlignment="1">
      <alignment vertical="center"/>
    </xf>
    <xf numFmtId="0" fontId="0" fillId="0" borderId="0" xfId="0" applyNumberFormat="1" applyAlignment="1">
      <alignment vertical="center"/>
    </xf>
    <xf numFmtId="0" fontId="41" fillId="25" borderId="0" xfId="66" applyFont="1" applyFill="1" applyAlignment="1">
      <alignment horizontal="left" vertical="justify" wrapText="1"/>
    </xf>
    <xf numFmtId="0" fontId="0" fillId="0" borderId="0" xfId="0" applyNumberFormat="1" applyAlignment="1"/>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88" xfId="69" applyFont="1" applyFill="1" applyBorder="1" applyAlignment="1">
      <alignment horizontal="right" vertical="center" wrapText="1"/>
    </xf>
    <xf numFmtId="0" fontId="0" fillId="0" borderId="0" xfId="0" applyNumberFormat="1" applyAlignment="1">
      <alignment vertical="top"/>
    </xf>
    <xf numFmtId="0" fontId="36" fillId="0" borderId="29" xfId="66" applyFont="1" applyBorder="1" applyAlignment="1">
      <alignment horizontal="left" vertical="center" indent="9"/>
    </xf>
    <xf numFmtId="0" fontId="36" fillId="26" borderId="88" xfId="66" applyFont="1" applyFill="1" applyBorder="1" applyAlignment="1">
      <alignment horizontal="center" vertical="center" wrapText="1"/>
    </xf>
    <xf numFmtId="0" fontId="39" fillId="0" borderId="38" xfId="47" applyNumberFormat="1" applyFont="1" applyBorder="1" applyAlignment="1" applyProtection="1">
      <alignment vertical="center"/>
    </xf>
    <xf numFmtId="0" fontId="39" fillId="0" borderId="41" xfId="47" applyNumberFormat="1" applyFont="1" applyBorder="1" applyAlignment="1" applyProtection="1">
      <alignment vertical="center"/>
    </xf>
    <xf numFmtId="0" fontId="39" fillId="0" borderId="38" xfId="47" applyNumberFormat="1" applyBorder="1" applyAlignment="1" applyProtection="1">
      <alignment vertical="center"/>
    </xf>
    <xf numFmtId="0" fontId="0" fillId="25" borderId="0" xfId="0" applyNumberFormat="1" applyFont="1" applyFill="1" applyAlignment="1"/>
    <xf numFmtId="0" fontId="56" fillId="30" borderId="0" xfId="66" applyFont="1" applyFill="1" applyAlignment="1">
      <alignment horizontal="right" vertical="top"/>
    </xf>
    <xf numFmtId="0" fontId="56" fillId="25" borderId="0" xfId="0" applyNumberFormat="1" applyFont="1" applyFill="1" applyAlignment="1">
      <alignment horizontal="right" vertical="top"/>
    </xf>
    <xf numFmtId="0" fontId="0" fillId="0" borderId="0" xfId="0" applyNumberFormat="1" applyFont="1" applyAlignment="1">
      <alignment vertical="center"/>
    </xf>
    <xf numFmtId="0" fontId="56" fillId="30" borderId="0" xfId="66" applyFont="1" applyFill="1" applyAlignment="1">
      <alignment horizontal="right" vertical="center"/>
    </xf>
    <xf numFmtId="0" fontId="60" fillId="30" borderId="0" xfId="66" applyFont="1" applyFill="1" applyAlignment="1">
      <alignment horizontal="left" vertical="center" wrapText="1"/>
    </xf>
    <xf numFmtId="0" fontId="56" fillId="30" borderId="0" xfId="66" applyFont="1" applyFill="1" applyAlignment="1">
      <alignment horizontal="right" vertical="top" wrapText="1"/>
    </xf>
    <xf numFmtId="14" fontId="48" fillId="30" borderId="0" xfId="47" applyNumberFormat="1" applyFont="1" applyFill="1" applyAlignment="1" applyProtection="1">
      <alignment vertical="center"/>
    </xf>
    <xf numFmtId="0" fontId="0" fillId="30" borderId="0" xfId="0" applyNumberFormat="1" applyFont="1" applyFill="1" applyAlignment="1">
      <alignment vertical="center"/>
    </xf>
    <xf numFmtId="0" fontId="56" fillId="25" borderId="0" xfId="66" applyFont="1" applyFill="1" applyAlignment="1">
      <alignment horizontal="right" vertical="top"/>
    </xf>
    <xf numFmtId="166" fontId="41" fillId="30" borderId="0" xfId="66" applyNumberFormat="1" applyFont="1" applyFill="1" applyBorder="1"/>
    <xf numFmtId="0" fontId="41" fillId="30" borderId="0" xfId="66" applyFont="1" applyFill="1" applyAlignment="1">
      <alignment horizontal="justify" vertical="top"/>
    </xf>
    <xf numFmtId="0" fontId="36" fillId="30" borderId="0" xfId="66" applyFont="1" applyFill="1" applyBorder="1" applyAlignment="1">
      <alignment horizontal="center" vertical="center" wrapText="1"/>
    </xf>
    <xf numFmtId="0" fontId="41" fillId="30" borderId="0" xfId="66" applyFont="1" applyFill="1" applyBorder="1" applyAlignment="1">
      <alignment horizontal="center" vertical="center" wrapText="1"/>
    </xf>
    <xf numFmtId="0" fontId="36" fillId="30" borderId="0" xfId="66" applyFont="1" applyFill="1" applyBorder="1" applyAlignment="1">
      <alignment horizontal="center" vertical="center"/>
    </xf>
    <xf numFmtId="49" fontId="56" fillId="30" borderId="0" xfId="66" applyNumberFormat="1" applyFont="1" applyFill="1" applyBorder="1" applyAlignment="1">
      <alignment horizontal="center" vertical="center"/>
    </xf>
    <xf numFmtId="166" fontId="42" fillId="30" borderId="0" xfId="66" applyNumberFormat="1" applyFont="1" applyFill="1" applyBorder="1" applyAlignment="1">
      <alignment horizontal="center" vertical="center"/>
    </xf>
    <xf numFmtId="166" fontId="55" fillId="30" borderId="0" xfId="66" applyNumberFormat="1" applyFont="1" applyFill="1" applyBorder="1" applyAlignment="1"/>
    <xf numFmtId="166" fontId="50" fillId="30" borderId="0" xfId="66" applyNumberFormat="1" applyFont="1" applyFill="1" applyBorder="1" applyAlignment="1"/>
    <xf numFmtId="0" fontId="41" fillId="30" borderId="0" xfId="66" applyFont="1" applyFill="1" applyBorder="1" applyAlignment="1">
      <alignment horizontal="justify" vertical="top"/>
    </xf>
    <xf numFmtId="0" fontId="41" fillId="30" borderId="0" xfId="71" applyFont="1" applyFill="1"/>
    <xf numFmtId="166" fontId="41" fillId="30" borderId="0" xfId="66" applyNumberFormat="1" applyFont="1" applyFill="1" applyBorder="1" applyAlignment="1"/>
    <xf numFmtId="166" fontId="38" fillId="30" borderId="0" xfId="66" applyNumberFormat="1" applyFont="1" applyFill="1" applyBorder="1" applyAlignment="1"/>
    <xf numFmtId="0" fontId="41" fillId="30" borderId="0" xfId="66" applyFont="1" applyFill="1" applyBorder="1" applyAlignment="1"/>
    <xf numFmtId="0" fontId="36" fillId="30" borderId="0" xfId="66" applyFont="1" applyFill="1" applyBorder="1" applyAlignment="1">
      <alignment horizontal="left" vertical="top" wrapText="1"/>
    </xf>
    <xf numFmtId="0" fontId="38" fillId="30" borderId="0" xfId="66" applyFont="1" applyFill="1" applyAlignment="1"/>
    <xf numFmtId="0" fontId="38" fillId="30" borderId="0" xfId="66" applyFont="1" applyFill="1"/>
    <xf numFmtId="0" fontId="41" fillId="30" borderId="0" xfId="59" applyNumberFormat="1" applyFont="1" applyFill="1" applyAlignment="1"/>
    <xf numFmtId="0" fontId="41" fillId="30" borderId="0" xfId="66" applyFont="1" applyFill="1" applyAlignment="1"/>
    <xf numFmtId="0" fontId="41" fillId="30" borderId="0" xfId="66" applyFont="1" applyFill="1"/>
    <xf numFmtId="0" fontId="41" fillId="0" borderId="0" xfId="71" applyFont="1" applyFill="1"/>
    <xf numFmtId="0" fontId="41" fillId="0" borderId="0" xfId="0" applyNumberFormat="1" applyFont="1" applyFill="1" applyAlignment="1">
      <alignment wrapText="1"/>
    </xf>
    <xf numFmtId="0" fontId="0" fillId="0" borderId="0" xfId="0" applyNumberFormat="1" applyFill="1" applyAlignment="1"/>
    <xf numFmtId="0" fontId="41" fillId="30" borderId="0" xfId="0" applyNumberFormat="1" applyFont="1" applyFill="1" applyAlignment="1">
      <alignment wrapText="1"/>
    </xf>
    <xf numFmtId="0" fontId="36" fillId="30" borderId="0" xfId="66" applyFont="1" applyFill="1" applyAlignment="1">
      <alignment horizontal="right" vertical="top"/>
    </xf>
    <xf numFmtId="0" fontId="38" fillId="30" borderId="0" xfId="66" applyFont="1" applyFill="1" applyBorder="1" applyAlignment="1">
      <alignment vertical="top"/>
    </xf>
    <xf numFmtId="0" fontId="56" fillId="30" borderId="0" xfId="66" applyFont="1" applyFill="1" applyAlignment="1">
      <alignment horizontal="justify" vertical="top"/>
    </xf>
    <xf numFmtId="0" fontId="41" fillId="30" borderId="0" xfId="66" applyFont="1" applyFill="1" applyAlignment="1">
      <alignment vertical="top"/>
    </xf>
    <xf numFmtId="0" fontId="56" fillId="30" borderId="0" xfId="66" applyFont="1" applyFill="1"/>
    <xf numFmtId="0" fontId="38" fillId="30" borderId="0" xfId="66" applyFont="1" applyFill="1" applyBorder="1" applyAlignment="1"/>
    <xf numFmtId="0" fontId="36" fillId="30" borderId="0" xfId="66" applyFont="1" applyFill="1" applyAlignment="1">
      <alignment horizontal="left" vertical="top"/>
    </xf>
    <xf numFmtId="0" fontId="36" fillId="30" borderId="0" xfId="66" applyFont="1" applyFill="1" applyAlignment="1"/>
    <xf numFmtId="0" fontId="36" fillId="30" borderId="0" xfId="66" applyFont="1" applyFill="1" applyAlignment="1">
      <alignment horizontal="center" vertical="center" wrapText="1"/>
    </xf>
    <xf numFmtId="49" fontId="56" fillId="30" borderId="0" xfId="66" applyNumberFormat="1" applyFont="1" applyFill="1" applyAlignment="1">
      <alignment horizontal="center" vertical="center"/>
    </xf>
    <xf numFmtId="0" fontId="41" fillId="30" borderId="0" xfId="66" applyFont="1" applyFill="1" applyAlignment="1">
      <alignment horizontal="left" vertical="justify" wrapText="1"/>
    </xf>
    <xf numFmtId="0" fontId="41" fillId="30" borderId="0" xfId="68" applyFont="1" applyFill="1" applyAlignment="1">
      <alignment horizontal="left" vertical="center"/>
    </xf>
    <xf numFmtId="0" fontId="38" fillId="30" borderId="0" xfId="69" applyFont="1" applyFill="1" applyAlignment="1">
      <alignment horizontal="right" vertical="top"/>
    </xf>
    <xf numFmtId="0" fontId="38" fillId="30" borderId="0" xfId="69" applyFont="1" applyFill="1"/>
    <xf numFmtId="0" fontId="36" fillId="30" borderId="0" xfId="68" applyFont="1" applyFill="1" applyAlignment="1">
      <alignment horizontal="left" vertical="center"/>
    </xf>
    <xf numFmtId="0" fontId="41" fillId="30" borderId="0" xfId="61" applyNumberFormat="1" applyFont="1" applyFill="1" applyAlignment="1"/>
    <xf numFmtId="0" fontId="49" fillId="30" borderId="0" xfId="68" applyFont="1" applyFill="1" applyAlignment="1">
      <alignment horizontal="center" vertical="center" wrapText="1"/>
    </xf>
    <xf numFmtId="49" fontId="49" fillId="30" borderId="0" xfId="68" applyNumberFormat="1" applyFont="1" applyFill="1" applyAlignment="1">
      <alignment horizontal="center" vertical="center" wrapText="1"/>
    </xf>
    <xf numFmtId="49" fontId="49" fillId="30" borderId="0" xfId="68" applyNumberFormat="1" applyFont="1" applyFill="1" applyAlignment="1">
      <alignment horizontal="left" vertical="center" wrapText="1"/>
    </xf>
    <xf numFmtId="0" fontId="55" fillId="30" borderId="0" xfId="68" applyFont="1" applyFill="1" applyAlignment="1">
      <alignment horizontal="left" vertical="center" wrapText="1"/>
    </xf>
    <xf numFmtId="0" fontId="41" fillId="30" borderId="0" xfId="68" applyFont="1" applyFill="1" applyAlignment="1">
      <alignment horizontal="left" vertical="center" wrapText="1"/>
    </xf>
    <xf numFmtId="0" fontId="41" fillId="30" borderId="0" xfId="61" applyNumberFormat="1" applyFont="1" applyFill="1" applyBorder="1" applyAlignment="1">
      <alignment horizontal="center" vertical="center" wrapText="1"/>
    </xf>
    <xf numFmtId="0" fontId="55" fillId="30" borderId="0" xfId="68" applyFont="1" applyFill="1" applyBorder="1" applyAlignment="1">
      <alignment horizontal="left" vertical="center" wrapText="1"/>
    </xf>
    <xf numFmtId="0" fontId="41" fillId="30" borderId="0" xfId="68" applyFont="1" applyFill="1" applyBorder="1" applyAlignment="1">
      <alignment horizontal="left" vertical="center" wrapText="1"/>
    </xf>
    <xf numFmtId="0" fontId="41" fillId="30" borderId="0" xfId="59" applyNumberFormat="1" applyFont="1" applyFill="1" applyBorder="1" applyAlignment="1"/>
    <xf numFmtId="49" fontId="49" fillId="30" borderId="0" xfId="68" applyNumberFormat="1" applyFont="1" applyFill="1" applyBorder="1" applyAlignment="1">
      <alignment horizontal="center" vertical="center" wrapText="1"/>
    </xf>
    <xf numFmtId="49" fontId="49" fillId="30" borderId="0" xfId="68" applyNumberFormat="1" applyFont="1" applyFill="1" applyBorder="1" applyAlignment="1">
      <alignment horizontal="left" vertical="center" wrapText="1"/>
    </xf>
    <xf numFmtId="2" fontId="49" fillId="30" borderId="0" xfId="68" applyNumberFormat="1" applyFont="1" applyFill="1" applyBorder="1" applyAlignment="1">
      <alignment horizontal="left" vertical="center" wrapText="1"/>
    </xf>
    <xf numFmtId="2" fontId="41" fillId="30" borderId="0" xfId="68" applyNumberFormat="1" applyFont="1" applyFill="1" applyBorder="1" applyAlignment="1">
      <alignment horizontal="left" vertical="center" wrapText="1"/>
    </xf>
    <xf numFmtId="166" fontId="55" fillId="30" borderId="0" xfId="68" applyNumberFormat="1" applyFont="1" applyFill="1" applyBorder="1" applyAlignment="1">
      <alignment horizontal="left" vertical="center" wrapText="1"/>
    </xf>
    <xf numFmtId="0" fontId="56" fillId="30" borderId="0" xfId="69" applyFont="1" applyFill="1" applyAlignment="1">
      <alignment horizontal="right" vertical="top"/>
    </xf>
    <xf numFmtId="0" fontId="38" fillId="30" borderId="0" xfId="69" applyFont="1" applyFill="1" applyBorder="1"/>
    <xf numFmtId="0" fontId="38" fillId="30" borderId="0" xfId="69" applyFont="1" applyFill="1" applyBorder="1" applyAlignment="1">
      <alignment horizontal="center" wrapText="1"/>
    </xf>
    <xf numFmtId="0" fontId="38" fillId="30" borderId="0" xfId="69" applyFont="1" applyFill="1" applyBorder="1" applyAlignment="1">
      <alignment horizontal="center" vertical="center"/>
    </xf>
    <xf numFmtId="0" fontId="38" fillId="30" borderId="0" xfId="69" applyFont="1" applyFill="1" applyBorder="1" applyAlignment="1">
      <alignment vertical="center" wrapText="1"/>
    </xf>
    <xf numFmtId="0" fontId="38" fillId="30" borderId="0" xfId="69" applyFont="1" applyFill="1" applyBorder="1" applyAlignment="1">
      <alignment wrapText="1"/>
    </xf>
    <xf numFmtId="0" fontId="38" fillId="30" borderId="0" xfId="69" applyFont="1" applyFill="1" applyAlignment="1">
      <alignment wrapText="1"/>
    </xf>
    <xf numFmtId="0" fontId="38" fillId="30" borderId="0" xfId="66" applyFont="1" applyFill="1" applyBorder="1"/>
    <xf numFmtId="0" fontId="41" fillId="30" borderId="0" xfId="0" applyNumberFormat="1" applyFont="1" applyFill="1" applyAlignment="1">
      <alignment vertical="justify"/>
    </xf>
    <xf numFmtId="0" fontId="38" fillId="30" borderId="0" xfId="69" applyFont="1" applyFill="1" applyAlignment="1"/>
    <xf numFmtId="0" fontId="36" fillId="30" borderId="0" xfId="69" applyFont="1" applyFill="1"/>
    <xf numFmtId="0" fontId="36" fillId="30" borderId="0" xfId="69" applyFont="1" applyFill="1" applyBorder="1" applyAlignment="1">
      <alignment horizontal="left" vertical="center"/>
    </xf>
    <xf numFmtId="0" fontId="36" fillId="30" borderId="0" xfId="69" applyFont="1" applyFill="1" applyAlignment="1">
      <alignment horizontal="center" wrapText="1"/>
    </xf>
    <xf numFmtId="0" fontId="36" fillId="30" borderId="0" xfId="69" applyFont="1" applyFill="1" applyAlignment="1">
      <alignment horizontal="center" vertical="center"/>
    </xf>
    <xf numFmtId="0" fontId="36" fillId="30" borderId="0" xfId="69" applyFont="1" applyFill="1" applyAlignment="1">
      <alignment vertical="center"/>
    </xf>
    <xf numFmtId="0" fontId="36" fillId="30" borderId="0" xfId="69" applyFont="1" applyFill="1" applyAlignment="1">
      <alignment wrapText="1"/>
    </xf>
    <xf numFmtId="0" fontId="36" fillId="30" borderId="0" xfId="69" applyFont="1" applyFill="1" applyAlignment="1"/>
    <xf numFmtId="0" fontId="56" fillId="30" borderId="0" xfId="66" applyFont="1" applyFill="1" applyBorder="1" applyAlignment="1">
      <alignment horizontal="right" vertical="top"/>
    </xf>
    <xf numFmtId="0" fontId="56" fillId="30" borderId="0" xfId="69" applyFont="1" applyFill="1" applyBorder="1" applyAlignment="1">
      <alignment horizontal="right" vertical="top"/>
    </xf>
    <xf numFmtId="0" fontId="38" fillId="30" borderId="0" xfId="69" applyFont="1" applyFill="1" applyAlignment="1">
      <alignment horizontal="center" vertical="center"/>
    </xf>
    <xf numFmtId="0" fontId="38" fillId="30" borderId="0" xfId="69" applyFont="1" applyFill="1" applyAlignment="1">
      <alignment horizontal="center"/>
    </xf>
    <xf numFmtId="0" fontId="38" fillId="30" borderId="0" xfId="69" applyFont="1" applyFill="1" applyAlignment="1">
      <alignment horizontal="center" vertical="center" wrapText="1"/>
    </xf>
    <xf numFmtId="0" fontId="38" fillId="30" borderId="0" xfId="69" applyFont="1" applyFill="1" applyAlignment="1">
      <alignment horizontal="right" vertical="center"/>
    </xf>
    <xf numFmtId="0" fontId="38" fillId="30" borderId="0" xfId="69" applyFont="1" applyFill="1" applyAlignment="1">
      <alignment horizontal="right" vertical="center" wrapText="1"/>
    </xf>
    <xf numFmtId="0" fontId="36" fillId="30" borderId="0" xfId="69" applyFont="1" applyFill="1" applyAlignment="1">
      <alignment horizontal="center"/>
    </xf>
    <xf numFmtId="0" fontId="38" fillId="30" borderId="0" xfId="69" applyFont="1" applyFill="1" applyAlignment="1">
      <alignment horizontal="center" wrapText="1"/>
    </xf>
    <xf numFmtId="0" fontId="38" fillId="30" borderId="0" xfId="69" applyFont="1" applyFill="1" applyAlignment="1">
      <alignment vertical="center" wrapText="1"/>
    </xf>
    <xf numFmtId="14" fontId="48" fillId="30" borderId="0" xfId="47" applyNumberFormat="1" applyFont="1" applyFill="1" applyBorder="1" applyAlignment="1" applyProtection="1"/>
    <xf numFmtId="14" fontId="39" fillId="30" borderId="0" xfId="47" applyNumberFormat="1" applyFill="1" applyBorder="1" applyAlignment="1" applyProtection="1"/>
    <xf numFmtId="14" fontId="39" fillId="25" borderId="0" xfId="47" applyNumberFormat="1" applyFill="1" applyAlignment="1" applyProtection="1">
      <alignment vertical="center"/>
    </xf>
    <xf numFmtId="0" fontId="39" fillId="30" borderId="0" xfId="47" applyNumberFormat="1" applyFill="1" applyAlignment="1" applyProtection="1">
      <alignment vertical="center"/>
    </xf>
    <xf numFmtId="0" fontId="39" fillId="30" borderId="0" xfId="47" applyFill="1" applyAlignment="1" applyProtection="1">
      <alignment vertical="center"/>
    </xf>
    <xf numFmtId="14" fontId="39" fillId="30" borderId="0" xfId="47" applyNumberFormat="1" applyFill="1" applyAlignment="1" applyProtection="1">
      <alignment vertical="center"/>
    </xf>
    <xf numFmtId="14" fontId="39" fillId="25" borderId="0" xfId="47" applyNumberFormat="1" applyFill="1" applyAlignment="1" applyProtection="1"/>
    <xf numFmtId="14" fontId="39" fillId="30" borderId="0" xfId="47" applyNumberFormat="1" applyFill="1" applyAlignment="1" applyProtection="1"/>
    <xf numFmtId="0" fontId="43" fillId="30" borderId="0" xfId="66" applyFont="1" applyFill="1" applyBorder="1" applyAlignment="1">
      <alignment vertical="center"/>
    </xf>
    <xf numFmtId="0" fontId="56" fillId="30" borderId="0" xfId="0" applyNumberFormat="1" applyFont="1" applyFill="1" applyAlignment="1">
      <alignment horizontal="left" vertical="top"/>
    </xf>
    <xf numFmtId="0" fontId="56" fillId="30" borderId="0" xfId="0" applyNumberFormat="1" applyFont="1" applyFill="1" applyAlignment="1">
      <alignment vertical="top"/>
    </xf>
    <xf numFmtId="0" fontId="56" fillId="30" borderId="0" xfId="69" applyFont="1" applyFill="1" applyAlignment="1">
      <alignment vertical="top"/>
    </xf>
    <xf numFmtId="0" fontId="0" fillId="30" borderId="0" xfId="0" applyNumberFormat="1" applyFill="1" applyAlignment="1">
      <alignment vertical="top"/>
    </xf>
    <xf numFmtId="0" fontId="56" fillId="30" borderId="0" xfId="69" applyFont="1" applyFill="1" applyAlignment="1">
      <alignment horizontal="right"/>
    </xf>
    <xf numFmtId="0" fontId="39" fillId="25" borderId="39" xfId="47" applyNumberFormat="1" applyFill="1" applyBorder="1" applyAlignment="1" applyProtection="1">
      <alignment vertical="center"/>
    </xf>
    <xf numFmtId="0" fontId="56" fillId="25" borderId="0" xfId="69" applyFont="1" applyFill="1" applyAlignment="1">
      <alignment horizontal="right" vertical="top"/>
    </xf>
    <xf numFmtId="0" fontId="36" fillId="30" borderId="0" xfId="70" applyFont="1" applyFill="1" applyAlignment="1">
      <alignment horizontal="left" vertical="top"/>
    </xf>
    <xf numFmtId="0" fontId="36" fillId="30" borderId="0" xfId="70" applyFont="1" applyFill="1" applyAlignment="1">
      <alignment vertical="top"/>
    </xf>
    <xf numFmtId="0" fontId="39" fillId="30" borderId="0" xfId="47" applyFill="1" applyAlignment="1" applyProtection="1"/>
    <xf numFmtId="0" fontId="38" fillId="30" borderId="0" xfId="70" applyFont="1" applyFill="1"/>
    <xf numFmtId="0" fontId="52" fillId="30" borderId="0" xfId="70" applyFont="1" applyFill="1" applyBorder="1" applyAlignment="1">
      <alignment horizontal="center" vertical="center"/>
    </xf>
    <xf numFmtId="0" fontId="53" fillId="30" borderId="0" xfId="70" applyFont="1" applyFill="1"/>
    <xf numFmtId="0" fontId="56" fillId="30" borderId="0" xfId="70" applyFont="1" applyFill="1" applyBorder="1" applyAlignment="1">
      <alignment horizontal="right" vertical="center"/>
    </xf>
    <xf numFmtId="0" fontId="56" fillId="30" borderId="0" xfId="70" applyFont="1" applyFill="1" applyBorder="1" applyAlignment="1">
      <alignment horizontal="left" vertical="center"/>
    </xf>
    <xf numFmtId="0" fontId="75" fillId="30" borderId="0" xfId="70" applyFont="1" applyFill="1" applyBorder="1" applyAlignment="1">
      <alignment horizontal="center" vertical="center"/>
    </xf>
    <xf numFmtId="0" fontId="38" fillId="30" borderId="0" xfId="70" applyFont="1" applyFill="1" applyBorder="1" applyAlignment="1">
      <alignment horizontal="right" vertical="center"/>
    </xf>
    <xf numFmtId="0" fontId="38" fillId="30" borderId="0" xfId="70" applyFont="1" applyFill="1" applyBorder="1" applyAlignment="1">
      <alignment horizontal="left" vertical="center"/>
    </xf>
    <xf numFmtId="0" fontId="36" fillId="30" borderId="0" xfId="70" applyFont="1" applyFill="1" applyAlignment="1">
      <alignment vertical="center"/>
    </xf>
    <xf numFmtId="0" fontId="38" fillId="30" borderId="0" xfId="70" applyFont="1" applyFill="1" applyBorder="1"/>
    <xf numFmtId="0" fontId="54" fillId="30" borderId="0" xfId="70" applyFont="1" applyFill="1" applyBorder="1" applyAlignment="1">
      <alignment horizontal="center" vertical="center"/>
    </xf>
    <xf numFmtId="0" fontId="38" fillId="30" borderId="0" xfId="0" applyNumberFormat="1" applyFont="1" applyFill="1" applyAlignment="1"/>
    <xf numFmtId="14" fontId="56" fillId="25" borderId="0" xfId="47" applyNumberFormat="1" applyFont="1" applyFill="1" applyAlignment="1" applyProtection="1">
      <alignment vertical="top"/>
    </xf>
    <xf numFmtId="0" fontId="36" fillId="30" borderId="0" xfId="66" applyFont="1" applyFill="1" applyAlignment="1">
      <alignment vertical="top"/>
    </xf>
    <xf numFmtId="0" fontId="38" fillId="30" borderId="0" xfId="66" applyFont="1" applyFill="1" applyAlignment="1">
      <alignment horizontal="right"/>
    </xf>
    <xf numFmtId="0" fontId="0" fillId="30" borderId="124" xfId="0" applyNumberFormat="1" applyFill="1" applyBorder="1" applyAlignment="1"/>
    <xf numFmtId="0" fontId="36" fillId="30" borderId="0" xfId="0" applyNumberFormat="1" applyFont="1" applyFill="1" applyAlignment="1">
      <alignment vertical="center"/>
    </xf>
    <xf numFmtId="0" fontId="56" fillId="30" borderId="0" xfId="0" applyNumberFormat="1" applyFont="1" applyFill="1" applyAlignment="1">
      <alignment horizontal="right" vertical="top"/>
    </xf>
    <xf numFmtId="0" fontId="42" fillId="29" borderId="169" xfId="0" applyNumberFormat="1" applyFont="1" applyFill="1" applyBorder="1" applyAlignment="1">
      <alignment vertical="center"/>
    </xf>
    <xf numFmtId="0" fontId="60" fillId="0" borderId="11" xfId="62" applyNumberFormat="1" applyFont="1" applyBorder="1" applyAlignment="1">
      <alignment horizontal="center" vertical="center"/>
    </xf>
    <xf numFmtId="0" fontId="60" fillId="0" borderId="35" xfId="0" applyNumberFormat="1" applyFont="1" applyFill="1" applyBorder="1" applyAlignment="1" applyProtection="1">
      <alignment horizontal="center" vertical="center"/>
      <protection locked="0"/>
    </xf>
    <xf numFmtId="166" fontId="36" fillId="34" borderId="87" xfId="75" applyNumberFormat="1" applyFont="1" applyFill="1" applyBorder="1" applyAlignment="1">
      <alignment horizontal="right" vertical="center"/>
    </xf>
    <xf numFmtId="49" fontId="38" fillId="34" borderId="0" xfId="75" applyNumberFormat="1" applyFont="1" applyFill="1" applyBorder="1" applyAlignment="1">
      <alignment horizontal="center" vertical="center"/>
    </xf>
    <xf numFmtId="49" fontId="36" fillId="34" borderId="0" xfId="75" applyNumberFormat="1" applyFont="1" applyFill="1" applyBorder="1" applyAlignment="1">
      <alignment horizontal="center" vertical="center"/>
    </xf>
    <xf numFmtId="49" fontId="38" fillId="34" borderId="62" xfId="75" applyNumberFormat="1" applyFont="1" applyFill="1" applyBorder="1" applyAlignment="1">
      <alignment horizontal="center" vertical="center"/>
    </xf>
    <xf numFmtId="14" fontId="36" fillId="0" borderId="92" xfId="75" applyFont="1" applyFill="1" applyBorder="1" applyAlignment="1">
      <alignment horizontal="center" vertical="center" wrapText="1"/>
    </xf>
    <xf numFmtId="168" fontId="36" fillId="33" borderId="10" xfId="75" applyNumberFormat="1" applyFont="1" applyFill="1" applyBorder="1" applyAlignment="1">
      <alignment horizontal="right" vertical="center"/>
    </xf>
    <xf numFmtId="168" fontId="36" fillId="33" borderId="11" xfId="75" applyNumberFormat="1" applyFont="1" applyFill="1" applyBorder="1" applyAlignment="1">
      <alignment horizontal="right" vertical="center"/>
    </xf>
    <xf numFmtId="168" fontId="38" fillId="0" borderId="13" xfId="75" applyNumberFormat="1" applyFont="1" applyFill="1" applyBorder="1" applyAlignment="1">
      <alignment horizontal="right" vertical="center"/>
    </xf>
    <xf numFmtId="168" fontId="38" fillId="0" borderId="14" xfId="75" applyNumberFormat="1" applyFont="1" applyFill="1" applyBorder="1" applyAlignment="1">
      <alignment horizontal="right" vertical="center"/>
    </xf>
    <xf numFmtId="168" fontId="38" fillId="0" borderId="117" xfId="75" applyNumberFormat="1" applyFont="1" applyFill="1" applyBorder="1" applyAlignment="1">
      <alignment horizontal="right" vertical="center"/>
    </xf>
    <xf numFmtId="164" fontId="36" fillId="33" borderId="10" xfId="75" applyNumberFormat="1" applyFont="1" applyFill="1" applyBorder="1" applyAlignment="1">
      <alignment horizontal="right" vertical="center"/>
    </xf>
    <xf numFmtId="164" fontId="36" fillId="33" borderId="11" xfId="75" applyNumberFormat="1" applyFont="1" applyFill="1" applyBorder="1" applyAlignment="1">
      <alignment horizontal="right" vertical="center"/>
    </xf>
    <xf numFmtId="164" fontId="38" fillId="0" borderId="25" xfId="75" applyNumberFormat="1" applyFont="1" applyFill="1" applyBorder="1" applyAlignment="1">
      <alignment vertical="center"/>
    </xf>
    <xf numFmtId="164" fontId="38" fillId="0" borderId="26" xfId="75" applyNumberFormat="1" applyFont="1" applyFill="1" applyBorder="1" applyAlignment="1">
      <alignment vertical="center"/>
    </xf>
    <xf numFmtId="164" fontId="36" fillId="33" borderId="10" xfId="75" applyNumberFormat="1" applyFont="1" applyFill="1" applyBorder="1" applyAlignment="1">
      <alignment vertical="center"/>
    </xf>
    <xf numFmtId="164" fontId="36" fillId="33" borderId="11" xfId="75" applyNumberFormat="1" applyFont="1" applyFill="1" applyBorder="1" applyAlignment="1">
      <alignment vertical="center"/>
    </xf>
    <xf numFmtId="164" fontId="38" fillId="0" borderId="95" xfId="75" applyNumberFormat="1" applyFont="1" applyFill="1" applyBorder="1" applyAlignment="1">
      <alignment vertical="center"/>
    </xf>
    <xf numFmtId="164" fontId="38" fillId="0" borderId="34" xfId="75" applyNumberFormat="1" applyFont="1" applyFill="1" applyBorder="1" applyAlignment="1">
      <alignment vertical="center"/>
    </xf>
    <xf numFmtId="0" fontId="76" fillId="0" borderId="34" xfId="0" applyNumberFormat="1" applyFont="1" applyBorder="1" applyAlignment="1">
      <alignment horizontal="center" vertical="center"/>
    </xf>
    <xf numFmtId="0" fontId="76" fillId="0" borderId="35" xfId="0" applyNumberFormat="1" applyFont="1" applyBorder="1" applyAlignment="1">
      <alignment horizontal="center" vertical="center"/>
    </xf>
    <xf numFmtId="0" fontId="76" fillId="0" borderId="94" xfId="0" quotePrefix="1" applyNumberFormat="1" applyFont="1" applyBorder="1" applyAlignment="1">
      <alignment horizontal="center" vertical="center"/>
    </xf>
    <xf numFmtId="0" fontId="76" fillId="0" borderId="181" xfId="75" applyNumberFormat="1" applyFont="1" applyFill="1" applyBorder="1" applyAlignment="1">
      <alignment horizontal="center" vertical="center"/>
    </xf>
    <xf numFmtId="164" fontId="38" fillId="0" borderId="97" xfId="75" applyNumberFormat="1" applyFont="1" applyFill="1" applyBorder="1" applyAlignment="1">
      <alignment vertical="center"/>
    </xf>
    <xf numFmtId="164" fontId="38" fillId="0" borderId="92" xfId="75" applyNumberFormat="1" applyFont="1" applyFill="1" applyBorder="1" applyAlignment="1">
      <alignment vertical="center"/>
    </xf>
    <xf numFmtId="0" fontId="76" fillId="0" borderId="36" xfId="0" applyNumberFormat="1" applyFont="1" applyBorder="1" applyAlignment="1">
      <alignment horizontal="center" vertical="center"/>
    </xf>
    <xf numFmtId="166" fontId="36" fillId="34" borderId="71" xfId="75" applyNumberFormat="1" applyFont="1" applyFill="1" applyBorder="1" applyAlignment="1">
      <alignment horizontal="right" vertical="center"/>
    </xf>
    <xf numFmtId="0" fontId="73" fillId="25" borderId="51" xfId="0" applyNumberFormat="1" applyFont="1" applyFill="1" applyBorder="1" applyAlignment="1">
      <alignment horizontal="center" vertical="center"/>
    </xf>
    <xf numFmtId="164" fontId="47" fillId="25" borderId="49" xfId="0" applyNumberFormat="1" applyFont="1" applyFill="1" applyBorder="1" applyAlignment="1">
      <alignment horizontal="right" vertical="center"/>
    </xf>
    <xf numFmtId="0" fontId="73" fillId="25" borderId="228" xfId="0" applyNumberFormat="1" applyFont="1" applyFill="1" applyBorder="1" applyAlignment="1">
      <alignment horizontal="center" vertical="center"/>
    </xf>
    <xf numFmtId="14" fontId="47" fillId="25" borderId="204" xfId="0" applyFont="1" applyFill="1" applyBorder="1" applyAlignment="1">
      <alignment horizontal="left" vertical="center" indent="2"/>
    </xf>
    <xf numFmtId="14" fontId="47" fillId="25" borderId="120" xfId="0" applyFont="1" applyFill="1" applyBorder="1" applyAlignment="1">
      <alignment horizontal="center" vertical="center"/>
    </xf>
    <xf numFmtId="164" fontId="47" fillId="25" borderId="229" xfId="0" applyNumberFormat="1" applyFont="1" applyFill="1" applyBorder="1" applyAlignment="1">
      <alignment horizontal="right" vertical="center"/>
    </xf>
    <xf numFmtId="0" fontId="73" fillId="25" borderId="148" xfId="0" applyNumberFormat="1" applyFont="1" applyFill="1" applyBorder="1" applyAlignment="1">
      <alignment horizontal="center" vertical="center"/>
    </xf>
    <xf numFmtId="14" fontId="47" fillId="25" borderId="173" xfId="0" applyFont="1" applyFill="1" applyBorder="1" applyAlignment="1">
      <alignment horizontal="left" vertical="center" indent="2"/>
    </xf>
    <xf numFmtId="14" fontId="47" fillId="25" borderId="21" xfId="0" applyFont="1" applyFill="1" applyBorder="1" applyAlignment="1">
      <alignment horizontal="center" vertical="center"/>
    </xf>
    <xf numFmtId="164" fontId="47" fillId="25" borderId="155" xfId="0" applyNumberFormat="1" applyFont="1" applyFill="1" applyBorder="1" applyAlignment="1">
      <alignment horizontal="right" vertical="center"/>
    </xf>
    <xf numFmtId="0" fontId="73" fillId="25" borderId="152" xfId="0" applyNumberFormat="1" applyFont="1" applyFill="1" applyBorder="1" applyAlignment="1">
      <alignment horizontal="center" vertical="center"/>
    </xf>
    <xf numFmtId="14" fontId="47" fillId="25" borderId="230" xfId="0" applyFont="1" applyFill="1" applyBorder="1" applyAlignment="1">
      <alignment horizontal="left" vertical="center" indent="2"/>
    </xf>
    <xf numFmtId="14" fontId="47" fillId="25" borderId="133" xfId="0" applyFont="1" applyFill="1" applyBorder="1" applyAlignment="1">
      <alignment horizontal="center" vertical="center"/>
    </xf>
    <xf numFmtId="164" fontId="47" fillId="25" borderId="156" xfId="0" applyNumberFormat="1" applyFont="1" applyFill="1" applyBorder="1" applyAlignment="1">
      <alignment horizontal="right" vertical="center"/>
    </xf>
    <xf numFmtId="165" fontId="50" fillId="36" borderId="181" xfId="0" applyNumberFormat="1" applyFont="1" applyFill="1" applyBorder="1" applyAlignment="1" applyProtection="1">
      <alignment vertical="center"/>
      <protection locked="0"/>
    </xf>
    <xf numFmtId="165" fontId="50" fillId="0" borderId="231" xfId="0" applyNumberFormat="1" applyFont="1" applyBorder="1" applyAlignment="1" applyProtection="1">
      <alignment vertical="center"/>
      <protection locked="0"/>
    </xf>
    <xf numFmtId="164" fontId="50" fillId="0" borderId="175" xfId="0" applyNumberFormat="1" applyFont="1" applyBorder="1" applyAlignment="1" applyProtection="1">
      <alignment vertical="center"/>
      <protection locked="0"/>
    </xf>
    <xf numFmtId="14" fontId="55" fillId="0" borderId="69" xfId="0" applyFont="1" applyBorder="1" applyAlignment="1" applyProtection="1">
      <alignment horizontal="center" vertical="center"/>
      <protection locked="0"/>
    </xf>
    <xf numFmtId="0" fontId="60" fillId="0" borderId="181" xfId="0" applyNumberFormat="1" applyFont="1" applyFill="1" applyBorder="1" applyAlignment="1" applyProtection="1">
      <alignment horizontal="center" vertical="center"/>
      <protection locked="0"/>
    </xf>
    <xf numFmtId="0" fontId="73" fillId="25" borderId="149" xfId="0" applyNumberFormat="1" applyFont="1" applyFill="1" applyBorder="1" applyAlignment="1">
      <alignment horizontal="center" vertical="center"/>
    </xf>
    <xf numFmtId="14" fontId="47" fillId="25" borderId="232" xfId="0" applyFont="1" applyFill="1" applyBorder="1" applyAlignment="1">
      <alignment horizontal="left" vertical="center" indent="2"/>
    </xf>
    <xf numFmtId="14" fontId="47" fillId="25" borderId="151" xfId="0" applyFont="1" applyFill="1" applyBorder="1" applyAlignment="1">
      <alignment horizontal="center" vertical="center"/>
    </xf>
    <xf numFmtId="164" fontId="47" fillId="25" borderId="159" xfId="0" applyNumberFormat="1" applyFont="1" applyFill="1" applyBorder="1" applyAlignment="1">
      <alignment horizontal="right" vertical="center"/>
    </xf>
    <xf numFmtId="164" fontId="50" fillId="30" borderId="233" xfId="0" applyNumberFormat="1" applyFont="1" applyFill="1" applyBorder="1" applyAlignment="1">
      <alignment vertical="center"/>
    </xf>
    <xf numFmtId="49" fontId="73" fillId="25" borderId="225" xfId="0" applyNumberFormat="1" applyFont="1" applyFill="1" applyBorder="1" applyAlignment="1">
      <alignment horizontal="center" vertical="center"/>
    </xf>
    <xf numFmtId="49" fontId="73" fillId="24" borderId="50" xfId="0" applyNumberFormat="1" applyFont="1" applyFill="1" applyBorder="1" applyAlignment="1">
      <alignment horizontal="center" vertical="center"/>
    </xf>
    <xf numFmtId="49" fontId="73" fillId="25" borderId="166" xfId="0" applyNumberFormat="1" applyFont="1" applyFill="1" applyBorder="1" applyAlignment="1">
      <alignment horizontal="center" vertical="center"/>
    </xf>
    <xf numFmtId="49" fontId="73" fillId="25" borderId="226" xfId="0" applyNumberFormat="1" applyFont="1" applyFill="1" applyBorder="1" applyAlignment="1">
      <alignment horizontal="center" vertical="center"/>
    </xf>
    <xf numFmtId="14" fontId="44" fillId="25" borderId="0" xfId="75" applyFont="1" applyFill="1" applyAlignment="1">
      <alignment horizontal="center" vertical="top" wrapText="1"/>
    </xf>
    <xf numFmtId="14" fontId="39" fillId="0" borderId="38" xfId="47" applyNumberFormat="1" applyBorder="1" applyAlignment="1" applyProtection="1">
      <alignment vertical="center"/>
    </xf>
    <xf numFmtId="14" fontId="44" fillId="25" borderId="0" xfId="75" applyFont="1" applyFill="1" applyAlignment="1">
      <alignment horizontal="left" vertical="top" wrapText="1"/>
    </xf>
    <xf numFmtId="0" fontId="44" fillId="25" borderId="0" xfId="0" applyNumberFormat="1" applyFont="1" applyFill="1" applyAlignment="1">
      <alignment horizontal="justify" vertical="top" wrapText="1"/>
    </xf>
    <xf numFmtId="14" fontId="44" fillId="24" borderId="125" xfId="75" applyFont="1" applyFill="1" applyBorder="1" applyAlignment="1"/>
    <xf numFmtId="14" fontId="44" fillId="0" borderId="126" xfId="75" applyFont="1" applyBorder="1" applyAlignment="1"/>
    <xf numFmtId="14" fontId="44" fillId="0" borderId="127" xfId="75" applyFont="1" applyBorder="1" applyAlignment="1"/>
    <xf numFmtId="14" fontId="40" fillId="24" borderId="125" xfId="75" applyFont="1" applyFill="1" applyBorder="1" applyAlignment="1">
      <alignment horizontal="center" vertical="top" wrapText="1"/>
    </xf>
    <xf numFmtId="14" fontId="40" fillId="24" borderId="126" xfId="75" applyFont="1" applyFill="1" applyBorder="1" applyAlignment="1">
      <alignment horizontal="center" vertical="top" wrapText="1"/>
    </xf>
    <xf numFmtId="14" fontId="40" fillId="24" borderId="127" xfId="75" applyFont="1" applyFill="1" applyBorder="1" applyAlignment="1">
      <alignment horizontal="center" vertical="top" wrapText="1"/>
    </xf>
    <xf numFmtId="0" fontId="44" fillId="25" borderId="0" xfId="0" applyNumberFormat="1" applyFont="1" applyFill="1" applyAlignment="1">
      <alignment vertical="top" wrapText="1"/>
    </xf>
    <xf numFmtId="0" fontId="44" fillId="25" borderId="0" xfId="0" applyNumberFormat="1" applyFont="1" applyFill="1" applyAlignment="1">
      <alignment wrapText="1"/>
    </xf>
    <xf numFmtId="0" fontId="44" fillId="0" borderId="0" xfId="0" applyNumberFormat="1" applyFont="1" applyAlignment="1">
      <alignment horizontal="justify" vertical="top" wrapText="1"/>
    </xf>
    <xf numFmtId="0" fontId="0" fillId="0" borderId="0" xfId="0" applyNumberFormat="1" applyAlignment="1">
      <alignment vertical="top" wrapText="1"/>
    </xf>
    <xf numFmtId="14" fontId="40" fillId="25" borderId="0" xfId="75" applyFont="1" applyFill="1" applyAlignment="1">
      <alignment horizontal="center" vertical="top" wrapText="1"/>
    </xf>
    <xf numFmtId="0" fontId="60" fillId="0" borderId="60" xfId="0" applyNumberFormat="1" applyFont="1" applyBorder="1" applyAlignment="1">
      <alignment horizontal="center" vertical="center"/>
    </xf>
    <xf numFmtId="0" fontId="60" fillId="0" borderId="181" xfId="0" applyNumberFormat="1" applyFont="1" applyBorder="1" applyAlignment="1">
      <alignment horizontal="center" vertical="center"/>
    </xf>
    <xf numFmtId="14" fontId="36" fillId="29" borderId="95" xfId="0" applyFont="1" applyFill="1" applyBorder="1" applyAlignment="1">
      <alignment horizontal="center" vertical="center"/>
    </xf>
    <xf numFmtId="14" fontId="36" fillId="29" borderId="25" xfId="0" applyFont="1" applyFill="1" applyBorder="1" applyAlignment="1">
      <alignment horizontal="center" vertical="center"/>
    </xf>
    <xf numFmtId="14" fontId="36" fillId="29" borderId="96" xfId="0" applyFont="1" applyFill="1" applyBorder="1" applyAlignment="1">
      <alignment horizontal="center" vertical="center"/>
    </xf>
    <xf numFmtId="14" fontId="36" fillId="29" borderId="68" xfId="0" applyFont="1" applyFill="1" applyBorder="1" applyAlignment="1">
      <alignment horizontal="center" vertical="center"/>
    </xf>
    <xf numFmtId="14" fontId="36" fillId="29" borderId="98" xfId="0" applyFont="1" applyFill="1" applyBorder="1" applyAlignment="1">
      <alignment horizontal="center" vertical="center"/>
    </xf>
    <xf numFmtId="14" fontId="36" fillId="29" borderId="69" xfId="0" applyFont="1" applyFill="1" applyBorder="1" applyAlignment="1">
      <alignment horizontal="center" vertical="center"/>
    </xf>
    <xf numFmtId="14" fontId="56" fillId="25" borderId="0" xfId="0" applyFont="1" applyFill="1" applyBorder="1" applyAlignment="1">
      <alignment vertical="top"/>
    </xf>
    <xf numFmtId="14" fontId="56" fillId="25" borderId="0" xfId="0" applyFont="1" applyFill="1" applyBorder="1" applyAlignment="1">
      <alignment vertical="top" wrapText="1"/>
    </xf>
    <xf numFmtId="14" fontId="49" fillId="25" borderId="0" xfId="0" applyFont="1" applyFill="1" applyBorder="1" applyAlignment="1">
      <alignment horizontal="center" vertical="center" wrapText="1"/>
    </xf>
    <xf numFmtId="0" fontId="60" fillId="0" borderId="99" xfId="0" applyNumberFormat="1" applyFont="1" applyBorder="1" applyAlignment="1">
      <alignment horizontal="center" vertical="center"/>
    </xf>
    <xf numFmtId="14" fontId="36" fillId="29" borderId="59" xfId="0" applyFont="1" applyFill="1" applyBorder="1" applyAlignment="1">
      <alignment horizontal="center" vertical="center"/>
    </xf>
    <xf numFmtId="14" fontId="36" fillId="29" borderId="55" xfId="0" applyFont="1" applyFill="1" applyBorder="1" applyAlignment="1">
      <alignment horizontal="center" vertical="center"/>
    </xf>
    <xf numFmtId="0" fontId="43" fillId="30" borderId="0" xfId="66" applyFont="1" applyFill="1" applyAlignment="1">
      <alignment vertical="center"/>
    </xf>
    <xf numFmtId="0" fontId="0" fillId="0" borderId="0" xfId="0" applyNumberFormat="1" applyAlignment="1">
      <alignment vertical="center"/>
    </xf>
    <xf numFmtId="0" fontId="56" fillId="30" borderId="0" xfId="66" applyFont="1" applyFill="1" applyBorder="1" applyAlignment="1">
      <alignment horizontal="left" vertical="top" wrapText="1"/>
    </xf>
    <xf numFmtId="0" fontId="56" fillId="0" borderId="0" xfId="0" applyNumberFormat="1" applyFont="1" applyAlignment="1">
      <alignment horizontal="left" vertical="top" wrapText="1"/>
    </xf>
    <xf numFmtId="0" fontId="41" fillId="30" borderId="0" xfId="66" applyFont="1" applyFill="1" applyBorder="1" applyAlignment="1">
      <alignment horizontal="left" vertical="top" wrapText="1"/>
    </xf>
    <xf numFmtId="0" fontId="0" fillId="0" borderId="0" xfId="0" applyNumberFormat="1" applyAlignment="1">
      <alignment horizontal="left" vertical="top" wrapText="1"/>
    </xf>
    <xf numFmtId="0" fontId="36" fillId="29" borderId="66" xfId="0" applyNumberFormat="1" applyFont="1" applyFill="1" applyBorder="1" applyAlignment="1">
      <alignment horizontal="center" vertical="center" wrapText="1"/>
    </xf>
    <xf numFmtId="0" fontId="0" fillId="0" borderId="65" xfId="0" applyNumberFormat="1" applyBorder="1" applyAlignment="1">
      <alignment vertical="center"/>
    </xf>
    <xf numFmtId="14" fontId="36" fillId="29" borderId="208" xfId="0" applyFont="1" applyFill="1" applyBorder="1" applyAlignment="1">
      <alignment horizontal="center" vertical="center"/>
    </xf>
    <xf numFmtId="14" fontId="36" fillId="29" borderId="209" xfId="0" applyFont="1" applyFill="1" applyBorder="1" applyAlignment="1">
      <alignment horizontal="center" vertical="center"/>
    </xf>
    <xf numFmtId="0" fontId="60" fillId="0" borderId="107" xfId="66" applyNumberFormat="1" applyFont="1" applyBorder="1" applyAlignment="1">
      <alignment horizontal="center" vertical="center"/>
    </xf>
    <xf numFmtId="0" fontId="68" fillId="0" borderId="181" xfId="0" applyNumberFormat="1" applyFont="1" applyBorder="1" applyAlignment="1">
      <alignment horizontal="center" vertical="center"/>
    </xf>
    <xf numFmtId="14" fontId="36" fillId="29" borderId="160" xfId="0" applyFont="1" applyFill="1" applyBorder="1" applyAlignment="1">
      <alignment horizontal="center" vertical="center"/>
    </xf>
    <xf numFmtId="14" fontId="36" fillId="29" borderId="50" xfId="0" applyFont="1" applyFill="1" applyBorder="1" applyAlignment="1">
      <alignment horizontal="center" vertical="center"/>
    </xf>
    <xf numFmtId="0" fontId="56" fillId="30" borderId="0" xfId="0" applyNumberFormat="1" applyFont="1" applyFill="1" applyAlignment="1">
      <alignment horizontal="left" vertical="top" wrapText="1"/>
    </xf>
    <xf numFmtId="0" fontId="74" fillId="30" borderId="0" xfId="66" applyFont="1" applyFill="1" applyAlignment="1">
      <alignment horizontal="left" wrapText="1"/>
    </xf>
    <xf numFmtId="0" fontId="56" fillId="30" borderId="0" xfId="0" applyNumberFormat="1" applyFont="1" applyFill="1" applyAlignment="1">
      <alignment wrapText="1"/>
    </xf>
    <xf numFmtId="0" fontId="56" fillId="30" borderId="0" xfId="0" applyNumberFormat="1" applyFont="1" applyFill="1" applyAlignment="1">
      <alignment horizontal="left" vertical="center" wrapText="1"/>
    </xf>
    <xf numFmtId="14" fontId="36" fillId="29" borderId="121" xfId="66" applyNumberFormat="1" applyFont="1" applyFill="1" applyBorder="1" applyAlignment="1">
      <alignment horizontal="center" vertical="center" wrapText="1"/>
    </xf>
    <xf numFmtId="0" fontId="36" fillId="29" borderId="37" xfId="66" applyNumberFormat="1" applyFont="1" applyFill="1" applyBorder="1" applyAlignment="1">
      <alignment horizontal="center" vertical="center" wrapText="1"/>
    </xf>
    <xf numFmtId="14" fontId="36" fillId="29" borderId="215" xfId="66" applyNumberFormat="1" applyFont="1" applyFill="1" applyBorder="1" applyAlignment="1">
      <alignment horizontal="center" vertical="center" wrapText="1"/>
    </xf>
    <xf numFmtId="0" fontId="65" fillId="29" borderId="209" xfId="0" applyNumberFormat="1" applyFont="1" applyFill="1" applyBorder="1" applyAlignment="1">
      <alignment horizontal="center" vertical="center" wrapText="1"/>
    </xf>
    <xf numFmtId="0" fontId="36" fillId="29" borderId="43" xfId="66" applyNumberFormat="1" applyFont="1" applyFill="1" applyBorder="1" applyAlignment="1">
      <alignment horizontal="center" vertical="center" wrapText="1"/>
    </xf>
    <xf numFmtId="0" fontId="65" fillId="29" borderId="69" xfId="0" applyNumberFormat="1" applyFont="1" applyFill="1" applyBorder="1" applyAlignment="1">
      <alignment horizontal="center" vertical="center" wrapText="1"/>
    </xf>
    <xf numFmtId="0" fontId="36" fillId="26" borderId="160" xfId="0" applyNumberFormat="1" applyFont="1" applyFill="1" applyBorder="1" applyAlignment="1">
      <alignment horizontal="center" vertical="center"/>
    </xf>
    <xf numFmtId="0" fontId="65" fillId="0" borderId="50" xfId="0" applyNumberFormat="1" applyFont="1" applyBorder="1" applyAlignment="1">
      <alignment horizontal="center" vertical="center"/>
    </xf>
    <xf numFmtId="0" fontId="36" fillId="26" borderId="208" xfId="0" applyNumberFormat="1" applyFont="1" applyFill="1" applyBorder="1" applyAlignment="1">
      <alignment horizontal="center" vertical="center"/>
    </xf>
    <xf numFmtId="0" fontId="65" fillId="0" borderId="209" xfId="0" applyNumberFormat="1" applyFont="1" applyBorder="1" applyAlignment="1">
      <alignment horizontal="center" vertical="center"/>
    </xf>
    <xf numFmtId="0" fontId="65" fillId="0" borderId="98" xfId="0" applyNumberFormat="1" applyFont="1" applyBorder="1" applyAlignment="1">
      <alignment horizontal="center" vertical="center"/>
    </xf>
    <xf numFmtId="0" fontId="65" fillId="0" borderId="69" xfId="0" applyNumberFormat="1" applyFont="1" applyBorder="1" applyAlignment="1">
      <alignment horizontal="center" vertical="center"/>
    </xf>
    <xf numFmtId="0" fontId="56" fillId="30" borderId="0" xfId="66" applyFont="1" applyFill="1" applyAlignment="1">
      <alignment horizontal="left" vertical="top"/>
    </xf>
    <xf numFmtId="0" fontId="56" fillId="30" borderId="0" xfId="0" applyNumberFormat="1" applyFont="1" applyFill="1" applyAlignment="1">
      <alignment horizontal="left" vertical="top"/>
    </xf>
    <xf numFmtId="0" fontId="60" fillId="30" borderId="99" xfId="0" applyNumberFormat="1" applyFont="1" applyFill="1" applyBorder="1" applyAlignment="1">
      <alignment horizontal="center" vertical="center"/>
    </xf>
    <xf numFmtId="0" fontId="66" fillId="0" borderId="181" xfId="0" applyNumberFormat="1" applyFont="1" applyBorder="1" applyAlignment="1">
      <alignment horizontal="center" vertical="center"/>
    </xf>
    <xf numFmtId="14" fontId="56" fillId="30" borderId="0" xfId="47" applyNumberFormat="1" applyFont="1" applyFill="1" applyAlignment="1" applyProtection="1">
      <alignment vertical="top" wrapText="1"/>
    </xf>
    <xf numFmtId="0" fontId="56" fillId="30" borderId="0" xfId="61" applyNumberFormat="1" applyFont="1" applyFill="1" applyAlignment="1">
      <alignment vertical="top" wrapText="1"/>
    </xf>
    <xf numFmtId="0" fontId="56" fillId="25" borderId="0" xfId="66" applyFont="1" applyFill="1" applyAlignment="1">
      <alignment horizontal="left" vertical="top" wrapText="1"/>
    </xf>
    <xf numFmtId="0" fontId="56" fillId="25" borderId="0" xfId="66" applyFont="1" applyFill="1" applyAlignment="1">
      <alignment horizontal="left" vertical="justify" wrapText="1"/>
    </xf>
    <xf numFmtId="0" fontId="56" fillId="0" borderId="0" xfId="0" applyNumberFormat="1" applyFont="1" applyAlignment="1">
      <alignment horizontal="left" vertical="justify" wrapText="1"/>
    </xf>
    <xf numFmtId="14" fontId="49" fillId="24" borderId="83" xfId="68" applyNumberFormat="1" applyFont="1" applyFill="1" applyBorder="1" applyAlignment="1">
      <alignment horizontal="center" vertical="center" wrapText="1"/>
    </xf>
    <xf numFmtId="0" fontId="49" fillId="24" borderId="90" xfId="68" applyFont="1" applyFill="1" applyBorder="1" applyAlignment="1">
      <alignment horizontal="center" vertical="center" wrapText="1"/>
    </xf>
    <xf numFmtId="0" fontId="41" fillId="24" borderId="90" xfId="61" applyNumberFormat="1" applyFont="1" applyFill="1" applyBorder="1" applyAlignment="1">
      <alignment vertical="center"/>
    </xf>
    <xf numFmtId="0" fontId="41" fillId="0" borderId="83" xfId="68" applyFont="1" applyFill="1" applyBorder="1" applyAlignment="1">
      <alignment horizontal="center" vertical="center" wrapText="1"/>
    </xf>
    <xf numFmtId="0" fontId="41" fillId="0" borderId="90" xfId="61" applyNumberFormat="1" applyFont="1" applyBorder="1" applyAlignment="1">
      <alignment horizontal="center" vertical="center" wrapText="1"/>
    </xf>
    <xf numFmtId="0" fontId="41" fillId="0" borderId="88" xfId="61" applyNumberFormat="1" applyFont="1" applyBorder="1" applyAlignment="1">
      <alignment horizontal="center" vertical="center" wrapText="1"/>
    </xf>
    <xf numFmtId="0" fontId="59" fillId="0" borderId="83" xfId="68" applyFont="1" applyFill="1" applyBorder="1" applyAlignment="1">
      <alignment horizontal="left" vertical="center" wrapText="1"/>
    </xf>
    <xf numFmtId="0" fontId="41" fillId="0" borderId="90" xfId="61" applyNumberFormat="1" applyFont="1" applyBorder="1" applyAlignment="1">
      <alignment horizontal="left" vertical="center" wrapText="1"/>
    </xf>
    <xf numFmtId="0" fontId="41" fillId="0" borderId="88" xfId="61" applyNumberFormat="1" applyFont="1" applyBorder="1" applyAlignment="1">
      <alignment horizontal="left" vertical="center" wrapText="1"/>
    </xf>
    <xf numFmtId="0" fontId="36" fillId="0" borderId="83" xfId="68" applyFont="1" applyFill="1" applyBorder="1" applyAlignment="1">
      <alignment horizontal="left" vertical="center" wrapText="1"/>
    </xf>
    <xf numFmtId="0" fontId="50" fillId="0" borderId="90" xfId="61" applyNumberFormat="1" applyFont="1" applyBorder="1" applyAlignment="1">
      <alignment horizontal="left" vertical="center" wrapText="1"/>
    </xf>
    <xf numFmtId="49" fontId="41" fillId="0" borderId="83" xfId="68" applyNumberFormat="1" applyFont="1" applyFill="1" applyBorder="1" applyAlignment="1">
      <alignment horizontal="left" vertical="center" wrapText="1"/>
    </xf>
    <xf numFmtId="166" fontId="41" fillId="0" borderId="83" xfId="68" applyNumberFormat="1" applyFont="1" applyFill="1" applyBorder="1" applyAlignment="1">
      <alignment horizontal="right" vertical="center" wrapText="1"/>
    </xf>
    <xf numFmtId="166" fontId="41" fillId="0" borderId="90" xfId="61" applyNumberFormat="1" applyFont="1" applyBorder="1" applyAlignment="1">
      <alignment horizontal="right" vertical="center" wrapText="1"/>
    </xf>
    <xf numFmtId="166" fontId="41" fillId="0" borderId="88" xfId="61" applyNumberFormat="1" applyFont="1" applyBorder="1" applyAlignment="1">
      <alignment horizontal="right" vertical="center" wrapText="1"/>
    </xf>
    <xf numFmtId="0" fontId="36" fillId="29" borderId="83" xfId="0" applyNumberFormat="1" applyFont="1" applyFill="1" applyBorder="1" applyAlignment="1">
      <alignment horizontal="center" vertical="center"/>
    </xf>
    <xf numFmtId="0" fontId="36" fillId="29" borderId="90" xfId="0" applyNumberFormat="1" applyFont="1" applyFill="1" applyBorder="1" applyAlignment="1">
      <alignment horizontal="center" vertical="center"/>
    </xf>
    <xf numFmtId="0" fontId="49" fillId="24" borderId="47" xfId="69" applyFont="1" applyFill="1" applyBorder="1" applyAlignment="1">
      <alignment horizontal="center" vertical="center" wrapText="1"/>
    </xf>
    <xf numFmtId="0" fontId="49" fillId="24" borderId="83" xfId="69" applyFont="1" applyFill="1" applyBorder="1" applyAlignment="1">
      <alignment horizontal="center" vertical="center" wrapText="1"/>
    </xf>
    <xf numFmtId="0" fontId="49" fillId="24" borderId="83" xfId="68" applyFont="1" applyFill="1" applyBorder="1" applyAlignment="1">
      <alignment horizontal="center" vertical="center" wrapText="1"/>
    </xf>
    <xf numFmtId="0" fontId="49" fillId="24" borderId="90" xfId="69" applyFont="1" applyFill="1" applyBorder="1" applyAlignment="1">
      <alignment horizontal="center" vertical="center" wrapText="1"/>
    </xf>
    <xf numFmtId="0" fontId="41" fillId="0" borderId="83" xfId="61" applyNumberFormat="1" applyFont="1" applyBorder="1" applyAlignment="1">
      <alignment horizontal="center" vertical="center" wrapText="1"/>
    </xf>
    <xf numFmtId="0" fontId="41" fillId="0" borderId="90" xfId="0" applyNumberFormat="1" applyFont="1" applyBorder="1" applyAlignment="1">
      <alignment horizontal="center" vertical="center" wrapText="1"/>
    </xf>
    <xf numFmtId="0" fontId="41" fillId="0" borderId="52" xfId="0" applyNumberFormat="1" applyFont="1" applyBorder="1" applyAlignment="1">
      <alignment horizontal="center" vertical="center" wrapText="1"/>
    </xf>
    <xf numFmtId="166" fontId="41" fillId="0" borderId="83" xfId="61" applyNumberFormat="1" applyFont="1" applyBorder="1" applyAlignment="1">
      <alignment horizontal="right" vertical="center" wrapText="1"/>
    </xf>
    <xf numFmtId="166" fontId="41" fillId="0" borderId="90" xfId="0" applyNumberFormat="1" applyFont="1" applyBorder="1" applyAlignment="1">
      <alignment horizontal="right" vertical="center" wrapText="1"/>
    </xf>
    <xf numFmtId="166" fontId="41" fillId="0" borderId="52" xfId="0" applyNumberFormat="1" applyFont="1" applyBorder="1" applyAlignment="1">
      <alignment horizontal="right" vertical="center" wrapText="1"/>
    </xf>
    <xf numFmtId="2" fontId="41" fillId="0" borderId="83" xfId="68" applyNumberFormat="1" applyFont="1" applyFill="1" applyBorder="1" applyAlignment="1">
      <alignment horizontal="left" vertical="center" wrapText="1"/>
    </xf>
    <xf numFmtId="14" fontId="38" fillId="30" borderId="0" xfId="47" applyNumberFormat="1" applyFont="1" applyFill="1" applyAlignment="1" applyProtection="1">
      <alignment horizontal="justify" wrapText="1"/>
    </xf>
    <xf numFmtId="0" fontId="38" fillId="30" borderId="0" xfId="61" applyNumberFormat="1" applyFont="1" applyFill="1" applyAlignment="1">
      <alignment horizontal="justify" wrapText="1"/>
    </xf>
    <xf numFmtId="14" fontId="56" fillId="30" borderId="0" xfId="47" applyNumberFormat="1" applyFont="1" applyFill="1" applyAlignment="1" applyProtection="1">
      <alignment horizontal="justify" vertical="top" wrapText="1"/>
    </xf>
    <xf numFmtId="0" fontId="56" fillId="30" borderId="0" xfId="61" applyNumberFormat="1" applyFont="1" applyFill="1" applyAlignment="1">
      <alignment horizontal="justify" vertical="top"/>
    </xf>
    <xf numFmtId="0" fontId="56" fillId="30" borderId="0" xfId="0" applyNumberFormat="1" applyFont="1" applyFill="1" applyAlignment="1"/>
    <xf numFmtId="0" fontId="56" fillId="30" borderId="0" xfId="61" applyNumberFormat="1" applyFont="1" applyFill="1" applyAlignment="1">
      <alignment horizontal="justify" vertical="top" wrapText="1"/>
    </xf>
    <xf numFmtId="0" fontId="56" fillId="30" borderId="0" xfId="0" applyNumberFormat="1" applyFont="1" applyFill="1" applyAlignment="1">
      <alignment horizontal="justify" vertical="top" wrapText="1"/>
    </xf>
    <xf numFmtId="0" fontId="41" fillId="0" borderId="52" xfId="61" applyNumberFormat="1" applyFont="1" applyBorder="1" applyAlignment="1">
      <alignment horizontal="left" vertical="center" wrapText="1"/>
    </xf>
    <xf numFmtId="0" fontId="41" fillId="0" borderId="52" xfId="61" applyNumberFormat="1" applyFont="1" applyBorder="1" applyAlignment="1">
      <alignment horizontal="center" vertical="center" wrapText="1"/>
    </xf>
    <xf numFmtId="0" fontId="41" fillId="0" borderId="90" xfId="69" applyFont="1" applyFill="1" applyBorder="1" applyAlignment="1">
      <alignment horizontal="center" vertical="center"/>
    </xf>
    <xf numFmtId="0" fontId="41" fillId="0" borderId="88" xfId="69" applyFont="1" applyFill="1" applyBorder="1" applyAlignment="1">
      <alignment horizontal="center" vertical="center"/>
    </xf>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9" fillId="0" borderId="90" xfId="69" applyFont="1" applyFill="1" applyBorder="1" applyAlignment="1">
      <alignment horizontal="center" vertical="center" wrapText="1"/>
    </xf>
    <xf numFmtId="0" fontId="49" fillId="0" borderId="88" xfId="69" applyFont="1" applyFill="1" applyBorder="1" applyAlignment="1">
      <alignment horizontal="center" vertical="center" wrapText="1"/>
    </xf>
    <xf numFmtId="0" fontId="41" fillId="0" borderId="45" xfId="69" applyFont="1" applyFill="1" applyBorder="1" applyAlignment="1">
      <alignment horizontal="right" vertical="center" wrapText="1"/>
    </xf>
    <xf numFmtId="0" fontId="41" fillId="0" borderId="90" xfId="69" applyFont="1" applyFill="1" applyBorder="1" applyAlignment="1">
      <alignment horizontal="right" vertical="center" wrapText="1"/>
    </xf>
    <xf numFmtId="0" fontId="41" fillId="0" borderId="88" xfId="0" applyNumberFormat="1" applyFont="1" applyBorder="1" applyAlignment="1">
      <alignment horizontal="right" vertical="center" wrapText="1"/>
    </xf>
    <xf numFmtId="0" fontId="41" fillId="0" borderId="88" xfId="69" applyFont="1" applyFill="1" applyBorder="1" applyAlignment="1">
      <alignment horizontal="right" vertical="center" wrapText="1"/>
    </xf>
    <xf numFmtId="166" fontId="41" fillId="0" borderId="45" xfId="68" applyNumberFormat="1" applyFont="1" applyFill="1" applyBorder="1" applyAlignment="1">
      <alignment horizontal="right" vertical="center" wrapText="1"/>
    </xf>
    <xf numFmtId="166" fontId="41" fillId="0" borderId="90" xfId="68" applyNumberFormat="1" applyFont="1" applyFill="1" applyBorder="1" applyAlignment="1">
      <alignment horizontal="right" vertical="center" wrapText="1"/>
    </xf>
    <xf numFmtId="166" fontId="41" fillId="0" borderId="88" xfId="68" applyNumberFormat="1" applyFont="1" applyFill="1" applyBorder="1" applyAlignment="1">
      <alignment horizontal="right" vertical="center" wrapText="1"/>
    </xf>
    <xf numFmtId="14" fontId="49" fillId="24" borderId="47" xfId="69" applyNumberFormat="1" applyFont="1" applyFill="1" applyBorder="1" applyAlignment="1">
      <alignment horizontal="center" vertical="center"/>
    </xf>
    <xf numFmtId="0" fontId="49" fillId="24" borderId="47" xfId="69" applyFont="1" applyFill="1" applyBorder="1" applyAlignment="1">
      <alignment horizontal="center" vertical="center"/>
    </xf>
    <xf numFmtId="0" fontId="49" fillId="24" borderId="83" xfId="69" applyFont="1" applyFill="1" applyBorder="1" applyAlignment="1">
      <alignment horizontal="center" vertical="center"/>
    </xf>
    <xf numFmtId="0" fontId="41" fillId="0" borderId="45" xfId="69" applyFont="1" applyFill="1" applyBorder="1" applyAlignment="1">
      <alignment horizontal="center" vertical="center"/>
    </xf>
    <xf numFmtId="0" fontId="41" fillId="0" borderId="88" xfId="0" applyNumberFormat="1" applyFont="1" applyBorder="1" applyAlignment="1">
      <alignment horizontal="center" vertical="center"/>
    </xf>
    <xf numFmtId="0" fontId="41" fillId="0" borderId="45" xfId="69" applyFont="1" applyFill="1" applyBorder="1" applyAlignment="1">
      <alignment horizontal="center" vertical="center" wrapText="1"/>
    </xf>
    <xf numFmtId="0" fontId="41" fillId="0" borderId="88" xfId="0" applyNumberFormat="1" applyFont="1" applyBorder="1" applyAlignment="1">
      <alignment horizontal="center" vertical="center" wrapText="1"/>
    </xf>
    <xf numFmtId="0" fontId="50" fillId="0" borderId="90" xfId="69" applyFont="1" applyFill="1" applyBorder="1" applyAlignment="1">
      <alignment horizontal="center" vertical="center" wrapText="1"/>
    </xf>
    <xf numFmtId="0" fontId="41" fillId="24" borderId="90" xfId="60" applyNumberFormat="1" applyFont="1" applyFill="1" applyBorder="1" applyAlignment="1">
      <alignment horizontal="center" vertical="center" wrapText="1"/>
    </xf>
    <xf numFmtId="14" fontId="38" fillId="0" borderId="0" xfId="47" applyNumberFormat="1" applyFont="1" applyFill="1" applyAlignment="1" applyProtection="1">
      <alignment wrapText="1"/>
    </xf>
    <xf numFmtId="0" fontId="41" fillId="0" borderId="0" xfId="60" applyNumberFormat="1" applyFont="1" applyAlignment="1"/>
    <xf numFmtId="0" fontId="56" fillId="30" borderId="0" xfId="66" applyFont="1" applyFill="1" applyBorder="1" applyAlignment="1">
      <alignment vertical="top" wrapText="1"/>
    </xf>
    <xf numFmtId="0" fontId="56" fillId="30" borderId="0" xfId="0" applyNumberFormat="1" applyFont="1" applyFill="1" applyAlignment="1">
      <alignment vertical="top" wrapText="1"/>
    </xf>
    <xf numFmtId="0" fontId="49" fillId="0" borderId="45" xfId="69" applyFont="1" applyFill="1" applyBorder="1" applyAlignment="1">
      <alignment horizontal="left" vertical="center" wrapText="1"/>
    </xf>
    <xf numFmtId="0" fontId="49" fillId="0" borderId="90" xfId="69" applyFont="1" applyFill="1" applyBorder="1" applyAlignment="1">
      <alignment horizontal="left" vertical="center" wrapText="1"/>
    </xf>
    <xf numFmtId="0" fontId="49" fillId="0" borderId="88" xfId="69" applyFont="1" applyFill="1" applyBorder="1" applyAlignment="1">
      <alignment horizontal="left" vertical="center" wrapText="1"/>
    </xf>
    <xf numFmtId="0" fontId="49" fillId="24" borderId="90" xfId="69" applyFont="1" applyFill="1" applyBorder="1" applyAlignment="1">
      <alignment horizontal="center" vertical="center"/>
    </xf>
    <xf numFmtId="0" fontId="36" fillId="0" borderId="90" xfId="69" applyFont="1" applyFill="1" applyBorder="1" applyAlignment="1">
      <alignment horizontal="center" vertical="center" wrapText="1"/>
    </xf>
    <xf numFmtId="0" fontId="50" fillId="0" borderId="88" xfId="69" applyFont="1" applyFill="1" applyBorder="1" applyAlignment="1">
      <alignment horizontal="center" vertical="center" wrapText="1"/>
    </xf>
    <xf numFmtId="14" fontId="56" fillId="30" borderId="0" xfId="47" applyNumberFormat="1" applyFont="1" applyFill="1" applyAlignment="1" applyProtection="1">
      <alignment horizontal="left" vertical="top" wrapText="1"/>
    </xf>
    <xf numFmtId="0" fontId="56" fillId="30" borderId="0" xfId="69" applyFont="1" applyFill="1" applyAlignment="1">
      <alignment vertical="top" wrapText="1"/>
    </xf>
    <xf numFmtId="0" fontId="56" fillId="30" borderId="0" xfId="0" applyNumberFormat="1" applyFont="1" applyFill="1" applyAlignment="1">
      <alignment vertical="top"/>
    </xf>
    <xf numFmtId="0" fontId="36" fillId="29" borderId="48" xfId="0" applyNumberFormat="1" applyFont="1" applyFill="1" applyBorder="1" applyAlignment="1">
      <alignment horizontal="center" vertical="center"/>
    </xf>
    <xf numFmtId="0" fontId="36" fillId="29" borderId="44" xfId="0" applyNumberFormat="1" applyFont="1" applyFill="1" applyBorder="1" applyAlignment="1">
      <alignment horizontal="center" vertical="center"/>
    </xf>
    <xf numFmtId="14" fontId="49" fillId="24" borderId="48" xfId="69" applyNumberFormat="1" applyFont="1" applyFill="1" applyBorder="1" applyAlignment="1">
      <alignment horizontal="center" vertical="center"/>
    </xf>
    <xf numFmtId="0" fontId="49" fillId="24" borderId="44" xfId="69" applyFont="1" applyFill="1" applyBorder="1" applyAlignment="1">
      <alignment horizontal="center" vertical="center"/>
    </xf>
    <xf numFmtId="0" fontId="49" fillId="24" borderId="48" xfId="69" applyFont="1" applyFill="1" applyBorder="1" applyAlignment="1">
      <alignment horizontal="center" vertical="center"/>
    </xf>
    <xf numFmtId="0" fontId="49" fillId="24" borderId="48" xfId="69" applyFont="1" applyFill="1" applyBorder="1" applyAlignment="1">
      <alignment horizontal="center" vertical="center" wrapText="1"/>
    </xf>
    <xf numFmtId="0" fontId="49" fillId="24" borderId="44" xfId="69" applyFont="1" applyFill="1" applyBorder="1" applyAlignment="1">
      <alignment horizontal="center" vertical="center" wrapText="1"/>
    </xf>
    <xf numFmtId="0" fontId="56" fillId="25" borderId="0" xfId="69" applyFont="1" applyFill="1" applyAlignment="1">
      <alignment vertical="top" wrapText="1"/>
    </xf>
    <xf numFmtId="0" fontId="56" fillId="25" borderId="0" xfId="0" applyNumberFormat="1" applyFont="1" applyFill="1" applyAlignment="1">
      <alignment vertical="top"/>
    </xf>
    <xf numFmtId="0" fontId="56" fillId="25" borderId="0" xfId="0" applyNumberFormat="1" applyFont="1" applyFill="1" applyAlignment="1">
      <alignment vertical="top" wrapText="1"/>
    </xf>
    <xf numFmtId="0" fontId="56" fillId="25" borderId="0" xfId="69" applyFont="1" applyFill="1" applyAlignment="1">
      <alignment vertical="top"/>
    </xf>
    <xf numFmtId="0" fontId="56" fillId="0" borderId="0" xfId="0" applyNumberFormat="1" applyFont="1" applyAlignment="1">
      <alignment vertical="top"/>
    </xf>
    <xf numFmtId="0" fontId="56" fillId="0" borderId="0" xfId="0" applyNumberFormat="1" applyFont="1" applyAlignment="1">
      <alignment vertical="top" wrapText="1"/>
    </xf>
    <xf numFmtId="14" fontId="36" fillId="0" borderId="84" xfId="62" applyFont="1" applyBorder="1" applyAlignment="1">
      <alignment horizontal="center" vertical="center" wrapText="1"/>
    </xf>
    <xf numFmtId="0" fontId="0" fillId="0" borderId="31" xfId="0" applyNumberFormat="1" applyBorder="1" applyAlignment="1"/>
    <xf numFmtId="0" fontId="0" fillId="0" borderId="81" xfId="0" applyNumberFormat="1" applyBorder="1" applyAlignment="1"/>
    <xf numFmtId="14" fontId="36" fillId="0" borderId="72" xfId="62" applyFont="1" applyBorder="1" applyAlignment="1">
      <alignment horizontal="center" vertical="center" wrapText="1"/>
    </xf>
    <xf numFmtId="0" fontId="0" fillId="0" borderId="108" xfId="0" applyNumberFormat="1" applyBorder="1" applyAlignment="1"/>
    <xf numFmtId="0" fontId="0" fillId="0" borderId="32" xfId="0" applyNumberFormat="1" applyBorder="1" applyAlignment="1"/>
    <xf numFmtId="0" fontId="0" fillId="0" borderId="33" xfId="0" applyNumberFormat="1" applyBorder="1" applyAlignment="1"/>
    <xf numFmtId="0" fontId="0" fillId="0" borderId="79" xfId="0" applyNumberFormat="1" applyBorder="1" applyAlignment="1"/>
    <xf numFmtId="0" fontId="0" fillId="0" borderId="128" xfId="0" applyNumberFormat="1" applyBorder="1" applyAlignment="1"/>
    <xf numFmtId="14" fontId="36" fillId="0" borderId="66" xfId="62" applyFont="1" applyBorder="1" applyAlignment="1">
      <alignment horizontal="center" vertical="center"/>
    </xf>
    <xf numFmtId="14" fontId="49" fillId="0" borderId="57" xfId="62" applyFont="1" applyBorder="1" applyAlignment="1">
      <alignment horizontal="center" vertical="center"/>
    </xf>
    <xf numFmtId="14" fontId="36" fillId="29" borderId="83" xfId="62" applyFont="1" applyFill="1" applyBorder="1" applyAlignment="1">
      <alignment horizontal="center" vertical="center"/>
    </xf>
    <xf numFmtId="14" fontId="41" fillId="29" borderId="90" xfId="62" applyFont="1" applyFill="1" applyBorder="1" applyAlignment="1"/>
    <xf numFmtId="14" fontId="41" fillId="29" borderId="52" xfId="62" applyFont="1" applyFill="1" applyBorder="1" applyAlignment="1"/>
    <xf numFmtId="0" fontId="60" fillId="0" borderId="11" xfId="62" applyNumberFormat="1" applyFont="1" applyBorder="1" applyAlignment="1">
      <alignment horizontal="center" vertical="center"/>
    </xf>
    <xf numFmtId="0" fontId="60" fillId="0" borderId="12" xfId="62" applyNumberFormat="1" applyFont="1" applyBorder="1" applyAlignment="1">
      <alignment horizontal="center" vertical="center"/>
    </xf>
    <xf numFmtId="0" fontId="56" fillId="30" borderId="0" xfId="70" applyFont="1" applyFill="1" applyBorder="1" applyAlignment="1">
      <alignment horizontal="left" vertical="center"/>
    </xf>
    <xf numFmtId="0" fontId="56" fillId="30" borderId="0" xfId="0" applyNumberFormat="1" applyFont="1" applyFill="1" applyAlignment="1">
      <alignment vertical="center"/>
    </xf>
    <xf numFmtId="0" fontId="60" fillId="0" borderId="107" xfId="75" applyNumberFormat="1" applyFont="1" applyFill="1" applyBorder="1" applyAlignment="1">
      <alignment horizontal="center" vertical="center"/>
    </xf>
    <xf numFmtId="14" fontId="36" fillId="25" borderId="84" xfId="0" applyNumberFormat="1" applyFont="1" applyFill="1" applyBorder="1" applyAlignment="1">
      <alignment horizontal="center" vertical="center"/>
    </xf>
    <xf numFmtId="0" fontId="64" fillId="0" borderId="31" xfId="0" applyNumberFormat="1" applyFont="1" applyBorder="1" applyAlignment="1">
      <alignment horizontal="center" vertical="center"/>
    </xf>
    <xf numFmtId="14" fontId="36" fillId="0" borderId="73" xfId="75" applyFont="1" applyFill="1" applyBorder="1" applyAlignment="1">
      <alignment horizontal="center" vertical="center"/>
    </xf>
    <xf numFmtId="0" fontId="0" fillId="0" borderId="76" xfId="0" applyNumberFormat="1" applyBorder="1" applyAlignment="1">
      <alignment horizontal="center" vertical="center"/>
    </xf>
    <xf numFmtId="14" fontId="36" fillId="0" borderId="71" xfId="75" applyFont="1" applyFill="1" applyBorder="1" applyAlignment="1">
      <alignment horizontal="center" vertical="center" wrapText="1"/>
    </xf>
    <xf numFmtId="0" fontId="36" fillId="0" borderId="73" xfId="0" applyNumberFormat="1" applyFont="1" applyBorder="1" applyAlignment="1">
      <alignment horizontal="center" vertical="center" wrapText="1"/>
    </xf>
    <xf numFmtId="0" fontId="36" fillId="0" borderId="91" xfId="0" applyNumberFormat="1" applyFont="1" applyBorder="1" applyAlignment="1">
      <alignment horizontal="center" vertical="center" wrapText="1"/>
    </xf>
    <xf numFmtId="0" fontId="36" fillId="0" borderId="76" xfId="0" applyNumberFormat="1" applyFont="1" applyBorder="1" applyAlignment="1">
      <alignment horizontal="center" vertical="center" wrapText="1"/>
    </xf>
    <xf numFmtId="0" fontId="36" fillId="0" borderId="87" xfId="0" applyNumberFormat="1" applyFont="1" applyBorder="1" applyAlignment="1">
      <alignment horizontal="center" vertical="center"/>
    </xf>
    <xf numFmtId="0" fontId="64" fillId="0" borderId="73" xfId="0" applyNumberFormat="1" applyFont="1" applyBorder="1" applyAlignment="1">
      <alignment horizontal="center" vertical="center"/>
    </xf>
    <xf numFmtId="0" fontId="36" fillId="0" borderId="84" xfId="0" applyNumberFormat="1" applyFont="1" applyBorder="1" applyAlignment="1">
      <alignment horizontal="center" vertical="center" wrapText="1"/>
    </xf>
    <xf numFmtId="0" fontId="0" fillId="0" borderId="72" xfId="0" applyNumberFormat="1" applyBorder="1" applyAlignment="1">
      <alignment horizontal="center" vertical="center" wrapText="1"/>
    </xf>
    <xf numFmtId="0" fontId="0" fillId="0" borderId="108" xfId="0" applyNumberFormat="1" applyBorder="1" applyAlignment="1">
      <alignment horizontal="center" vertical="center" wrapText="1"/>
    </xf>
    <xf numFmtId="0" fontId="36" fillId="0" borderId="117" xfId="0" applyNumberFormat="1" applyFont="1" applyBorder="1" applyAlignment="1">
      <alignment horizontal="center" vertical="center" wrapText="1"/>
    </xf>
    <xf numFmtId="0" fontId="36" fillId="0" borderId="13" xfId="0" applyNumberFormat="1" applyFont="1" applyBorder="1" applyAlignment="1">
      <alignment horizontal="center" vertical="center" wrapText="1"/>
    </xf>
    <xf numFmtId="0" fontId="36" fillId="0" borderId="227" xfId="0" applyNumberFormat="1" applyFont="1" applyBorder="1" applyAlignment="1">
      <alignment horizontal="center" vertical="center" wrapText="1"/>
    </xf>
    <xf numFmtId="0" fontId="36" fillId="0" borderId="14" xfId="0" applyNumberFormat="1" applyFont="1" applyBorder="1" applyAlignment="1">
      <alignment horizontal="center" vertical="center" wrapText="1"/>
    </xf>
    <xf numFmtId="0" fontId="36" fillId="0" borderId="120" xfId="0" applyNumberFormat="1" applyFont="1" applyBorder="1" applyAlignment="1">
      <alignment horizontal="center" vertical="center" wrapText="1"/>
    </xf>
    <xf numFmtId="0" fontId="36" fillId="0" borderId="15" xfId="0" applyNumberFormat="1" applyFont="1" applyBorder="1" applyAlignment="1">
      <alignment horizontal="center" vertical="center" wrapText="1"/>
    </xf>
    <xf numFmtId="3" fontId="50" fillId="0" borderId="20" xfId="0" applyNumberFormat="1" applyFont="1" applyBorder="1" applyAlignment="1" applyProtection="1">
      <alignment vertical="center" wrapText="1"/>
      <protection locked="0"/>
    </xf>
    <xf numFmtId="14" fontId="69" fillId="0" borderId="20" xfId="0" applyFont="1" applyBorder="1" applyAlignment="1" applyProtection="1">
      <alignment vertical="center"/>
      <protection locked="0"/>
    </xf>
    <xf numFmtId="3" fontId="50" fillId="0" borderId="29" xfId="0" applyNumberFormat="1" applyFont="1" applyBorder="1" applyAlignment="1" applyProtection="1">
      <alignment vertical="center" wrapText="1"/>
      <protection locked="0"/>
    </xf>
    <xf numFmtId="14" fontId="69" fillId="0" borderId="29" xfId="0" applyFont="1" applyBorder="1" applyAlignment="1" applyProtection="1">
      <alignment vertical="center"/>
      <protection locked="0"/>
    </xf>
    <xf numFmtId="3" fontId="55" fillId="35" borderId="196" xfId="0" applyNumberFormat="1" applyFont="1" applyFill="1" applyBorder="1" applyAlignment="1" applyProtection="1">
      <alignment vertical="center" wrapText="1"/>
      <protection locked="0"/>
    </xf>
    <xf numFmtId="14" fontId="71" fillId="35" borderId="196" xfId="0" applyFont="1" applyFill="1" applyBorder="1" applyAlignment="1" applyProtection="1">
      <alignment vertical="center"/>
      <protection locked="0"/>
    </xf>
    <xf numFmtId="14" fontId="36" fillId="29" borderId="160" xfId="0" applyNumberFormat="1" applyFont="1" applyFill="1" applyBorder="1" applyAlignment="1">
      <alignment horizontal="center" vertical="center"/>
    </xf>
    <xf numFmtId="0" fontId="67" fillId="29" borderId="50" xfId="0" applyNumberFormat="1" applyFont="1" applyFill="1" applyBorder="1" applyAlignment="1">
      <alignment horizontal="center" vertical="center"/>
    </xf>
    <xf numFmtId="14" fontId="36" fillId="29" borderId="201" xfId="0" applyFont="1" applyFill="1" applyBorder="1" applyAlignment="1" applyProtection="1">
      <alignment horizontal="center" vertical="center"/>
      <protection locked="0"/>
    </xf>
    <xf numFmtId="14" fontId="64" fillId="29" borderId="201" xfId="0" applyFont="1" applyFill="1" applyBorder="1" applyAlignment="1" applyProtection="1">
      <alignment vertical="center"/>
      <protection locked="0"/>
    </xf>
    <xf numFmtId="14" fontId="64" fillId="29" borderId="205" xfId="0" applyFont="1" applyFill="1" applyBorder="1" applyAlignment="1" applyProtection="1">
      <alignment vertical="center"/>
      <protection locked="0"/>
    </xf>
    <xf numFmtId="14" fontId="64" fillId="29" borderId="26" xfId="0" applyFont="1" applyFill="1" applyBorder="1" applyAlignment="1" applyProtection="1">
      <alignment vertical="center"/>
      <protection locked="0"/>
    </xf>
    <xf numFmtId="14" fontId="64" fillId="29" borderId="27" xfId="0" applyFont="1" applyFill="1" applyBorder="1" applyAlignment="1" applyProtection="1">
      <alignment vertical="center"/>
      <protection locked="0"/>
    </xf>
    <xf numFmtId="0" fontId="60" fillId="0" borderId="35" xfId="0" applyNumberFormat="1" applyFont="1" applyBorder="1" applyAlignment="1">
      <alignment horizontal="center" vertical="center"/>
    </xf>
    <xf numFmtId="0" fontId="68" fillId="0" borderId="35" xfId="0" applyNumberFormat="1" applyFont="1" applyBorder="1" applyAlignment="1">
      <alignment horizontal="center" vertical="center"/>
    </xf>
    <xf numFmtId="0" fontId="68" fillId="0" borderId="36" xfId="0" applyNumberFormat="1" applyFont="1" applyBorder="1" applyAlignment="1">
      <alignment horizontal="center" vertical="center"/>
    </xf>
    <xf numFmtId="3" fontId="50" fillId="0" borderId="162" xfId="0" applyNumberFormat="1" applyFont="1" applyFill="1" applyBorder="1" applyAlignment="1" applyProtection="1">
      <alignment vertical="center" wrapText="1"/>
      <protection locked="0"/>
    </xf>
    <xf numFmtId="14" fontId="69" fillId="0" borderId="162" xfId="0" applyFont="1" applyBorder="1" applyAlignment="1" applyProtection="1">
      <alignment vertical="center"/>
      <protection locked="0"/>
    </xf>
    <xf numFmtId="3" fontId="70" fillId="0" borderId="20" xfId="0" applyNumberFormat="1" applyFont="1" applyFill="1" applyBorder="1" applyAlignment="1" applyProtection="1">
      <alignment horizontal="left" vertical="center" wrapText="1" indent="3"/>
      <protection locked="0"/>
    </xf>
    <xf numFmtId="14" fontId="69" fillId="0" borderId="20" xfId="0" applyFont="1" applyBorder="1" applyAlignment="1" applyProtection="1">
      <alignment horizontal="left" vertical="center" indent="3"/>
      <protection locked="0"/>
    </xf>
    <xf numFmtId="14" fontId="36" fillId="32" borderId="199" xfId="75" applyFont="1" applyFill="1" applyBorder="1" applyAlignment="1">
      <alignment vertical="center"/>
    </xf>
    <xf numFmtId="0" fontId="67" fillId="32" borderId="199" xfId="0" applyNumberFormat="1" applyFont="1" applyFill="1" applyBorder="1" applyAlignment="1">
      <alignment vertical="center"/>
    </xf>
    <xf numFmtId="49" fontId="50" fillId="0" borderId="72" xfId="66" applyNumberFormat="1" applyFont="1" applyBorder="1" applyAlignment="1">
      <alignment horizontal="left" vertical="center" indent="1"/>
    </xf>
    <xf numFmtId="0" fontId="0" fillId="0" borderId="79" xfId="0" applyNumberFormat="1" applyBorder="1" applyAlignment="1">
      <alignment horizontal="left" vertical="center" indent="1"/>
    </xf>
    <xf numFmtId="0" fontId="0" fillId="0" borderId="32" xfId="0" applyNumberFormat="1" applyBorder="1" applyAlignment="1">
      <alignment horizontal="left" vertical="center" indent="1"/>
    </xf>
    <xf numFmtId="14" fontId="36" fillId="32" borderId="11" xfId="75" applyFont="1" applyFill="1" applyBorder="1" applyAlignment="1">
      <alignment vertical="center"/>
    </xf>
    <xf numFmtId="0" fontId="67" fillId="32" borderId="11" xfId="0" applyNumberFormat="1" applyFont="1" applyFill="1" applyBorder="1" applyAlignment="1">
      <alignment vertical="center"/>
    </xf>
    <xf numFmtId="0" fontId="66" fillId="30" borderId="0" xfId="0" applyNumberFormat="1" applyFont="1" applyFill="1" applyBorder="1" applyAlignment="1">
      <alignment vertical="top" wrapText="1"/>
    </xf>
    <xf numFmtId="0" fontId="60" fillId="0" borderId="35" xfId="66" applyFont="1" applyFill="1" applyBorder="1" applyAlignment="1">
      <alignment horizontal="center" vertical="center"/>
    </xf>
    <xf numFmtId="0" fontId="66" fillId="0" borderId="35" xfId="0" applyNumberFormat="1" applyFont="1" applyBorder="1" applyAlignment="1">
      <alignment horizontal="center" vertical="center"/>
    </xf>
    <xf numFmtId="0" fontId="36" fillId="26" borderId="195" xfId="66" applyFont="1" applyFill="1" applyBorder="1" applyAlignment="1">
      <alignment horizontal="center" vertical="center" wrapText="1"/>
    </xf>
    <xf numFmtId="0" fontId="0" fillId="0" borderId="33" xfId="0" applyNumberFormat="1" applyBorder="1" applyAlignment="1">
      <alignment horizontal="center" vertical="center" wrapText="1"/>
    </xf>
    <xf numFmtId="14" fontId="49" fillId="26" borderId="144" xfId="66" applyNumberFormat="1" applyFont="1" applyFill="1" applyBorder="1" applyAlignment="1">
      <alignment horizontal="center" vertical="center"/>
    </xf>
    <xf numFmtId="0" fontId="0" fillId="0" borderId="51" xfId="0" applyNumberFormat="1" applyBorder="1" applyAlignment="1">
      <alignment horizontal="center" vertical="center"/>
    </xf>
    <xf numFmtId="14" fontId="36" fillId="26" borderId="194" xfId="66" applyNumberFormat="1" applyFont="1" applyFill="1" applyBorder="1" applyAlignment="1">
      <alignment horizontal="center" vertical="center"/>
    </xf>
    <xf numFmtId="14" fontId="49" fillId="26" borderId="194" xfId="75" applyFont="1" applyFill="1" applyBorder="1" applyAlignment="1">
      <alignment horizontal="center" vertical="center"/>
    </xf>
    <xf numFmtId="0" fontId="0" fillId="0" borderId="32" xfId="0" applyNumberFormat="1" applyBorder="1" applyAlignment="1">
      <alignment horizontal="center" vertical="center"/>
    </xf>
    <xf numFmtId="14" fontId="55" fillId="0" borderId="48" xfId="0" applyFont="1" applyBorder="1" applyAlignment="1" applyProtection="1">
      <alignment horizontal="center" vertical="center"/>
      <protection locked="0"/>
    </xf>
    <xf numFmtId="14" fontId="55" fillId="0" borderId="44" xfId="0" applyFont="1" applyBorder="1" applyAlignment="1" applyProtection="1">
      <alignment horizontal="center" vertical="center"/>
      <protection locked="0"/>
    </xf>
    <xf numFmtId="14" fontId="55" fillId="0" borderId="64" xfId="0" applyFont="1" applyFill="1" applyBorder="1" applyAlignment="1" applyProtection="1">
      <alignment horizontal="center" vertical="center"/>
      <protection locked="0"/>
    </xf>
    <xf numFmtId="14" fontId="55" fillId="0" borderId="59" xfId="0" applyFont="1" applyFill="1" applyBorder="1" applyAlignment="1" applyProtection="1">
      <alignment horizontal="center" vertical="center"/>
      <protection locked="0"/>
    </xf>
    <xf numFmtId="14" fontId="55" fillId="0" borderId="68" xfId="0" applyFont="1" applyFill="1" applyBorder="1" applyAlignment="1" applyProtection="1">
      <alignment horizontal="center" vertical="center"/>
      <protection locked="0"/>
    </xf>
    <xf numFmtId="14" fontId="39" fillId="30" borderId="0" xfId="47" applyNumberFormat="1" applyFill="1" applyAlignment="1" applyProtection="1">
      <alignment vertical="center"/>
    </xf>
    <xf numFmtId="0" fontId="0" fillId="0" borderId="0" xfId="0" applyNumberFormat="1" applyAlignment="1"/>
    <xf numFmtId="14" fontId="55" fillId="30" borderId="0" xfId="0" applyFont="1" applyFill="1" applyAlignment="1" applyProtection="1">
      <alignment vertical="center" wrapText="1"/>
      <protection locked="0"/>
    </xf>
    <xf numFmtId="14" fontId="0" fillId="30" borderId="0" xfId="0" applyFill="1" applyAlignment="1">
      <alignment vertical="center"/>
    </xf>
    <xf numFmtId="14" fontId="55" fillId="0" borderId="95" xfId="0" applyFont="1" applyBorder="1" applyAlignment="1" applyProtection="1">
      <alignment horizontal="center" vertical="center" textRotation="90" wrapText="1"/>
      <protection locked="0"/>
    </xf>
    <xf numFmtId="14" fontId="55" fillId="0" borderId="25" xfId="0" applyFont="1" applyBorder="1" applyAlignment="1" applyProtection="1">
      <alignment horizontal="center" vertical="center" textRotation="90" wrapText="1"/>
      <protection locked="0"/>
    </xf>
    <xf numFmtId="14" fontId="55" fillId="0" borderId="34" xfId="0" applyFont="1" applyBorder="1" applyAlignment="1" applyProtection="1">
      <alignment horizontal="center" vertical="center" textRotation="90" wrapText="1"/>
      <protection locked="0"/>
    </xf>
    <xf numFmtId="14" fontId="55" fillId="0" borderId="13" xfId="0" applyFont="1" applyBorder="1" applyAlignment="1" applyProtection="1">
      <alignment horizontal="center" vertical="center" textRotation="90" wrapText="1"/>
      <protection locked="0"/>
    </xf>
    <xf numFmtId="14" fontId="55" fillId="30" borderId="0" xfId="0" applyFont="1" applyFill="1" applyAlignment="1">
      <alignment vertical="center" wrapText="1"/>
    </xf>
    <xf numFmtId="0" fontId="60" fillId="0" borderId="35" xfId="0" applyNumberFormat="1" applyFont="1" applyFill="1" applyBorder="1" applyAlignment="1" applyProtection="1">
      <alignment horizontal="center" vertical="center"/>
      <protection locked="0"/>
    </xf>
    <xf numFmtId="14" fontId="55" fillId="0" borderId="84" xfId="0" applyFont="1" applyBorder="1" applyAlignment="1" applyProtection="1">
      <alignment horizontal="center" vertical="center" wrapText="1"/>
      <protection locked="0"/>
    </xf>
    <xf numFmtId="14" fontId="55" fillId="0" borderId="13" xfId="0" applyFont="1" applyBorder="1" applyAlignment="1" applyProtection="1">
      <alignment horizontal="center" vertical="center" wrapText="1"/>
      <protection locked="0"/>
    </xf>
    <xf numFmtId="14" fontId="55" fillId="0" borderId="85" xfId="0" applyFont="1" applyFill="1" applyBorder="1" applyAlignment="1" applyProtection="1">
      <alignment horizontal="center" vertical="center"/>
      <protection locked="0"/>
    </xf>
    <xf numFmtId="14" fontId="41" fillId="0" borderId="216" xfId="0" applyFont="1" applyBorder="1" applyAlignment="1" applyProtection="1">
      <alignment horizontal="center" vertical="center"/>
      <protection locked="0"/>
    </xf>
    <xf numFmtId="14" fontId="41" fillId="0" borderId="119" xfId="0" applyFont="1" applyBorder="1" applyAlignment="1" applyProtection="1">
      <alignment horizontal="center" vertical="center"/>
      <protection locked="0"/>
    </xf>
    <xf numFmtId="14" fontId="41" fillId="0" borderId="89" xfId="0" applyFont="1" applyBorder="1" applyAlignment="1" applyProtection="1">
      <alignment horizontal="center" vertical="center"/>
      <protection locked="0"/>
    </xf>
    <xf numFmtId="14" fontId="55" fillId="0" borderId="109" xfId="0" applyFont="1" applyFill="1" applyBorder="1" applyAlignment="1" applyProtection="1">
      <alignment horizontal="center" vertical="center" wrapText="1"/>
      <protection locked="0"/>
    </xf>
    <xf numFmtId="14" fontId="55" fillId="0" borderId="27" xfId="0" applyFont="1" applyFill="1" applyBorder="1" applyAlignment="1" applyProtection="1">
      <alignment horizontal="center" vertical="center" wrapText="1"/>
      <protection locked="0"/>
    </xf>
    <xf numFmtId="14" fontId="46" fillId="29" borderId="223" xfId="0" applyFont="1" applyFill="1" applyBorder="1" applyAlignment="1">
      <alignment horizontal="center" vertical="center" wrapText="1"/>
    </xf>
    <xf numFmtId="0" fontId="0" fillId="29" borderId="209" xfId="0" applyNumberFormat="1" applyFill="1" applyBorder="1" applyAlignment="1">
      <alignment horizontal="center" vertical="center" wrapText="1"/>
    </xf>
    <xf numFmtId="0" fontId="0" fillId="29" borderId="55" xfId="0" applyNumberFormat="1" applyFill="1" applyBorder="1" applyAlignment="1">
      <alignment horizontal="center" vertical="center" wrapText="1"/>
    </xf>
    <xf numFmtId="0" fontId="0" fillId="29" borderId="69" xfId="0" applyNumberFormat="1" applyFill="1" applyBorder="1" applyAlignment="1">
      <alignment horizontal="center" vertical="center" wrapText="1"/>
    </xf>
    <xf numFmtId="0" fontId="46" fillId="29" borderId="160" xfId="0" applyNumberFormat="1" applyFont="1" applyFill="1" applyBorder="1" applyAlignment="1">
      <alignment horizontal="center" vertical="center"/>
    </xf>
    <xf numFmtId="0" fontId="0" fillId="29" borderId="50" xfId="0" applyNumberFormat="1" applyFill="1" applyBorder="1" applyAlignment="1">
      <alignment horizontal="center" vertical="center"/>
    </xf>
    <xf numFmtId="14" fontId="73" fillId="30" borderId="60" xfId="0" applyFont="1" applyFill="1" applyBorder="1" applyAlignment="1">
      <alignment horizontal="center" vertical="center"/>
    </xf>
    <xf numFmtId="14" fontId="43" fillId="25" borderId="0" xfId="75" applyFont="1" applyFill="1" applyAlignment="1">
      <alignment horizontal="center" vertical="top" wrapText="1"/>
    </xf>
  </cellXfs>
  <cellStyles count="84">
    <cellStyle name="_13_tabela_2C" xfId="1" xr:uid="{00000000-0005-0000-0000-000000000000}"/>
    <cellStyle name="_15_tabela_2D" xfId="2" xr:uid="{00000000-0005-0000-0000-000001000000}"/>
    <cellStyle name="_38_tabela_IV_4_C_6_Zakupy_dóbr" xfId="3" xr:uid="{00000000-0005-0000-0000-000002000000}"/>
    <cellStyle name="_wskaźniki makroekonomiczne_1" xfId="4" xr:uid="{00000000-0005-0000-0000-000003000000}"/>
    <cellStyle name="_zestawienie majątku_energia 16.03" xfId="5" xr:uid="{00000000-0005-0000-0000-000004000000}"/>
    <cellStyle name="20% - Accent1" xfId="6" xr:uid="{00000000-0005-0000-0000-000005000000}"/>
    <cellStyle name="20% - Accent2" xfId="7" xr:uid="{00000000-0005-0000-0000-000006000000}"/>
    <cellStyle name="20% - Accent3" xfId="8" xr:uid="{00000000-0005-0000-0000-000007000000}"/>
    <cellStyle name="20% - Accent4" xfId="9" xr:uid="{00000000-0005-0000-0000-000008000000}"/>
    <cellStyle name="20% - Accent5" xfId="10" xr:uid="{00000000-0005-0000-0000-000009000000}"/>
    <cellStyle name="20% - Accent6" xfId="11" xr:uid="{00000000-0005-0000-0000-00000A000000}"/>
    <cellStyle name="40% - Accent1" xfId="12" xr:uid="{00000000-0005-0000-0000-00000B000000}"/>
    <cellStyle name="40% - Accent2" xfId="13" xr:uid="{00000000-0005-0000-0000-00000C000000}"/>
    <cellStyle name="40% - Accent3" xfId="14" xr:uid="{00000000-0005-0000-0000-00000D000000}"/>
    <cellStyle name="40% - Accent4" xfId="15" xr:uid="{00000000-0005-0000-0000-00000E000000}"/>
    <cellStyle name="40% - Accent5" xfId="16" xr:uid="{00000000-0005-0000-0000-00000F000000}"/>
    <cellStyle name="40% - Accent6" xfId="17" xr:uid="{00000000-0005-0000-0000-000010000000}"/>
    <cellStyle name="60% - Accent1" xfId="18" xr:uid="{00000000-0005-0000-0000-000011000000}"/>
    <cellStyle name="60% - Accent2" xfId="19" xr:uid="{00000000-0005-0000-0000-000012000000}"/>
    <cellStyle name="60% - Accent3" xfId="20" xr:uid="{00000000-0005-0000-0000-000013000000}"/>
    <cellStyle name="60% - Accent4" xfId="21" xr:uid="{00000000-0005-0000-0000-000014000000}"/>
    <cellStyle name="60% - Accent5" xfId="22" xr:uid="{00000000-0005-0000-0000-000015000000}"/>
    <cellStyle name="60% - Accent6" xfId="23" xr:uid="{00000000-0005-0000-0000-000016000000}"/>
    <cellStyle name="Accent1" xfId="24" xr:uid="{00000000-0005-0000-0000-000017000000}"/>
    <cellStyle name="Accent2" xfId="25" xr:uid="{00000000-0005-0000-0000-000018000000}"/>
    <cellStyle name="Accent3" xfId="26" xr:uid="{00000000-0005-0000-0000-000019000000}"/>
    <cellStyle name="Accent4" xfId="27" xr:uid="{00000000-0005-0000-0000-00001A000000}"/>
    <cellStyle name="Accent5" xfId="28" xr:uid="{00000000-0005-0000-0000-00001B000000}"/>
    <cellStyle name="Accent6" xfId="29" xr:uid="{00000000-0005-0000-0000-00001C000000}"/>
    <cellStyle name="Akcent 1" xfId="30" builtinId="29" customBuiltin="1"/>
    <cellStyle name="Akcent 2" xfId="31" builtinId="33" customBuiltin="1"/>
    <cellStyle name="Akcent 3" xfId="32" builtinId="37" customBuiltin="1"/>
    <cellStyle name="Akcent 4" xfId="33" builtinId="41" customBuiltin="1"/>
    <cellStyle name="Akcent 5" xfId="34" builtinId="45" customBuiltin="1"/>
    <cellStyle name="Akcent 6" xfId="35" builtinId="49" customBuiltin="1"/>
    <cellStyle name="Bad" xfId="36" xr:uid="{00000000-0005-0000-0000-000023000000}"/>
    <cellStyle name="Calculation" xfId="37" xr:uid="{00000000-0005-0000-0000-000024000000}"/>
    <cellStyle name="Check Cell" xfId="38" xr:uid="{00000000-0005-0000-0000-000025000000}"/>
    <cellStyle name="Dane wejściowe" xfId="39" builtinId="20" customBuiltin="1"/>
    <cellStyle name="Dane wyjściowe" xfId="40" builtinId="21" customBuiltin="1"/>
    <cellStyle name="Explanatory Text" xfId="41" xr:uid="{00000000-0005-0000-0000-000028000000}"/>
    <cellStyle name="Good" xfId="42" xr:uid="{00000000-0005-0000-0000-000029000000}"/>
    <cellStyle name="Heading 1" xfId="43" xr:uid="{00000000-0005-0000-0000-00002A000000}"/>
    <cellStyle name="Heading 2" xfId="44" xr:uid="{00000000-0005-0000-0000-00002B000000}"/>
    <cellStyle name="Heading 3" xfId="45" xr:uid="{00000000-0005-0000-0000-00002C000000}"/>
    <cellStyle name="Heading 4" xfId="46" xr:uid="{00000000-0005-0000-0000-00002D000000}"/>
    <cellStyle name="Hiperłącze" xfId="47" builtinId="8" customBuiltin="1"/>
    <cellStyle name="Input" xfId="48" xr:uid="{00000000-0005-0000-0000-00002F000000}"/>
    <cellStyle name="Komórka połączona" xfId="49" builtinId="24" customBuiltin="1"/>
    <cellStyle name="Komórka zaznaczona" xfId="50" builtinId="23" customBuiltin="1"/>
    <cellStyle name="Linked Cell" xfId="51" xr:uid="{00000000-0005-0000-0000-000032000000}"/>
    <cellStyle name="Nagłówek 1" xfId="52" builtinId="16" customBuiltin="1"/>
    <cellStyle name="Nagłówek 2" xfId="53" builtinId="17" customBuiltin="1"/>
    <cellStyle name="Nagłówek 3" xfId="54" builtinId="18" customBuiltin="1"/>
    <cellStyle name="Nagłówek 4" xfId="55" builtinId="19" customBuiltin="1"/>
    <cellStyle name="Neutral" xfId="56" xr:uid="{00000000-0005-0000-0000-000037000000}"/>
    <cellStyle name="Normal_BSheetCF" xfId="57" xr:uid="{00000000-0005-0000-0000-000038000000}"/>
    <cellStyle name="Normalny" xfId="0" builtinId="0" customBuiltin="1"/>
    <cellStyle name="Normalny 2" xfId="58" xr:uid="{00000000-0005-0000-0000-00003A000000}"/>
    <cellStyle name="Normalny_Arkusz1_Zeszyt1" xfId="59" xr:uid="{00000000-0005-0000-0000-00003B000000}"/>
    <cellStyle name="Normalny_Moduł_plan inwestycyjny_energia_29_04" xfId="60" xr:uid="{00000000-0005-0000-0000-00003C000000}"/>
    <cellStyle name="Normalny_Moduł_plan inwestycyjny_energia_30_04" xfId="61" xr:uid="{00000000-0005-0000-0000-00003D000000}"/>
    <cellStyle name="Normalny_Moduł_plan inwestycyjny_raport_energia_zmiany_3" xfId="62" xr:uid="{00000000-0005-0000-0000-00003E000000}"/>
    <cellStyle name="Normalny_PR 2009-2013 TABELA 3A 2008.07.21 z danymi Mirka" xfId="63" xr:uid="{00000000-0005-0000-0000-00003F000000}"/>
    <cellStyle name="Normalny_PR 2009-2013 TABELA 3A 2008.07.21 z danymi Mirka_4_Modul_raport_wykonanie_gaz_2009_07_20" xfId="64" xr:uid="{00000000-0005-0000-0000-000040000000}"/>
    <cellStyle name="Normalny_PR 2009-2013 ZGB" xfId="65" xr:uid="{00000000-0005-0000-0000-000041000000}"/>
    <cellStyle name="Normalny_PR_2008-2011_ENEA_Operator_tabele_ po wezwaniu URE" xfId="66" xr:uid="{00000000-0005-0000-0000-000042000000}"/>
    <cellStyle name="Normalny_Tab. do III.4.A1. do Planu Rozwoju 2008-2011" xfId="67" xr:uid="{00000000-0005-0000-0000-000043000000}"/>
    <cellStyle name="Normalny_Tabela do punktu III.4.C.1. - Łączność" xfId="68" xr:uid="{00000000-0005-0000-0000-000044000000}"/>
    <cellStyle name="Normalny_Tabela zbiorcza do punktu III.4.A.1" xfId="69" xr:uid="{00000000-0005-0000-0000-000045000000}"/>
    <cellStyle name="Normalny_zestawienie majątku_energia 16.03" xfId="70" xr:uid="{00000000-0005-0000-0000-000046000000}"/>
    <cellStyle name="Normalny_Zeszyt1" xfId="71" xr:uid="{00000000-0005-0000-0000-000047000000}"/>
    <cellStyle name="Note" xfId="72" xr:uid="{00000000-0005-0000-0000-000048000000}"/>
    <cellStyle name="Obliczenia" xfId="73" builtinId="22" customBuiltin="1"/>
    <cellStyle name="Output" xfId="74" xr:uid="{00000000-0005-0000-0000-00004A000000}"/>
    <cellStyle name="Styl 1" xfId="75" xr:uid="{00000000-0005-0000-0000-00004B000000}"/>
    <cellStyle name="Suma" xfId="76" builtinId="25" customBuiltin="1"/>
    <cellStyle name="Tekst objaśnienia" xfId="77" builtinId="53" customBuiltin="1"/>
    <cellStyle name="Tekst ostrzeżenia" xfId="78" builtinId="11" customBuiltin="1"/>
    <cellStyle name="Title" xfId="79" xr:uid="{00000000-0005-0000-0000-00004F000000}"/>
    <cellStyle name="Total" xfId="80" xr:uid="{00000000-0005-0000-0000-000050000000}"/>
    <cellStyle name="Tytuł" xfId="81" builtinId="15" customBuiltin="1"/>
    <cellStyle name="Uwaga" xfId="82" builtinId="10" customBuiltin="1"/>
    <cellStyle name="Warning Text" xfId="83" xr:uid="{00000000-0005-0000-0000-00005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1</xdr:col>
      <xdr:colOff>690562</xdr:colOff>
      <xdr:row>25</xdr:row>
      <xdr:rowOff>47623</xdr:rowOff>
    </xdr:from>
    <xdr:ext cx="609601" cy="357189"/>
    <mc:AlternateContent xmlns:mc="http://schemas.openxmlformats.org/markup-compatibility/2006" xmlns:a14="http://schemas.microsoft.com/office/drawing/2010/main">
      <mc:Choice Requires="a14">
        <xdr:sp macro="" textlink="">
          <xdr:nvSpPr>
            <xdr:cNvPr id="2" name="pole tekstowe 1">
              <a:extLst>
                <a:ext uri="{FF2B5EF4-FFF2-40B4-BE49-F238E27FC236}">
                  <a16:creationId xmlns:a16="http://schemas.microsoft.com/office/drawing/2014/main" id="{00000000-0008-0000-2000-000002000000}"/>
                </a:ext>
              </a:extLst>
            </xdr:cNvPr>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𝑣</m:t>
                        </m:r>
                      </m:sub>
                    </m:sSub>
                    <m:r>
                      <a:rPr lang="pl-PL" sz="1100" i="1">
                        <a:latin typeface="Cambria Math" panose="02040503050406030204" pitchFamily="18" charset="0"/>
                        <a:ea typeface="Cambria Math" panose="02040503050406030204" pitchFamily="18" charset="0"/>
                      </a:rPr>
                      <m:t>=</m:t>
                    </m:r>
                    <m:f>
                      <m:fPr>
                        <m:ctrlPr>
                          <a:rPr lang="pl-PL" sz="1100" i="1">
                            <a:latin typeface="Cambria Math" panose="02040503050406030204" pitchFamily="18" charset="0"/>
                          </a:rPr>
                        </m:ctrlPr>
                      </m:fPr>
                      <m:num>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num>
                      <m:den>
                        <m:sSub>
                          <m:sSubPr>
                            <m:ctrlPr>
                              <a:rPr lang="pl-PL" sz="110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den>
                    </m:f>
                  </m:oMath>
                </m:oMathPara>
              </a14:m>
              <a:endParaRPr lang="pl-PL" sz="1100">
                <a:latin typeface="Cambria" panose="02040503050406030204" pitchFamily="18" charset="0"/>
              </a:endParaRPr>
            </a:p>
          </xdr:txBody>
        </xdr:sp>
      </mc:Choice>
      <mc:Fallback xmlns="">
        <xdr:sp macro="" textlink="">
          <xdr:nvSpPr>
            <xdr:cNvPr id="2" name="pole tekstowe 1"/>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l-PL" sz="1100" b="0" i="0">
                  <a:latin typeface="Cambria Math" panose="02040503050406030204" pitchFamily="18" charset="0"/>
                  <a:ea typeface="Cambria Math" panose="02040503050406030204" pitchFamily="18" charset="0"/>
                </a:rPr>
                <a:t>𝑡_𝑣</a:t>
              </a:r>
              <a:r>
                <a:rPr lang="pl-PL" sz="1100" i="0">
                  <a:latin typeface="Cambria Math" panose="02040503050406030204" pitchFamily="18" charset="0"/>
                  <a:ea typeface="Cambria Math" panose="02040503050406030204" pitchFamily="18" charset="0"/>
                </a:rPr>
                <a:t>=</a:t>
              </a:r>
              <a:r>
                <a:rPr lang="pl-PL" sz="1100" b="0" i="0">
                  <a:latin typeface="Cambria Math" panose="02040503050406030204" pitchFamily="18" charset="0"/>
                </a:rPr>
                <a:t>𝑇_𝑟/𝑁_0 </a:t>
              </a:r>
              <a:endParaRPr lang="pl-PL" sz="1100">
                <a:latin typeface="Cambria" panose="02040503050406030204" pitchFamily="18" charset="0"/>
              </a:endParaRPr>
            </a:p>
          </xdr:txBody>
        </xdr:sp>
      </mc:Fallback>
    </mc:AlternateContent>
    <xdr:clientData/>
  </xdr:oneCellAnchor>
  <xdr:oneCellAnchor>
    <xdr:from>
      <xdr:col>2</xdr:col>
      <xdr:colOff>42863</xdr:colOff>
      <xdr:row>16</xdr:row>
      <xdr:rowOff>202406</xdr:rowOff>
    </xdr:from>
    <xdr:ext cx="943400" cy="479362"/>
    <mc:AlternateContent xmlns:mc="http://schemas.openxmlformats.org/markup-compatibility/2006" xmlns:a14="http://schemas.microsoft.com/office/drawing/2010/main">
      <mc:Choice Requires="a14">
        <xdr:sp macro="" textlink="">
          <xdr:nvSpPr>
            <xdr:cNvPr id="3" name="pole tekstowe 2">
              <a:extLst>
                <a:ext uri="{FF2B5EF4-FFF2-40B4-BE49-F238E27FC236}">
                  <a16:creationId xmlns:a16="http://schemas.microsoft.com/office/drawing/2014/main" id="{00000000-0008-0000-2000-000003000000}"/>
                </a:ext>
              </a:extLst>
            </xdr:cNvPr>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𝑖</m:t>
                            </m:r>
                          </m:sub>
                        </m:sSub>
                        <m:r>
                          <a:rPr lang="pl-PL" sz="1100" b="0" i="1">
                            <a:latin typeface="Cambria Math" panose="02040503050406030204" pitchFamily="18" charset="0"/>
                            <a:ea typeface="Cambria Math" panose="02040503050406030204" pitchFamily="18" charset="0"/>
                          </a:rPr>
                          <m:t>×</m:t>
                        </m:r>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3" name="pole tekstowe 2"/>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𝑇_𝑟</a:t>
              </a:r>
              <a:r>
                <a:rPr lang="pl-PL" sz="1100" b="0" i="0">
                  <a:latin typeface="Cambria Math" panose="02040503050406030204" pitchFamily="18" charset="0"/>
                  <a:ea typeface="Cambria Math" panose="02040503050406030204" pitchFamily="18" charset="0"/>
                </a:rPr>
                <a:t>=∑24_(𝑖=1)^𝑘▒〖𝑡_𝑖×𝑛_𝑖 〗</a:t>
              </a:r>
              <a:endParaRPr lang="pl-PL" sz="1100"/>
            </a:p>
          </xdr:txBody>
        </xdr:sp>
      </mc:Fallback>
    </mc:AlternateContent>
    <xdr:clientData/>
  </xdr:oneCellAnchor>
  <xdr:oneCellAnchor>
    <xdr:from>
      <xdr:col>2</xdr:col>
      <xdr:colOff>66674</xdr:colOff>
      <xdr:row>21</xdr:row>
      <xdr:rowOff>40481</xdr:rowOff>
    </xdr:from>
    <xdr:ext cx="709553" cy="479362"/>
    <mc:AlternateContent xmlns:mc="http://schemas.openxmlformats.org/markup-compatibility/2006" xmlns:a14="http://schemas.microsoft.com/office/drawing/2010/main">
      <mc:Choice Requires="a14">
        <xdr:sp macro="" textlink="">
          <xdr:nvSpPr>
            <xdr:cNvPr id="4" name="pole tekstowe 3">
              <a:extLst>
                <a:ext uri="{FF2B5EF4-FFF2-40B4-BE49-F238E27FC236}">
                  <a16:creationId xmlns:a16="http://schemas.microsoft.com/office/drawing/2014/main" id="{00000000-0008-0000-2000-000004000000}"/>
                </a:ext>
              </a:extLst>
            </xdr:cNvPr>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4" name="pole tekstowe 3"/>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𝑁_0</a:t>
              </a:r>
              <a:r>
                <a:rPr lang="pl-PL" sz="1100" b="0" i="0">
                  <a:latin typeface="Cambria Math" panose="02040503050406030204" pitchFamily="18" charset="0"/>
                  <a:ea typeface="Cambria Math" panose="02040503050406030204" pitchFamily="18" charset="0"/>
                </a:rPr>
                <a:t>=∑24_(𝑖=1)^𝑘▒𝑛_𝑖 </a:t>
              </a:r>
              <a:endParaRPr lang="pl-PL" sz="1100"/>
            </a:p>
          </xdr:txBody>
        </xdr:sp>
      </mc:Fallback>
    </mc:AlternateContent>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3">
    <pageSetUpPr fitToPage="1"/>
  </sheetPr>
  <dimension ref="A1:O24"/>
  <sheetViews>
    <sheetView topLeftCell="A13" zoomScale="85" zoomScaleNormal="85" workbookViewId="0">
      <selection activeCell="E12" sqref="E12"/>
    </sheetView>
  </sheetViews>
  <sheetFormatPr defaultColWidth="8.88671875" defaultRowHeight="15.75"/>
  <cols>
    <col min="1" max="1" width="3.77734375" style="20" customWidth="1"/>
    <col min="2" max="2" width="38.109375" style="20" customWidth="1"/>
    <col min="3" max="3" width="4.88671875" style="20" customWidth="1"/>
    <col min="4" max="4" width="6.33203125" style="20" customWidth="1"/>
    <col min="5" max="5" width="15.77734375" style="20" customWidth="1"/>
    <col min="6" max="6" width="15.33203125" style="20" customWidth="1"/>
    <col min="7" max="7" width="15.77734375" style="20" customWidth="1"/>
    <col min="8" max="8" width="13.77734375" style="20" customWidth="1"/>
    <col min="9" max="10" width="8.88671875" style="20"/>
    <col min="11" max="11" width="16.44140625" style="20" customWidth="1"/>
    <col min="12" max="16384" width="8.88671875" style="20"/>
  </cols>
  <sheetData>
    <row r="1" spans="1:15" ht="18.75" customHeight="1">
      <c r="A1" s="18"/>
      <c r="B1" s="18"/>
      <c r="C1" s="18"/>
      <c r="D1" s="18"/>
      <c r="E1" s="18"/>
      <c r="F1" s="18"/>
      <c r="G1" s="18"/>
      <c r="H1" s="18"/>
      <c r="I1" s="19"/>
    </row>
    <row r="2" spans="1:15" ht="18.75" customHeight="1" thickBot="1">
      <c r="A2" s="18"/>
      <c r="B2" s="21"/>
      <c r="C2" s="21"/>
      <c r="D2" s="21"/>
      <c r="E2" s="21"/>
      <c r="F2" s="21"/>
      <c r="G2" s="21"/>
      <c r="H2" s="21"/>
      <c r="I2" s="19"/>
    </row>
    <row r="3" spans="1:15" ht="21.75" thickTop="1" thickBot="1">
      <c r="A3" s="25"/>
      <c r="B3" s="25" t="s">
        <v>366</v>
      </c>
      <c r="C3" s="25"/>
      <c r="D3" s="1025"/>
      <c r="E3" s="1026"/>
      <c r="F3" s="1026"/>
      <c r="G3" s="1027"/>
      <c r="H3" s="25"/>
      <c r="I3" s="26"/>
      <c r="J3" s="26"/>
      <c r="K3" s="26"/>
    </row>
    <row r="4" spans="1:15" ht="19.5" customHeight="1" thickTop="1">
      <c r="A4" s="22"/>
      <c r="B4" s="22"/>
      <c r="C4" s="22"/>
      <c r="D4" s="22"/>
      <c r="E4" s="22"/>
      <c r="F4" s="22"/>
      <c r="G4" s="22"/>
      <c r="H4" s="22"/>
      <c r="I4" s="19"/>
    </row>
    <row r="5" spans="1:15" ht="19.5" customHeight="1">
      <c r="A5" s="22"/>
      <c r="B5" s="22"/>
      <c r="C5" s="22"/>
      <c r="D5" s="22"/>
      <c r="E5" s="22"/>
      <c r="F5" s="22"/>
      <c r="G5" s="22"/>
      <c r="H5" s="22"/>
      <c r="I5" s="19"/>
    </row>
    <row r="6" spans="1:15" ht="16.5" customHeight="1">
      <c r="A6" s="23"/>
      <c r="B6" s="23"/>
      <c r="C6" s="24"/>
      <c r="D6" s="24"/>
      <c r="E6" s="24"/>
      <c r="F6" s="24"/>
      <c r="G6" s="24"/>
      <c r="H6" s="24"/>
      <c r="I6" s="19"/>
    </row>
    <row r="7" spans="1:15" ht="22.5" customHeight="1">
      <c r="A7" s="1032" t="str">
        <f>"Moduł raportu z wykonania planu inwestycyjnego za "&amp;Rok_ZPR&amp;" r. operatora systemu dystrybucyjnego obsługującego:"</f>
        <v>Moduł raportu z wykonania planu inwestycyjnego za 2023 r. operatora systemu dystrybucyjnego obsługującego:</v>
      </c>
      <c r="B7" s="1032"/>
      <c r="C7" s="1032"/>
      <c r="D7" s="1032"/>
      <c r="E7" s="1032"/>
      <c r="F7" s="1032"/>
      <c r="G7" s="1032"/>
      <c r="H7" s="1032"/>
      <c r="I7" s="26"/>
      <c r="J7" s="26"/>
      <c r="K7" s="26"/>
    </row>
    <row r="8" spans="1:15" ht="27.75" customHeight="1">
      <c r="A8" s="1032"/>
      <c r="B8" s="1032"/>
      <c r="C8" s="1032"/>
      <c r="D8" s="1032"/>
      <c r="E8" s="1032"/>
      <c r="F8" s="1032"/>
      <c r="G8" s="1032"/>
      <c r="H8" s="1032"/>
      <c r="I8" s="26"/>
      <c r="J8" s="26"/>
      <c r="K8" s="26"/>
    </row>
    <row r="9" spans="1:15" ht="54.95" customHeight="1">
      <c r="A9" s="1018"/>
      <c r="B9" s="1276" t="s">
        <v>373</v>
      </c>
      <c r="C9" s="1276"/>
      <c r="D9" s="1276"/>
      <c r="E9" s="1276"/>
      <c r="F9" s="1276"/>
      <c r="G9" s="1276"/>
      <c r="H9" s="1276"/>
      <c r="I9" s="26"/>
      <c r="J9" s="26"/>
      <c r="K9" s="26"/>
    </row>
    <row r="10" spans="1:15" ht="54.95" customHeight="1">
      <c r="A10" s="1018"/>
      <c r="B10" s="1020"/>
      <c r="C10" s="1020"/>
      <c r="D10" s="1020"/>
      <c r="E10" s="1020"/>
      <c r="F10" s="1020"/>
      <c r="G10" s="1020"/>
      <c r="H10" s="1020"/>
      <c r="I10" s="26"/>
      <c r="J10" s="26"/>
      <c r="K10" s="26"/>
    </row>
    <row r="12" spans="1:15">
      <c r="A12" s="26"/>
      <c r="B12" s="26"/>
      <c r="C12" s="26"/>
      <c r="D12" s="26"/>
      <c r="E12" s="26"/>
      <c r="F12" s="26"/>
      <c r="G12" s="26"/>
      <c r="H12" s="26"/>
      <c r="I12" s="26"/>
      <c r="J12" s="26"/>
      <c r="K12" s="26"/>
    </row>
    <row r="13" spans="1:15" ht="18">
      <c r="A13" s="27"/>
      <c r="B13" s="28" t="s">
        <v>15</v>
      </c>
      <c r="C13" s="28"/>
      <c r="D13" s="28"/>
      <c r="E13" s="28"/>
      <c r="F13" s="28"/>
      <c r="G13" s="28"/>
      <c r="H13" s="28"/>
      <c r="I13" s="28"/>
      <c r="J13" s="28"/>
      <c r="K13" s="28"/>
      <c r="L13" s="28"/>
      <c r="M13" s="28"/>
      <c r="N13" s="28"/>
      <c r="O13" s="28"/>
    </row>
    <row r="14" spans="1:15" ht="36" customHeight="1">
      <c r="A14" s="29" t="s">
        <v>13</v>
      </c>
      <c r="B14" s="1021" t="s">
        <v>276</v>
      </c>
      <c r="C14" s="1021"/>
      <c r="D14" s="1021"/>
      <c r="E14" s="1021"/>
      <c r="F14" s="1021"/>
      <c r="G14" s="1021"/>
      <c r="H14" s="1021"/>
      <c r="I14" s="1021"/>
      <c r="J14" s="1021"/>
      <c r="K14" s="1021"/>
      <c r="L14" s="28"/>
      <c r="M14" s="28"/>
      <c r="N14" s="28"/>
      <c r="O14" s="28"/>
    </row>
    <row r="15" spans="1:15" ht="21" customHeight="1">
      <c r="A15" s="29" t="s">
        <v>27</v>
      </c>
      <c r="B15" s="1021" t="s">
        <v>57</v>
      </c>
      <c r="C15" s="1021"/>
      <c r="D15" s="1021"/>
      <c r="E15" s="1021"/>
      <c r="F15" s="1021"/>
      <c r="G15" s="1021"/>
      <c r="H15" s="1021"/>
      <c r="I15" s="1021"/>
      <c r="J15" s="1021"/>
      <c r="K15" s="1021"/>
      <c r="L15" s="28"/>
      <c r="M15" s="28"/>
      <c r="N15" s="28"/>
      <c r="O15" s="28"/>
    </row>
    <row r="16" spans="1:15" ht="18.75" customHeight="1">
      <c r="A16" s="29" t="s">
        <v>28</v>
      </c>
      <c r="B16" s="1029" t="s">
        <v>227</v>
      </c>
      <c r="C16" s="1029"/>
      <c r="D16" s="1029"/>
      <c r="E16" s="1029"/>
      <c r="F16" s="1029"/>
      <c r="G16" s="1029"/>
      <c r="H16" s="1029"/>
      <c r="I16" s="1029"/>
      <c r="J16" s="1029"/>
      <c r="K16" s="1029"/>
      <c r="L16" s="28"/>
      <c r="M16" s="28"/>
      <c r="N16" s="28"/>
      <c r="O16" s="28"/>
    </row>
    <row r="17" spans="1:15" ht="36" customHeight="1">
      <c r="A17" s="29" t="s">
        <v>35</v>
      </c>
      <c r="B17" s="1028" t="s">
        <v>37</v>
      </c>
      <c r="C17" s="1028"/>
      <c r="D17" s="1028"/>
      <c r="E17" s="1028"/>
      <c r="F17" s="1028"/>
      <c r="G17" s="1028"/>
      <c r="H17" s="1028"/>
      <c r="I17" s="1028"/>
      <c r="J17" s="1028"/>
      <c r="K17" s="1028"/>
      <c r="L17" s="28"/>
      <c r="M17" s="28"/>
      <c r="N17" s="28"/>
      <c r="O17" s="28"/>
    </row>
    <row r="18" spans="1:15" ht="35.25" customHeight="1">
      <c r="A18" s="29" t="s">
        <v>38</v>
      </c>
      <c r="B18" s="1030" t="s">
        <v>226</v>
      </c>
      <c r="C18" s="1030"/>
      <c r="D18" s="1030"/>
      <c r="E18" s="1030"/>
      <c r="F18" s="1030"/>
      <c r="G18" s="1030"/>
      <c r="H18" s="1030"/>
      <c r="I18" s="1030"/>
      <c r="J18" s="1030"/>
      <c r="K18" s="1030"/>
      <c r="L18" s="28"/>
      <c r="M18" s="28"/>
      <c r="N18" s="28"/>
      <c r="O18" s="28"/>
    </row>
    <row r="19" spans="1:15" ht="42" customHeight="1">
      <c r="A19" s="29" t="s">
        <v>39</v>
      </c>
      <c r="B19" s="1028" t="s">
        <v>106</v>
      </c>
      <c r="C19" s="1028"/>
      <c r="D19" s="1028"/>
      <c r="E19" s="1028"/>
      <c r="F19" s="1028"/>
      <c r="G19" s="1028"/>
      <c r="H19" s="1028"/>
      <c r="I19" s="1028"/>
      <c r="J19" s="1028"/>
      <c r="K19" s="1028"/>
      <c r="L19" s="28"/>
      <c r="M19" s="28"/>
      <c r="N19" s="28"/>
      <c r="O19" s="28"/>
    </row>
    <row r="20" spans="1:15" ht="39" customHeight="1">
      <c r="A20" s="29" t="s">
        <v>40</v>
      </c>
      <c r="B20" s="1028" t="s">
        <v>225</v>
      </c>
      <c r="C20" s="1031"/>
      <c r="D20" s="1031"/>
      <c r="E20" s="1031"/>
      <c r="F20" s="1031"/>
      <c r="G20" s="1031"/>
      <c r="H20" s="1031"/>
      <c r="I20" s="1031"/>
      <c r="J20" s="1031"/>
      <c r="K20" s="1031"/>
      <c r="L20" s="28"/>
      <c r="M20" s="28"/>
      <c r="N20" s="28"/>
      <c r="O20" s="28"/>
    </row>
    <row r="21" spans="1:15" ht="147" customHeight="1">
      <c r="A21" s="29" t="s">
        <v>224</v>
      </c>
      <c r="B21" s="1028" t="s">
        <v>229</v>
      </c>
      <c r="C21" s="1028"/>
      <c r="D21" s="1028"/>
      <c r="E21" s="1028"/>
      <c r="F21" s="1028"/>
      <c r="G21" s="1028"/>
      <c r="H21" s="1028"/>
      <c r="I21" s="1028"/>
      <c r="J21" s="1028"/>
      <c r="K21" s="1028"/>
      <c r="L21" s="28"/>
      <c r="M21" s="28"/>
      <c r="N21" s="28"/>
      <c r="O21" s="28"/>
    </row>
    <row r="22" spans="1:15" ht="36" customHeight="1" thickBot="1">
      <c r="A22" s="29" t="s">
        <v>228</v>
      </c>
      <c r="B22" s="1028" t="s">
        <v>58</v>
      </c>
      <c r="C22" s="1028"/>
      <c r="D22" s="1028"/>
      <c r="E22" s="1028"/>
      <c r="F22" s="1028"/>
      <c r="G22" s="1028"/>
      <c r="H22" s="1028"/>
      <c r="I22" s="1028"/>
      <c r="J22" s="1028"/>
      <c r="K22" s="1028"/>
      <c r="L22" s="28"/>
      <c r="M22" s="28"/>
      <c r="N22" s="28"/>
      <c r="O22" s="28"/>
    </row>
    <row r="23" spans="1:15" ht="27.75" customHeight="1" thickTop="1" thickBot="1">
      <c r="A23" s="28"/>
      <c r="B23" s="28"/>
      <c r="C23" s="28"/>
      <c r="D23" s="1022"/>
      <c r="E23" s="1023"/>
      <c r="F23" s="1023"/>
      <c r="G23" s="1024"/>
      <c r="H23" s="28"/>
      <c r="I23" s="28"/>
      <c r="J23" s="28"/>
      <c r="K23" s="30"/>
      <c r="L23" s="28"/>
      <c r="M23" s="28"/>
      <c r="N23" s="28"/>
      <c r="O23" s="28"/>
    </row>
    <row r="24" spans="1:15" ht="16.5" thickTop="1"/>
  </sheetData>
  <sheetProtection autoFilter="0"/>
  <mergeCells count="14">
    <mergeCell ref="B10:H10"/>
    <mergeCell ref="B14:K14"/>
    <mergeCell ref="B15:K15"/>
    <mergeCell ref="D23:G23"/>
    <mergeCell ref="D3:G3"/>
    <mergeCell ref="B19:K19"/>
    <mergeCell ref="B17:K17"/>
    <mergeCell ref="B16:K16"/>
    <mergeCell ref="B22:K22"/>
    <mergeCell ref="B18:K18"/>
    <mergeCell ref="B20:K20"/>
    <mergeCell ref="B21:K21"/>
    <mergeCell ref="A7:H8"/>
    <mergeCell ref="B9:H9"/>
  </mergeCells>
  <phoneticPr fontId="0" type="noConversion"/>
  <pageMargins left="0.74803149606299213" right="0.74803149606299213" top="0.98425196850393704" bottom="0.98425196850393704" header="0.51181102362204722" footer="0.51181102362204722"/>
  <pageSetup paperSize="9" scale="87" fitToHeight="0" orientation="landscape" r:id="rId1"/>
  <headerFooter alignWithMargins="0">
    <oddFooter>&amp;LModuł planu inwestycyjnego&amp;C&amp;P/&amp;N&amp;R&amp;A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5">
    <pageSetUpPr fitToPage="1"/>
  </sheetPr>
  <dimension ref="A1:O1786"/>
  <sheetViews>
    <sheetView zoomScaleNormal="100" zoomScaleSheetLayoutView="75" workbookViewId="0">
      <pane ySplit="5" topLeftCell="A54" activePane="bottomLeft" state="frozen"/>
      <selection pane="bottomLeft" activeCell="A8" sqref="A8:K69"/>
    </sheetView>
  </sheetViews>
  <sheetFormatPr defaultColWidth="8.88671875" defaultRowHeight="12.75"/>
  <cols>
    <col min="1" max="1" width="3.77734375" style="109" customWidth="1"/>
    <col min="2" max="2" width="4.77734375" style="109" customWidth="1"/>
    <col min="3" max="3" width="66.77734375" style="135" customWidth="1"/>
    <col min="4" max="4" width="12.77734375" style="141" customWidth="1"/>
    <col min="5" max="5" width="15.77734375" style="109" customWidth="1"/>
    <col min="6" max="15" width="10.77734375" style="109" customWidth="1"/>
    <col min="16" max="16384" width="8.88671875" style="109"/>
  </cols>
  <sheetData>
    <row r="1" spans="1:15" ht="15.75">
      <c r="A1" s="36"/>
      <c r="B1" s="128"/>
      <c r="C1" s="930" t="s">
        <v>9</v>
      </c>
      <c r="D1" s="129"/>
      <c r="E1" s="128"/>
      <c r="F1" s="128"/>
      <c r="G1" s="128"/>
      <c r="H1" s="128"/>
      <c r="I1" s="128"/>
      <c r="J1" s="131"/>
      <c r="K1" s="131"/>
      <c r="L1" s="863"/>
      <c r="M1" s="863"/>
    </row>
    <row r="2" spans="1:15" ht="15.75">
      <c r="A2" s="36"/>
      <c r="B2" s="128"/>
      <c r="C2" s="38"/>
      <c r="D2" s="129"/>
      <c r="E2" s="128"/>
      <c r="F2" s="128"/>
      <c r="G2" s="128"/>
      <c r="H2" s="128"/>
      <c r="I2" s="128"/>
      <c r="J2" s="131"/>
      <c r="K2" s="131"/>
      <c r="L2" s="863"/>
      <c r="M2" s="863"/>
    </row>
    <row r="3" spans="1:15" ht="18">
      <c r="A3" s="36"/>
      <c r="B3" s="142" t="s">
        <v>243</v>
      </c>
      <c r="C3" s="142"/>
      <c r="D3" s="142"/>
      <c r="E3" s="143"/>
      <c r="F3" s="128"/>
      <c r="G3" s="128"/>
      <c r="H3" s="128"/>
      <c r="I3" s="128"/>
      <c r="J3" s="131"/>
      <c r="K3" s="131"/>
      <c r="L3" s="863"/>
      <c r="M3" s="863"/>
    </row>
    <row r="4" spans="1:15" ht="18.95" customHeight="1">
      <c r="A4" s="36"/>
      <c r="B4" s="142"/>
      <c r="C4" s="142"/>
      <c r="D4" s="142"/>
      <c r="E4" s="143"/>
      <c r="F4" s="128"/>
      <c r="G4" s="128"/>
      <c r="H4" s="128"/>
      <c r="I4" s="128"/>
      <c r="J4" s="131"/>
      <c r="K4" s="131"/>
      <c r="L4" s="863"/>
      <c r="M4" s="863"/>
    </row>
    <row r="5" spans="1:15" ht="15" customHeight="1">
      <c r="A5" s="36"/>
      <c r="B5" s="842" t="s">
        <v>13</v>
      </c>
      <c r="C5" s="1084" t="s">
        <v>275</v>
      </c>
      <c r="D5" s="1085"/>
      <c r="E5" s="1085"/>
      <c r="F5" s="1085"/>
      <c r="G5" s="1085"/>
      <c r="H5" s="1085"/>
      <c r="I5" s="1085"/>
      <c r="J5" s="866"/>
      <c r="K5" s="866"/>
      <c r="L5" s="864"/>
      <c r="M5" s="863"/>
    </row>
    <row r="6" spans="1:15" ht="9.9499999999999993" customHeight="1">
      <c r="A6" s="873"/>
      <c r="B6" s="797"/>
      <c r="C6" s="821"/>
      <c r="D6" s="821"/>
      <c r="E6" s="821"/>
      <c r="F6" s="877"/>
      <c r="G6" s="877"/>
      <c r="H6" s="877"/>
      <c r="I6" s="877"/>
      <c r="J6" s="866"/>
      <c r="K6" s="866"/>
      <c r="L6" s="864"/>
      <c r="M6" s="863"/>
    </row>
    <row r="7" spans="1:15" ht="30" customHeight="1" thickBot="1">
      <c r="A7" s="859"/>
      <c r="B7" s="199" t="s">
        <v>244</v>
      </c>
      <c r="C7" s="132"/>
      <c r="D7" s="133"/>
      <c r="E7" s="35"/>
      <c r="F7" s="859"/>
      <c r="G7" s="859"/>
      <c r="H7" s="859"/>
      <c r="I7" s="859"/>
      <c r="J7" s="853"/>
      <c r="K7" s="853"/>
      <c r="L7" s="863"/>
      <c r="M7" s="863"/>
    </row>
    <row r="8" spans="1:15" s="135" customFormat="1" ht="18.95" customHeight="1">
      <c r="A8" s="874"/>
      <c r="B8" s="1035" t="str">
        <f>'Tab.G1.1-4'!$B$8</f>
        <v>LP</v>
      </c>
      <c r="C8" s="1037" t="str">
        <f>'Tab.G1.1-4'!$C$8</f>
        <v>Wyszczególnienie</v>
      </c>
      <c r="D8" s="1038"/>
      <c r="E8" s="627" t="str">
        <f>'Tab.G1.1-4'!$E$8</f>
        <v>Wykonanie</v>
      </c>
      <c r="F8" s="704"/>
      <c r="G8" s="704"/>
      <c r="H8" s="704"/>
      <c r="I8" s="704"/>
      <c r="J8" s="704"/>
      <c r="K8" s="704"/>
      <c r="L8" s="865"/>
      <c r="M8" s="865"/>
      <c r="N8" s="822"/>
      <c r="O8" s="822"/>
    </row>
    <row r="9" spans="1:15" s="135" customFormat="1" ht="18.95" customHeight="1">
      <c r="A9" s="875"/>
      <c r="B9" s="1036"/>
      <c r="C9" s="1039"/>
      <c r="D9" s="1040"/>
      <c r="E9" s="628">
        <f>Rok_ZPR</f>
        <v>2023</v>
      </c>
      <c r="F9" s="704"/>
      <c r="G9" s="704"/>
      <c r="H9" s="704"/>
      <c r="I9" s="704"/>
      <c r="J9" s="704"/>
      <c r="K9" s="704"/>
      <c r="L9" s="822"/>
      <c r="M9" s="822"/>
      <c r="N9" s="822"/>
      <c r="O9" s="822"/>
    </row>
    <row r="10" spans="1:15" ht="14.1" customHeight="1" thickBot="1">
      <c r="A10" s="876"/>
      <c r="B10" s="644" t="str">
        <f t="array" ref="B10:B67">Tab.G17!$B$10:$B$67</f>
        <v>01</v>
      </c>
      <c r="C10" s="1044" t="str">
        <f>Tab.G17!$B$11</f>
        <v>02</v>
      </c>
      <c r="D10" s="1034"/>
      <c r="E10" s="645" t="str">
        <f>Tab.G17!$B$12</f>
        <v>03</v>
      </c>
      <c r="F10" s="704"/>
      <c r="G10" s="704"/>
      <c r="H10" s="704"/>
      <c r="I10" s="704"/>
      <c r="J10" s="704"/>
      <c r="K10" s="704"/>
      <c r="L10" s="822"/>
      <c r="M10" s="822"/>
      <c r="N10" s="822"/>
      <c r="O10" s="822"/>
    </row>
    <row r="11" spans="1:15" ht="18.95" customHeight="1" thickBot="1">
      <c r="A11" s="860"/>
      <c r="B11" s="641" t="str">
        <v>02</v>
      </c>
      <c r="C11" s="1" t="s">
        <v>112</v>
      </c>
      <c r="D11" s="2" t="str">
        <f>'Tab.G1.1-4'!$D$11</f>
        <v>[tys. zł]</v>
      </c>
      <c r="E11" s="146">
        <f>SUM(E12,E23,E39)</f>
        <v>0</v>
      </c>
      <c r="F11" s="704"/>
      <c r="G11" s="704"/>
      <c r="H11" s="704"/>
      <c r="I11" s="704"/>
      <c r="J11" s="704"/>
      <c r="K11" s="704"/>
      <c r="L11" s="822"/>
      <c r="M11" s="822"/>
      <c r="N11" s="822"/>
      <c r="O11" s="822"/>
    </row>
    <row r="12" spans="1:15" ht="18.95" customHeight="1" thickBot="1">
      <c r="A12" s="860"/>
      <c r="B12" s="633" t="str">
        <v>03</v>
      </c>
      <c r="C12" s="3" t="s">
        <v>120</v>
      </c>
      <c r="D12" s="4" t="str">
        <f>'Tab.G1.1-4'!$D$11</f>
        <v>[tys. zł]</v>
      </c>
      <c r="E12" s="147">
        <f>SUM(E13,E18)</f>
        <v>0</v>
      </c>
      <c r="F12" s="704"/>
      <c r="G12" s="704"/>
      <c r="H12" s="704"/>
      <c r="I12" s="704"/>
      <c r="J12" s="704"/>
      <c r="K12" s="704"/>
      <c r="L12" s="822"/>
      <c r="M12" s="822"/>
      <c r="N12" s="822"/>
      <c r="O12" s="822"/>
    </row>
    <row r="13" spans="1:15" ht="18.95" customHeight="1">
      <c r="A13" s="859"/>
      <c r="B13" s="634" t="str">
        <v>04</v>
      </c>
      <c r="C13" s="258" t="s">
        <v>72</v>
      </c>
      <c r="D13" s="5" t="str">
        <f>'Tab.G1.1-4'!$D$11</f>
        <v>[tys. zł]</v>
      </c>
      <c r="E13" s="148">
        <f>SUM(E14:E17)</f>
        <v>0</v>
      </c>
      <c r="F13" s="704"/>
      <c r="G13" s="704"/>
      <c r="H13" s="704"/>
      <c r="I13" s="704"/>
      <c r="J13" s="704"/>
      <c r="K13" s="704"/>
      <c r="L13" s="822"/>
      <c r="M13" s="822"/>
      <c r="N13" s="822"/>
      <c r="O13" s="822"/>
    </row>
    <row r="14" spans="1:15" ht="18.95" customHeight="1">
      <c r="A14" s="859"/>
      <c r="B14" s="635" t="str">
        <v>05</v>
      </c>
      <c r="C14" s="260" t="s">
        <v>73</v>
      </c>
      <c r="D14" s="6" t="str">
        <f>'Tab.G1.1-4'!$D$11</f>
        <v>[tys. zł]</v>
      </c>
      <c r="E14" s="149"/>
      <c r="F14" s="704"/>
      <c r="G14" s="704"/>
      <c r="H14" s="704"/>
      <c r="I14" s="704"/>
      <c r="J14" s="704"/>
      <c r="K14" s="704"/>
      <c r="L14" s="822"/>
      <c r="M14" s="822"/>
      <c r="N14" s="822"/>
      <c r="O14" s="822"/>
    </row>
    <row r="15" spans="1:15" ht="18.95" customHeight="1">
      <c r="A15" s="859"/>
      <c r="B15" s="636" t="str">
        <v>06</v>
      </c>
      <c r="C15" s="261" t="s">
        <v>74</v>
      </c>
      <c r="D15" s="7" t="str">
        <f>'Tab.G1.1-4'!$D$11</f>
        <v>[tys. zł]</v>
      </c>
      <c r="E15" s="150"/>
      <c r="F15" s="704"/>
      <c r="G15" s="704"/>
      <c r="H15" s="704"/>
      <c r="I15" s="704"/>
      <c r="J15" s="704"/>
      <c r="K15" s="704"/>
      <c r="L15" s="822"/>
      <c r="M15" s="822"/>
      <c r="N15" s="822"/>
      <c r="O15" s="822"/>
    </row>
    <row r="16" spans="1:15" ht="18.95" customHeight="1">
      <c r="A16" s="860"/>
      <c r="B16" s="636" t="str">
        <v>07</v>
      </c>
      <c r="C16" s="261" t="s">
        <v>75</v>
      </c>
      <c r="D16" s="7" t="str">
        <f>'Tab.G1.1-4'!$D$11</f>
        <v>[tys. zł]</v>
      </c>
      <c r="E16" s="150"/>
      <c r="F16" s="704"/>
      <c r="G16" s="704"/>
      <c r="H16" s="704"/>
      <c r="I16" s="704"/>
      <c r="J16" s="704"/>
      <c r="K16" s="704"/>
      <c r="L16" s="822"/>
      <c r="M16" s="822"/>
      <c r="N16" s="822"/>
      <c r="O16" s="822"/>
    </row>
    <row r="17" spans="1:15" ht="18.95" customHeight="1">
      <c r="A17" s="860"/>
      <c r="B17" s="637" t="str">
        <v>08</v>
      </c>
      <c r="C17" s="264" t="s">
        <v>76</v>
      </c>
      <c r="D17" s="8" t="str">
        <f>'Tab.G1.1-4'!$D$11</f>
        <v>[tys. zł]</v>
      </c>
      <c r="E17" s="151"/>
      <c r="F17" s="704"/>
      <c r="G17" s="704"/>
      <c r="H17" s="704"/>
      <c r="I17" s="704"/>
      <c r="J17" s="704"/>
      <c r="K17" s="704"/>
      <c r="L17" s="822"/>
      <c r="M17" s="822"/>
      <c r="N17" s="822"/>
      <c r="O17" s="822"/>
    </row>
    <row r="18" spans="1:15" ht="18.95" customHeight="1">
      <c r="A18" s="860"/>
      <c r="B18" s="638" t="str">
        <v>09</v>
      </c>
      <c r="C18" s="259" t="s">
        <v>77</v>
      </c>
      <c r="D18" s="9" t="str">
        <f>'Tab.G1.1-4'!$D$11</f>
        <v>[tys. zł]</v>
      </c>
      <c r="E18" s="152">
        <f>SUM(E19:E22)</f>
        <v>0</v>
      </c>
      <c r="F18" s="704"/>
      <c r="G18" s="704"/>
      <c r="H18" s="704"/>
      <c r="I18" s="704"/>
      <c r="J18" s="704"/>
      <c r="K18" s="704"/>
      <c r="L18" s="822"/>
      <c r="M18" s="822"/>
      <c r="N18" s="822"/>
      <c r="O18" s="822"/>
    </row>
    <row r="19" spans="1:15" ht="18.95" customHeight="1">
      <c r="A19" s="860"/>
      <c r="B19" s="635" t="str">
        <v>10</v>
      </c>
      <c r="C19" s="260" t="s">
        <v>73</v>
      </c>
      <c r="D19" s="6" t="str">
        <f>'Tab.G1.1-4'!$D$11</f>
        <v>[tys. zł]</v>
      </c>
      <c r="E19" s="149"/>
      <c r="F19" s="704"/>
      <c r="G19" s="704"/>
      <c r="H19" s="704"/>
      <c r="I19" s="704"/>
      <c r="J19" s="704"/>
      <c r="K19" s="704"/>
      <c r="L19" s="822"/>
      <c r="M19" s="822"/>
      <c r="N19" s="822"/>
      <c r="O19" s="822"/>
    </row>
    <row r="20" spans="1:15" ht="18.95" customHeight="1">
      <c r="A20" s="860"/>
      <c r="B20" s="636" t="str">
        <v>11</v>
      </c>
      <c r="C20" s="261" t="s">
        <v>74</v>
      </c>
      <c r="D20" s="7" t="str">
        <f>'Tab.G1.1-4'!$D$11</f>
        <v>[tys. zł]</v>
      </c>
      <c r="E20" s="150"/>
      <c r="F20" s="704"/>
      <c r="G20" s="704"/>
      <c r="H20" s="704"/>
      <c r="I20" s="704"/>
      <c r="J20" s="704"/>
      <c r="K20" s="704"/>
      <c r="L20" s="822"/>
      <c r="M20" s="822"/>
      <c r="N20" s="822"/>
      <c r="O20" s="822"/>
    </row>
    <row r="21" spans="1:15" ht="18.95" customHeight="1">
      <c r="A21" s="860"/>
      <c r="B21" s="636" t="str">
        <v>12</v>
      </c>
      <c r="C21" s="261" t="s">
        <v>75</v>
      </c>
      <c r="D21" s="7" t="str">
        <f>'Tab.G1.1-4'!$D$11</f>
        <v>[tys. zł]</v>
      </c>
      <c r="E21" s="150"/>
      <c r="F21" s="704"/>
      <c r="G21" s="704"/>
      <c r="H21" s="704"/>
      <c r="I21" s="704"/>
      <c r="J21" s="704"/>
      <c r="K21" s="704"/>
      <c r="L21" s="822"/>
      <c r="M21" s="822"/>
      <c r="N21" s="822"/>
      <c r="O21" s="822"/>
    </row>
    <row r="22" spans="1:15" ht="18.95" customHeight="1" thickBot="1">
      <c r="A22" s="860"/>
      <c r="B22" s="639" t="str">
        <v>13</v>
      </c>
      <c r="C22" s="265" t="s">
        <v>76</v>
      </c>
      <c r="D22" s="10" t="str">
        <f>'Tab.G1.1-4'!$D$11</f>
        <v>[tys. zł]</v>
      </c>
      <c r="E22" s="153"/>
      <c r="F22" s="704"/>
      <c r="G22" s="704"/>
      <c r="H22" s="704"/>
      <c r="I22" s="704"/>
      <c r="J22" s="704"/>
      <c r="K22" s="704"/>
      <c r="L22" s="822"/>
      <c r="M22" s="822"/>
      <c r="N22" s="822"/>
      <c r="O22" s="822"/>
    </row>
    <row r="23" spans="1:15" ht="18.95" customHeight="1" thickBot="1">
      <c r="A23" s="860"/>
      <c r="B23" s="633" t="str">
        <v>14</v>
      </c>
      <c r="C23" s="11" t="s">
        <v>121</v>
      </c>
      <c r="D23" s="4" t="str">
        <f>'Tab.G1.1-4'!$D$11</f>
        <v>[tys. zł]</v>
      </c>
      <c r="E23" s="147">
        <f>SUM(E24,E29,E34)</f>
        <v>0</v>
      </c>
      <c r="F23" s="704"/>
      <c r="G23" s="704"/>
      <c r="H23" s="704"/>
      <c r="I23" s="704"/>
      <c r="J23" s="704"/>
      <c r="K23" s="704"/>
      <c r="L23" s="822"/>
      <c r="M23" s="822"/>
      <c r="N23" s="822"/>
      <c r="O23" s="822"/>
    </row>
    <row r="24" spans="1:15" ht="18.95" customHeight="1">
      <c r="A24" s="860"/>
      <c r="B24" s="634" t="str">
        <v>15</v>
      </c>
      <c r="C24" s="258" t="s">
        <v>72</v>
      </c>
      <c r="D24" s="5" t="str">
        <f>'Tab.G1.1-4'!$D$11</f>
        <v>[tys. zł]</v>
      </c>
      <c r="E24" s="148">
        <f>SUM(E25:E28)</f>
        <v>0</v>
      </c>
      <c r="F24" s="704"/>
      <c r="G24" s="704"/>
      <c r="H24" s="704"/>
      <c r="I24" s="704"/>
      <c r="J24" s="704"/>
      <c r="K24" s="704"/>
      <c r="L24" s="822"/>
      <c r="M24" s="822"/>
      <c r="N24" s="822"/>
      <c r="O24" s="822"/>
    </row>
    <row r="25" spans="1:15" ht="18.95" customHeight="1">
      <c r="A25" s="860"/>
      <c r="B25" s="635" t="str">
        <v>16</v>
      </c>
      <c r="C25" s="260" t="s">
        <v>78</v>
      </c>
      <c r="D25" s="6" t="str">
        <f>'Tab.G1.1-4'!$D$11</f>
        <v>[tys. zł]</v>
      </c>
      <c r="E25" s="149"/>
      <c r="F25" s="704"/>
      <c r="G25" s="704"/>
      <c r="H25" s="704"/>
      <c r="I25" s="704"/>
      <c r="J25" s="704"/>
      <c r="K25" s="704"/>
      <c r="L25" s="822"/>
      <c r="M25" s="822"/>
      <c r="N25" s="822"/>
      <c r="O25" s="822"/>
    </row>
    <row r="26" spans="1:15" ht="18.95" customHeight="1">
      <c r="A26" s="860"/>
      <c r="B26" s="636" t="str">
        <v>17</v>
      </c>
      <c r="C26" s="261" t="s">
        <v>75</v>
      </c>
      <c r="D26" s="7" t="str">
        <f>'Tab.G1.1-4'!$D$11</f>
        <v>[tys. zł]</v>
      </c>
      <c r="E26" s="150"/>
      <c r="F26" s="704"/>
      <c r="G26" s="704"/>
      <c r="H26" s="704"/>
      <c r="I26" s="704"/>
      <c r="J26" s="704"/>
      <c r="K26" s="704"/>
      <c r="L26" s="822"/>
      <c r="M26" s="822"/>
      <c r="N26" s="822"/>
      <c r="O26" s="822"/>
    </row>
    <row r="27" spans="1:15" ht="18.95" customHeight="1">
      <c r="A27" s="860"/>
      <c r="B27" s="636" t="str">
        <v>18</v>
      </c>
      <c r="C27" s="262" t="s">
        <v>79</v>
      </c>
      <c r="D27" s="7" t="str">
        <f>'Tab.G1.1-4'!$D$11</f>
        <v>[tys. zł]</v>
      </c>
      <c r="E27" s="150"/>
      <c r="F27" s="704"/>
      <c r="G27" s="704"/>
      <c r="H27" s="704"/>
      <c r="I27" s="704"/>
      <c r="J27" s="704"/>
      <c r="K27" s="704"/>
      <c r="L27" s="822"/>
      <c r="M27" s="822"/>
      <c r="N27" s="822"/>
      <c r="O27" s="822"/>
    </row>
    <row r="28" spans="1:15" ht="18.95" customHeight="1">
      <c r="A28" s="860"/>
      <c r="B28" s="637" t="str">
        <v>19</v>
      </c>
      <c r="C28" s="264" t="s">
        <v>80</v>
      </c>
      <c r="D28" s="8" t="str">
        <f>'Tab.G1.1-4'!$D$11</f>
        <v>[tys. zł]</v>
      </c>
      <c r="E28" s="151"/>
      <c r="F28" s="704"/>
      <c r="G28" s="704"/>
      <c r="H28" s="704"/>
      <c r="I28" s="704"/>
      <c r="J28" s="704"/>
      <c r="K28" s="704"/>
      <c r="L28" s="822"/>
      <c r="M28" s="822"/>
      <c r="N28" s="822"/>
      <c r="O28" s="822"/>
    </row>
    <row r="29" spans="1:15" ht="18.95" customHeight="1">
      <c r="A29" s="860"/>
      <c r="B29" s="638" t="str">
        <v>20</v>
      </c>
      <c r="C29" s="259" t="s">
        <v>77</v>
      </c>
      <c r="D29" s="9" t="str">
        <f>'Tab.G1.1-4'!$D$11</f>
        <v>[tys. zł]</v>
      </c>
      <c r="E29" s="152">
        <f>SUM(E30:E33)</f>
        <v>0</v>
      </c>
      <c r="F29" s="704"/>
      <c r="G29" s="704"/>
      <c r="H29" s="704"/>
      <c r="I29" s="704"/>
      <c r="J29" s="704"/>
      <c r="K29" s="704"/>
      <c r="L29" s="822"/>
      <c r="M29" s="822"/>
      <c r="N29" s="822"/>
      <c r="O29" s="822"/>
    </row>
    <row r="30" spans="1:15" ht="18.95" customHeight="1">
      <c r="A30" s="860"/>
      <c r="B30" s="635" t="str">
        <v>21</v>
      </c>
      <c r="C30" s="260" t="s">
        <v>78</v>
      </c>
      <c r="D30" s="6" t="str">
        <f>'Tab.G1.1-4'!$D$11</f>
        <v>[tys. zł]</v>
      </c>
      <c r="E30" s="149"/>
      <c r="F30" s="704"/>
      <c r="G30" s="704"/>
      <c r="H30" s="704"/>
      <c r="I30" s="704"/>
      <c r="J30" s="704"/>
      <c r="K30" s="704"/>
      <c r="L30" s="822"/>
      <c r="M30" s="822"/>
      <c r="N30" s="822"/>
      <c r="O30" s="822"/>
    </row>
    <row r="31" spans="1:15" ht="18.95" customHeight="1">
      <c r="A31" s="860"/>
      <c r="B31" s="636" t="str">
        <v>22</v>
      </c>
      <c r="C31" s="261" t="s">
        <v>75</v>
      </c>
      <c r="D31" s="7" t="str">
        <f>'Tab.G1.1-4'!$D$11</f>
        <v>[tys. zł]</v>
      </c>
      <c r="E31" s="150"/>
      <c r="F31" s="704"/>
      <c r="G31" s="704"/>
      <c r="H31" s="704"/>
      <c r="I31" s="704"/>
      <c r="J31" s="704"/>
      <c r="K31" s="704"/>
      <c r="L31" s="822"/>
      <c r="M31" s="822"/>
      <c r="N31" s="822"/>
      <c r="O31" s="822"/>
    </row>
    <row r="32" spans="1:15" ht="18.95" customHeight="1">
      <c r="A32" s="860"/>
      <c r="B32" s="636" t="str">
        <v>23</v>
      </c>
      <c r="C32" s="262" t="s">
        <v>79</v>
      </c>
      <c r="D32" s="7" t="str">
        <f>'Tab.G1.1-4'!$D$11</f>
        <v>[tys. zł]</v>
      </c>
      <c r="E32" s="150"/>
      <c r="F32" s="704"/>
      <c r="G32" s="704"/>
      <c r="H32" s="704"/>
      <c r="I32" s="704"/>
      <c r="J32" s="704"/>
      <c r="K32" s="704"/>
      <c r="L32" s="822"/>
      <c r="M32" s="822"/>
      <c r="N32" s="822"/>
      <c r="O32" s="822"/>
    </row>
    <row r="33" spans="1:15" ht="18.95" customHeight="1">
      <c r="A33" s="860"/>
      <c r="B33" s="640" t="str">
        <v>24</v>
      </c>
      <c r="C33" s="335" t="s">
        <v>80</v>
      </c>
      <c r="D33" s="267" t="str">
        <f>'Tab.G1.1-4'!$D$11</f>
        <v>[tys. zł]</v>
      </c>
      <c r="E33" s="268"/>
      <c r="F33" s="704"/>
      <c r="G33" s="704"/>
      <c r="H33" s="704"/>
      <c r="I33" s="704"/>
      <c r="J33" s="704"/>
      <c r="K33" s="704"/>
      <c r="L33" s="822"/>
      <c r="M33" s="822"/>
      <c r="N33" s="822"/>
      <c r="O33" s="822"/>
    </row>
    <row r="34" spans="1:15" ht="18.95" customHeight="1">
      <c r="A34" s="860"/>
      <c r="B34" s="638" t="str">
        <v>25</v>
      </c>
      <c r="C34" s="259" t="s">
        <v>167</v>
      </c>
      <c r="D34" s="9" t="str">
        <f>'Tab.G1.1-4'!$D$11</f>
        <v>[tys. zł]</v>
      </c>
      <c r="E34" s="152">
        <f>SUM(E35:E38)</f>
        <v>0</v>
      </c>
      <c r="F34" s="704"/>
      <c r="G34" s="704"/>
      <c r="H34" s="704"/>
      <c r="I34" s="704"/>
      <c r="J34" s="704"/>
      <c r="K34" s="704"/>
      <c r="L34" s="822"/>
      <c r="M34" s="822"/>
      <c r="N34" s="822"/>
      <c r="O34" s="822"/>
    </row>
    <row r="35" spans="1:15" ht="18.95" customHeight="1">
      <c r="A35" s="860"/>
      <c r="B35" s="635" t="str">
        <v>26</v>
      </c>
      <c r="C35" s="260" t="s">
        <v>78</v>
      </c>
      <c r="D35" s="6" t="str">
        <f>'Tab.G1.1-4'!$D$11</f>
        <v>[tys. zł]</v>
      </c>
      <c r="E35" s="149"/>
      <c r="F35" s="704"/>
      <c r="G35" s="704"/>
      <c r="H35" s="704"/>
      <c r="I35" s="704"/>
      <c r="J35" s="704"/>
      <c r="K35" s="704"/>
      <c r="L35" s="822"/>
      <c r="M35" s="822"/>
      <c r="N35" s="822"/>
      <c r="O35" s="822"/>
    </row>
    <row r="36" spans="1:15" ht="18.95" customHeight="1">
      <c r="A36" s="860"/>
      <c r="B36" s="636" t="str">
        <v>27</v>
      </c>
      <c r="C36" s="261" t="s">
        <v>75</v>
      </c>
      <c r="D36" s="7" t="str">
        <f>'Tab.G1.1-4'!$D$11</f>
        <v>[tys. zł]</v>
      </c>
      <c r="E36" s="150"/>
      <c r="F36" s="704"/>
      <c r="G36" s="704"/>
      <c r="H36" s="704"/>
      <c r="I36" s="704"/>
      <c r="J36" s="704"/>
      <c r="K36" s="704"/>
      <c r="L36" s="822"/>
      <c r="M36" s="822"/>
      <c r="N36" s="822"/>
      <c r="O36" s="822"/>
    </row>
    <row r="37" spans="1:15" ht="18.95" customHeight="1">
      <c r="A37" s="860"/>
      <c r="B37" s="636" t="str">
        <v>28</v>
      </c>
      <c r="C37" s="262" t="s">
        <v>79</v>
      </c>
      <c r="D37" s="7" t="str">
        <f>'Tab.G1.1-4'!$D$11</f>
        <v>[tys. zł]</v>
      </c>
      <c r="E37" s="150"/>
      <c r="F37" s="704"/>
      <c r="G37" s="704"/>
      <c r="H37" s="704"/>
      <c r="I37" s="704"/>
      <c r="J37" s="704"/>
      <c r="K37" s="704"/>
      <c r="L37" s="822"/>
      <c r="M37" s="822"/>
      <c r="N37" s="822"/>
      <c r="O37" s="822"/>
    </row>
    <row r="38" spans="1:15" ht="18.95" customHeight="1" thickBot="1">
      <c r="A38" s="860"/>
      <c r="B38" s="637" t="str">
        <v>29</v>
      </c>
      <c r="C38" s="264" t="s">
        <v>80</v>
      </c>
      <c r="D38" s="8" t="str">
        <f>'Tab.G1.1-4'!$D$11</f>
        <v>[tys. zł]</v>
      </c>
      <c r="E38" s="151"/>
      <c r="F38" s="704"/>
      <c r="G38" s="704"/>
      <c r="H38" s="704"/>
      <c r="I38" s="704"/>
      <c r="J38" s="704"/>
      <c r="K38" s="704"/>
      <c r="L38" s="822"/>
      <c r="M38" s="822"/>
      <c r="N38" s="822"/>
      <c r="O38" s="822"/>
    </row>
    <row r="39" spans="1:15" ht="18.95" customHeight="1" thickBot="1">
      <c r="A39" s="860"/>
      <c r="B39" s="633" t="str">
        <v>30</v>
      </c>
      <c r="C39" s="11" t="s">
        <v>168</v>
      </c>
      <c r="D39" s="4" t="str">
        <f>'Tab.G1.1-4'!$D$11</f>
        <v>[tys. zł]</v>
      </c>
      <c r="E39" s="147"/>
      <c r="F39" s="704"/>
      <c r="G39" s="704"/>
      <c r="H39" s="704"/>
      <c r="I39" s="704"/>
      <c r="J39" s="704"/>
      <c r="K39" s="704"/>
      <c r="L39" s="822"/>
      <c r="M39" s="822"/>
      <c r="N39" s="822"/>
      <c r="O39" s="822"/>
    </row>
    <row r="40" spans="1:15" ht="18.95" customHeight="1" thickBot="1">
      <c r="A40" s="860"/>
      <c r="B40" s="641" t="str">
        <v>31</v>
      </c>
      <c r="C40" s="1" t="s">
        <v>113</v>
      </c>
      <c r="D40" s="2" t="str">
        <f>'Tab.G1.1-4'!$D$11</f>
        <v>[tys. zł]</v>
      </c>
      <c r="E40" s="146">
        <f>SUM(E41,E45,E49,E53:E54)</f>
        <v>0</v>
      </c>
      <c r="F40" s="704"/>
      <c r="G40" s="704"/>
      <c r="H40" s="704"/>
      <c r="I40" s="704"/>
      <c r="J40" s="704"/>
      <c r="K40" s="704"/>
      <c r="L40" s="822"/>
      <c r="M40" s="822"/>
      <c r="N40" s="822"/>
      <c r="O40" s="822"/>
    </row>
    <row r="41" spans="1:15" ht="18.95" customHeight="1">
      <c r="A41" s="860"/>
      <c r="B41" s="634" t="str">
        <v>32</v>
      </c>
      <c r="C41" s="12" t="s">
        <v>115</v>
      </c>
      <c r="D41" s="5" t="str">
        <f>'Tab.G1.1-4'!$D$11</f>
        <v>[tys. zł]</v>
      </c>
      <c r="E41" s="148">
        <f>SUM(E42:E44)</f>
        <v>0</v>
      </c>
      <c r="F41" s="704"/>
      <c r="G41" s="704"/>
      <c r="H41" s="704"/>
      <c r="I41" s="704"/>
      <c r="J41" s="704"/>
      <c r="K41" s="704"/>
      <c r="L41" s="822"/>
      <c r="M41" s="822"/>
      <c r="N41" s="822"/>
      <c r="O41" s="822"/>
    </row>
    <row r="42" spans="1:15" ht="18.95" customHeight="1">
      <c r="A42" s="860"/>
      <c r="B42" s="635" t="str">
        <v>33</v>
      </c>
      <c r="C42" s="260" t="s">
        <v>85</v>
      </c>
      <c r="D42" s="6" t="str">
        <f>'Tab.G1.1-4'!$D$11</f>
        <v>[tys. zł]</v>
      </c>
      <c r="E42" s="149"/>
      <c r="F42" s="704"/>
      <c r="G42" s="704"/>
      <c r="H42" s="704"/>
      <c r="I42" s="704"/>
      <c r="J42" s="704"/>
      <c r="K42" s="704"/>
      <c r="L42" s="822"/>
      <c r="M42" s="822"/>
      <c r="N42" s="822"/>
      <c r="O42" s="822"/>
    </row>
    <row r="43" spans="1:15" ht="18.95" customHeight="1">
      <c r="A43" s="860"/>
      <c r="B43" s="636" t="str">
        <v>34</v>
      </c>
      <c r="C43" s="261" t="s">
        <v>86</v>
      </c>
      <c r="D43" s="7" t="str">
        <f>'Tab.G1.1-4'!$D$11</f>
        <v>[tys. zł]</v>
      </c>
      <c r="E43" s="150"/>
      <c r="F43" s="704"/>
      <c r="G43" s="704"/>
      <c r="H43" s="704"/>
      <c r="I43" s="704"/>
      <c r="J43" s="704"/>
      <c r="K43" s="704"/>
      <c r="L43" s="822"/>
      <c r="M43" s="822"/>
      <c r="N43" s="822"/>
      <c r="O43" s="822"/>
    </row>
    <row r="44" spans="1:15" ht="18.95" customHeight="1">
      <c r="A44" s="860"/>
      <c r="B44" s="637" t="str">
        <v>35</v>
      </c>
      <c r="C44" s="269" t="s">
        <v>87</v>
      </c>
      <c r="D44" s="8" t="str">
        <f>'Tab.G1.1-4'!$D$11</f>
        <v>[tys. zł]</v>
      </c>
      <c r="E44" s="151"/>
      <c r="F44" s="704"/>
      <c r="G44" s="704"/>
      <c r="H44" s="704"/>
      <c r="I44" s="704"/>
      <c r="J44" s="704"/>
      <c r="K44" s="704"/>
      <c r="L44" s="822"/>
      <c r="M44" s="822"/>
      <c r="N44" s="822"/>
      <c r="O44" s="822"/>
    </row>
    <row r="45" spans="1:15" ht="18.95" customHeight="1">
      <c r="A45" s="860"/>
      <c r="B45" s="638" t="str">
        <v>36</v>
      </c>
      <c r="C45" s="13" t="s">
        <v>116</v>
      </c>
      <c r="D45" s="9" t="str">
        <f>'Tab.G1.1-4'!$D$11</f>
        <v>[tys. zł]</v>
      </c>
      <c r="E45" s="152">
        <f>SUM(E46:E48)</f>
        <v>0</v>
      </c>
      <c r="F45" s="704"/>
      <c r="G45" s="704"/>
      <c r="H45" s="704"/>
      <c r="I45" s="704"/>
      <c r="J45" s="704"/>
      <c r="K45" s="704"/>
      <c r="L45" s="822"/>
      <c r="M45" s="822"/>
      <c r="N45" s="822"/>
      <c r="O45" s="822"/>
    </row>
    <row r="46" spans="1:15" ht="18.95" customHeight="1">
      <c r="A46" s="860"/>
      <c r="B46" s="635" t="str">
        <v>37</v>
      </c>
      <c r="C46" s="260" t="s">
        <v>88</v>
      </c>
      <c r="D46" s="6" t="str">
        <f>'Tab.G1.1-4'!$D$11</f>
        <v>[tys. zł]</v>
      </c>
      <c r="E46" s="149"/>
      <c r="F46" s="704"/>
      <c r="G46" s="704"/>
      <c r="H46" s="704"/>
      <c r="I46" s="704"/>
      <c r="J46" s="704"/>
      <c r="K46" s="704"/>
      <c r="L46" s="822"/>
      <c r="M46" s="822"/>
      <c r="N46" s="822"/>
      <c r="O46" s="822"/>
    </row>
    <row r="47" spans="1:15" ht="18.95" customHeight="1">
      <c r="A47" s="860"/>
      <c r="B47" s="636" t="str">
        <v>38</v>
      </c>
      <c r="C47" s="262" t="s">
        <v>89</v>
      </c>
      <c r="D47" s="7" t="str">
        <f>'Tab.G1.1-4'!$D$11</f>
        <v>[tys. zł]</v>
      </c>
      <c r="E47" s="150"/>
      <c r="F47" s="704"/>
      <c r="G47" s="704"/>
      <c r="H47" s="704"/>
      <c r="I47" s="704"/>
      <c r="J47" s="704"/>
      <c r="K47" s="704"/>
      <c r="L47" s="822"/>
      <c r="M47" s="822"/>
      <c r="N47" s="822"/>
      <c r="O47" s="822"/>
    </row>
    <row r="48" spans="1:15" ht="18.95" customHeight="1">
      <c r="A48" s="860"/>
      <c r="B48" s="637" t="str">
        <v>39</v>
      </c>
      <c r="C48" s="269" t="s">
        <v>90</v>
      </c>
      <c r="D48" s="8" t="str">
        <f>'Tab.G1.1-4'!$D$11</f>
        <v>[tys. zł]</v>
      </c>
      <c r="E48" s="151"/>
      <c r="F48" s="704"/>
      <c r="G48" s="704"/>
      <c r="H48" s="704"/>
      <c r="I48" s="704"/>
      <c r="J48" s="704"/>
      <c r="K48" s="704"/>
      <c r="L48" s="822"/>
      <c r="M48" s="822"/>
      <c r="N48" s="822"/>
      <c r="O48" s="822"/>
    </row>
    <row r="49" spans="1:15" ht="18.95" customHeight="1">
      <c r="A49" s="860"/>
      <c r="B49" s="638" t="str">
        <v>40</v>
      </c>
      <c r="C49" s="13" t="s">
        <v>117</v>
      </c>
      <c r="D49" s="9" t="str">
        <f>'Tab.G1.1-4'!$D$11</f>
        <v>[tys. zł]</v>
      </c>
      <c r="E49" s="152">
        <f>SUM(E50:E52)</f>
        <v>0</v>
      </c>
      <c r="F49" s="704"/>
      <c r="G49" s="704"/>
      <c r="H49" s="704"/>
      <c r="I49" s="704"/>
      <c r="J49" s="704"/>
      <c r="K49" s="704"/>
      <c r="L49" s="822"/>
      <c r="M49" s="822"/>
      <c r="N49" s="822"/>
      <c r="O49" s="822"/>
    </row>
    <row r="50" spans="1:15" ht="18.95" customHeight="1">
      <c r="A50" s="860"/>
      <c r="B50" s="635" t="str">
        <v>41</v>
      </c>
      <c r="C50" s="260" t="s">
        <v>88</v>
      </c>
      <c r="D50" s="6" t="str">
        <f>'Tab.G1.1-4'!$D$11</f>
        <v>[tys. zł]</v>
      </c>
      <c r="E50" s="149"/>
      <c r="F50" s="704"/>
      <c r="G50" s="704"/>
      <c r="H50" s="704"/>
      <c r="I50" s="704"/>
      <c r="J50" s="704"/>
      <c r="K50" s="704"/>
      <c r="L50" s="822"/>
      <c r="M50" s="822"/>
      <c r="N50" s="822"/>
      <c r="O50" s="822"/>
    </row>
    <row r="51" spans="1:15" ht="18.95" customHeight="1">
      <c r="A51" s="860"/>
      <c r="B51" s="636" t="str">
        <v>42</v>
      </c>
      <c r="C51" s="262" t="s">
        <v>89</v>
      </c>
      <c r="D51" s="7" t="str">
        <f>'Tab.G1.1-4'!$D$11</f>
        <v>[tys. zł]</v>
      </c>
      <c r="E51" s="150"/>
      <c r="F51" s="704"/>
      <c r="G51" s="704"/>
      <c r="H51" s="704"/>
      <c r="I51" s="704"/>
      <c r="J51" s="704"/>
      <c r="K51" s="704"/>
      <c r="L51" s="822"/>
      <c r="M51" s="822"/>
      <c r="N51" s="822"/>
      <c r="O51" s="822"/>
    </row>
    <row r="52" spans="1:15" ht="18.95" customHeight="1">
      <c r="A52" s="860"/>
      <c r="B52" s="637" t="str">
        <v>43</v>
      </c>
      <c r="C52" s="269" t="s">
        <v>90</v>
      </c>
      <c r="D52" s="8" t="str">
        <f>'Tab.G1.1-4'!$D$11</f>
        <v>[tys. zł]</v>
      </c>
      <c r="E52" s="151"/>
      <c r="F52" s="704"/>
      <c r="G52" s="704"/>
      <c r="H52" s="704"/>
      <c r="I52" s="704"/>
      <c r="J52" s="704"/>
      <c r="K52" s="704"/>
      <c r="L52" s="822"/>
      <c r="M52" s="822"/>
      <c r="N52" s="822"/>
      <c r="O52" s="822"/>
    </row>
    <row r="53" spans="1:15" ht="18.95" customHeight="1">
      <c r="A53" s="860"/>
      <c r="B53" s="642" t="str">
        <v>44</v>
      </c>
      <c r="C53" s="14" t="s">
        <v>118</v>
      </c>
      <c r="D53" s="15" t="str">
        <f>'Tab.G1.1-4'!$D$11</f>
        <v>[tys. zł]</v>
      </c>
      <c r="E53" s="152"/>
      <c r="F53" s="704"/>
      <c r="G53" s="704"/>
      <c r="H53" s="704"/>
      <c r="I53" s="704"/>
      <c r="J53" s="704"/>
      <c r="K53" s="704"/>
      <c r="L53" s="822"/>
      <c r="M53" s="822"/>
      <c r="N53" s="822"/>
      <c r="O53" s="822"/>
    </row>
    <row r="54" spans="1:15" ht="18.95" customHeight="1" thickBot="1">
      <c r="A54" s="860"/>
      <c r="B54" s="643" t="str">
        <v>45</v>
      </c>
      <c r="C54" s="16" t="s">
        <v>119</v>
      </c>
      <c r="D54" s="17" t="str">
        <f>'Tab.G1.1-4'!$D$11</f>
        <v>[tys. zł]</v>
      </c>
      <c r="E54" s="154"/>
      <c r="F54" s="704"/>
      <c r="G54" s="704"/>
      <c r="H54" s="704"/>
      <c r="I54" s="704"/>
      <c r="J54" s="704"/>
      <c r="K54" s="704"/>
      <c r="L54" s="822"/>
      <c r="M54" s="822"/>
      <c r="N54" s="822"/>
      <c r="O54" s="822"/>
    </row>
    <row r="55" spans="1:15" ht="18.95" customHeight="1" thickBot="1">
      <c r="A55" s="860"/>
      <c r="B55" s="641" t="str">
        <v>46</v>
      </c>
      <c r="C55" s="1" t="s">
        <v>126</v>
      </c>
      <c r="D55" s="2" t="str">
        <f>'Tab.G1.1-4'!$D$11</f>
        <v>[tys. zł]</v>
      </c>
      <c r="E55" s="146">
        <f>SUM(E56,E61,E64,E67)</f>
        <v>0</v>
      </c>
      <c r="F55" s="704"/>
      <c r="G55" s="704"/>
      <c r="H55" s="704"/>
      <c r="I55" s="704"/>
      <c r="J55" s="704"/>
      <c r="K55" s="704"/>
      <c r="L55" s="822"/>
      <c r="M55" s="822"/>
      <c r="N55" s="822"/>
      <c r="O55" s="822"/>
    </row>
    <row r="56" spans="1:15" ht="18.95" customHeight="1">
      <c r="A56" s="860"/>
      <c r="B56" s="634" t="str">
        <v>47</v>
      </c>
      <c r="C56" s="12" t="s">
        <v>127</v>
      </c>
      <c r="D56" s="5" t="str">
        <f>'Tab.G1.1-4'!$D$11</f>
        <v>[tys. zł]</v>
      </c>
      <c r="E56" s="148">
        <f>SUM(E57:E60)</f>
        <v>0</v>
      </c>
      <c r="F56" s="704"/>
      <c r="G56" s="704"/>
      <c r="H56" s="704"/>
      <c r="I56" s="704"/>
      <c r="J56" s="704"/>
      <c r="K56" s="704"/>
      <c r="L56" s="822"/>
      <c r="M56" s="822"/>
      <c r="N56" s="822"/>
      <c r="O56" s="822"/>
    </row>
    <row r="57" spans="1:15" ht="18.95" customHeight="1">
      <c r="A57" s="860"/>
      <c r="B57" s="635" t="str">
        <v>48</v>
      </c>
      <c r="C57" s="263" t="s">
        <v>128</v>
      </c>
      <c r="D57" s="6" t="str">
        <f>'Tab.G1.1-4'!$D$11</f>
        <v>[tys. zł]</v>
      </c>
      <c r="E57" s="149"/>
      <c r="F57" s="704"/>
      <c r="G57" s="704"/>
      <c r="H57" s="704"/>
      <c r="I57" s="704"/>
      <c r="J57" s="704"/>
      <c r="K57" s="704"/>
      <c r="L57" s="822"/>
      <c r="M57" s="822"/>
      <c r="N57" s="822"/>
      <c r="O57" s="822"/>
    </row>
    <row r="58" spans="1:15" ht="18.95" customHeight="1">
      <c r="A58" s="860"/>
      <c r="B58" s="636" t="str">
        <v>49</v>
      </c>
      <c r="C58" s="262" t="s">
        <v>169</v>
      </c>
      <c r="D58" s="7" t="str">
        <f>'Tab.G1.1-4'!$D$11</f>
        <v>[tys. zł]</v>
      </c>
      <c r="E58" s="150"/>
      <c r="F58" s="704"/>
      <c r="G58" s="704"/>
      <c r="H58" s="704"/>
      <c r="I58" s="704"/>
      <c r="J58" s="704"/>
      <c r="K58" s="704"/>
      <c r="L58" s="822"/>
      <c r="M58" s="822"/>
      <c r="N58" s="822"/>
      <c r="O58" s="822"/>
    </row>
    <row r="59" spans="1:15" ht="18.95" customHeight="1">
      <c r="A59" s="860"/>
      <c r="B59" s="636" t="str">
        <v>50</v>
      </c>
      <c r="C59" s="262" t="s">
        <v>129</v>
      </c>
      <c r="D59" s="7" t="str">
        <f>'Tab.G1.1-4'!$D$11</f>
        <v>[tys. zł]</v>
      </c>
      <c r="E59" s="150"/>
      <c r="F59" s="704"/>
      <c r="G59" s="704"/>
      <c r="H59" s="704"/>
      <c r="I59" s="704"/>
      <c r="J59" s="704"/>
      <c r="K59" s="704"/>
      <c r="L59" s="822"/>
      <c r="M59" s="822"/>
      <c r="N59" s="822"/>
      <c r="O59" s="822"/>
    </row>
    <row r="60" spans="1:15" ht="18.95" customHeight="1">
      <c r="A60" s="860"/>
      <c r="B60" s="637" t="str">
        <v>51</v>
      </c>
      <c r="C60" s="336" t="s">
        <v>170</v>
      </c>
      <c r="D60" s="8" t="str">
        <f>'Tab.G1.1-4'!$D$11</f>
        <v>[tys. zł]</v>
      </c>
      <c r="E60" s="151"/>
      <c r="F60" s="704"/>
      <c r="G60" s="704"/>
      <c r="H60" s="704"/>
      <c r="I60" s="704"/>
      <c r="J60" s="704"/>
      <c r="K60" s="704"/>
      <c r="L60" s="822"/>
      <c r="M60" s="822"/>
      <c r="N60" s="822"/>
      <c r="O60" s="822"/>
    </row>
    <row r="61" spans="1:15" ht="18.95" customHeight="1">
      <c r="A61" s="860"/>
      <c r="B61" s="638" t="str">
        <v>52</v>
      </c>
      <c r="C61" s="13" t="s">
        <v>130</v>
      </c>
      <c r="D61" s="9" t="str">
        <f>'Tab.G1.1-4'!$D$11</f>
        <v>[tys. zł]</v>
      </c>
      <c r="E61" s="152">
        <f>SUM(E62:E63)</f>
        <v>0</v>
      </c>
      <c r="F61" s="704"/>
      <c r="G61" s="704"/>
      <c r="H61" s="704"/>
      <c r="I61" s="704"/>
      <c r="J61" s="704"/>
      <c r="K61" s="704"/>
      <c r="L61" s="822"/>
      <c r="M61" s="822"/>
      <c r="N61" s="822"/>
      <c r="O61" s="822"/>
    </row>
    <row r="62" spans="1:15" ht="18.95" customHeight="1">
      <c r="A62" s="860"/>
      <c r="B62" s="635" t="str">
        <v>53</v>
      </c>
      <c r="C62" s="263" t="s">
        <v>33</v>
      </c>
      <c r="D62" s="6" t="str">
        <f>'Tab.G1.1-4'!$D$11</f>
        <v>[tys. zł]</v>
      </c>
      <c r="E62" s="149"/>
      <c r="F62" s="704"/>
      <c r="G62" s="704"/>
      <c r="H62" s="704"/>
      <c r="I62" s="704"/>
      <c r="J62" s="704"/>
      <c r="K62" s="704"/>
      <c r="L62" s="822"/>
      <c r="M62" s="822"/>
      <c r="N62" s="822"/>
      <c r="O62" s="822"/>
    </row>
    <row r="63" spans="1:15" ht="18.95" customHeight="1">
      <c r="A63" s="860"/>
      <c r="B63" s="640" t="str">
        <v>54</v>
      </c>
      <c r="C63" s="266" t="s">
        <v>31</v>
      </c>
      <c r="D63" s="267" t="str">
        <f>'Tab.G1.1-4'!$D$11</f>
        <v>[tys. zł]</v>
      </c>
      <c r="E63" s="268"/>
      <c r="F63" s="704"/>
      <c r="G63" s="704"/>
      <c r="H63" s="704"/>
      <c r="I63" s="704"/>
      <c r="J63" s="704"/>
      <c r="K63" s="704"/>
      <c r="L63" s="822"/>
      <c r="M63" s="822"/>
      <c r="N63" s="822"/>
      <c r="O63" s="822"/>
    </row>
    <row r="64" spans="1:15" ht="18.95" customHeight="1">
      <c r="A64" s="860"/>
      <c r="B64" s="638" t="str">
        <v>55</v>
      </c>
      <c r="C64" s="13" t="s">
        <v>131</v>
      </c>
      <c r="D64" s="9" t="str">
        <f>'Tab.G1.1-4'!$D$11</f>
        <v>[tys. zł]</v>
      </c>
      <c r="E64" s="152">
        <f>SUM(E65:E66)</f>
        <v>0</v>
      </c>
      <c r="F64" s="704"/>
      <c r="G64" s="704"/>
      <c r="H64" s="704"/>
      <c r="I64" s="704"/>
      <c r="J64" s="704"/>
      <c r="K64" s="704"/>
      <c r="L64" s="822"/>
      <c r="M64" s="822"/>
      <c r="N64" s="822"/>
      <c r="O64" s="822"/>
    </row>
    <row r="65" spans="1:15" ht="18.95" customHeight="1">
      <c r="A65" s="859"/>
      <c r="B65" s="635" t="str">
        <v>56</v>
      </c>
      <c r="C65" s="263" t="s">
        <v>33</v>
      </c>
      <c r="D65" s="6" t="str">
        <f>'Tab.G1.1-4'!$D$11</f>
        <v>[tys. zł]</v>
      </c>
      <c r="E65" s="149"/>
      <c r="F65" s="704"/>
      <c r="G65" s="704"/>
      <c r="H65" s="704"/>
      <c r="I65" s="704"/>
      <c r="J65" s="704"/>
      <c r="K65" s="704"/>
      <c r="L65" s="822"/>
      <c r="M65" s="822"/>
      <c r="N65" s="822"/>
      <c r="O65" s="822"/>
    </row>
    <row r="66" spans="1:15" ht="18.95" customHeight="1">
      <c r="A66" s="859"/>
      <c r="B66" s="640" t="str">
        <v>57</v>
      </c>
      <c r="C66" s="266" t="s">
        <v>31</v>
      </c>
      <c r="D66" s="267" t="str">
        <f>'Tab.G1.1-4'!$D$11</f>
        <v>[tys. zł]</v>
      </c>
      <c r="E66" s="268"/>
      <c r="F66" s="704"/>
      <c r="G66" s="704"/>
      <c r="H66" s="704"/>
      <c r="I66" s="704"/>
      <c r="J66" s="704"/>
      <c r="K66" s="704"/>
      <c r="L66" s="822"/>
      <c r="M66" s="822"/>
      <c r="N66" s="822"/>
      <c r="O66" s="822"/>
    </row>
    <row r="67" spans="1:15" ht="18.95" customHeight="1" thickBot="1">
      <c r="A67" s="859"/>
      <c r="B67" s="643" t="str">
        <v>58</v>
      </c>
      <c r="C67" s="16" t="s">
        <v>132</v>
      </c>
      <c r="D67" s="17" t="str">
        <f>'Tab.G1.1-4'!$D$11</f>
        <v>[tys. zł]</v>
      </c>
      <c r="E67" s="154"/>
      <c r="F67" s="843"/>
      <c r="G67" s="704"/>
      <c r="H67" s="704"/>
      <c r="I67" s="704"/>
      <c r="J67" s="704"/>
      <c r="K67" s="704"/>
      <c r="L67" s="822"/>
      <c r="M67" s="822"/>
      <c r="N67" s="822"/>
      <c r="O67" s="822"/>
    </row>
    <row r="68" spans="1:15" ht="18.95" customHeight="1">
      <c r="A68" s="859"/>
      <c r="B68" s="867"/>
      <c r="C68" s="868"/>
      <c r="D68" s="869"/>
      <c r="E68" s="844"/>
      <c r="F68" s="844"/>
      <c r="G68" s="704"/>
      <c r="H68" s="704"/>
      <c r="I68" s="704"/>
      <c r="J68" s="704"/>
      <c r="K68" s="704"/>
      <c r="L68" s="822"/>
      <c r="M68" s="822"/>
      <c r="N68" s="822"/>
      <c r="O68" s="822"/>
    </row>
    <row r="69" spans="1:15" ht="18.95" customHeight="1">
      <c r="A69" s="859"/>
      <c r="B69" s="704"/>
      <c r="C69" s="870"/>
      <c r="D69" s="869"/>
      <c r="E69" s="844"/>
      <c r="F69" s="844"/>
      <c r="G69" s="704"/>
      <c r="H69" s="704"/>
      <c r="I69" s="704"/>
      <c r="J69" s="704"/>
      <c r="K69" s="704"/>
      <c r="L69" s="822"/>
      <c r="M69" s="822"/>
      <c r="N69" s="822"/>
      <c r="O69" s="822"/>
    </row>
    <row r="70" spans="1:15" ht="30" customHeight="1" thickBot="1">
      <c r="A70" s="859"/>
      <c r="B70" s="695" t="s">
        <v>246</v>
      </c>
      <c r="C70" s="704"/>
      <c r="D70" s="704"/>
      <c r="E70" s="845"/>
      <c r="F70" s="845"/>
      <c r="G70" s="704"/>
      <c r="H70" s="704"/>
      <c r="I70" s="704"/>
      <c r="J70" s="704"/>
      <c r="K70" s="704"/>
      <c r="L70" s="822"/>
      <c r="M70" s="822"/>
      <c r="N70" s="822"/>
      <c r="O70" s="822"/>
    </row>
    <row r="71" spans="1:15" ht="18.95" customHeight="1">
      <c r="A71" s="859"/>
      <c r="B71" s="1035" t="str">
        <f>'Tab.G1.1-4'!$B$8</f>
        <v>LP</v>
      </c>
      <c r="C71" s="1037" t="str">
        <f>'Tab.G1.1-4'!$C$8</f>
        <v>Wyszczególnienie</v>
      </c>
      <c r="D71" s="1038"/>
      <c r="E71" s="627" t="str">
        <f>'Tab.G1.1-4'!$E$8</f>
        <v>Wykonanie</v>
      </c>
      <c r="F71" s="845"/>
      <c r="G71" s="704"/>
      <c r="H71" s="704"/>
      <c r="I71" s="704"/>
      <c r="J71" s="704"/>
      <c r="K71" s="704"/>
      <c r="L71" s="822"/>
      <c r="M71" s="822"/>
      <c r="N71" s="822"/>
      <c r="O71" s="822"/>
    </row>
    <row r="72" spans="1:15" ht="18.95" customHeight="1">
      <c r="A72" s="859"/>
      <c r="B72" s="1036"/>
      <c r="C72" s="1039"/>
      <c r="D72" s="1040"/>
      <c r="E72" s="628">
        <f>Rok_ZPR</f>
        <v>2023</v>
      </c>
      <c r="F72" s="846"/>
      <c r="G72" s="704"/>
      <c r="H72" s="704"/>
      <c r="I72" s="704"/>
      <c r="J72" s="704"/>
      <c r="K72" s="704"/>
      <c r="L72" s="822"/>
      <c r="M72" s="822"/>
      <c r="N72" s="822"/>
      <c r="O72" s="822"/>
    </row>
    <row r="73" spans="1:15" ht="14.1" customHeight="1" thickBot="1">
      <c r="A73" s="859"/>
      <c r="B73" s="644" t="str">
        <f t="array" ref="B73:B130">Tab.G17!$B$10:$B$67</f>
        <v>01</v>
      </c>
      <c r="C73" s="1044" t="str">
        <f>Tab.G17!$B$11</f>
        <v>02</v>
      </c>
      <c r="D73" s="1034"/>
      <c r="E73" s="645" t="str">
        <f>Tab.G17!$B$12</f>
        <v>03</v>
      </c>
      <c r="F73" s="847"/>
      <c r="G73" s="704"/>
      <c r="H73" s="704"/>
      <c r="I73" s="704"/>
      <c r="J73" s="704"/>
      <c r="K73" s="704"/>
      <c r="L73" s="822"/>
      <c r="M73" s="822"/>
      <c r="N73" s="822"/>
      <c r="O73" s="822"/>
    </row>
    <row r="74" spans="1:15" ht="18.95" customHeight="1" thickBot="1">
      <c r="A74" s="859"/>
      <c r="B74" s="641" t="str">
        <v>02</v>
      </c>
      <c r="C74" s="1" t="s">
        <v>112</v>
      </c>
      <c r="D74" s="2" t="str">
        <f>'Tab.G2.1-3'!$D$72</f>
        <v>[km]</v>
      </c>
      <c r="E74" s="146">
        <f>SUM(E75,E86,E102)</f>
        <v>0</v>
      </c>
      <c r="F74" s="848"/>
      <c r="G74" s="704"/>
      <c r="H74" s="704"/>
      <c r="I74" s="704"/>
      <c r="J74" s="704"/>
      <c r="K74" s="704"/>
      <c r="L74" s="822"/>
      <c r="M74" s="822"/>
      <c r="N74" s="822"/>
      <c r="O74" s="822"/>
    </row>
    <row r="75" spans="1:15" ht="18.95" customHeight="1" thickBot="1">
      <c r="A75" s="859"/>
      <c r="B75" s="633" t="str">
        <v>03</v>
      </c>
      <c r="C75" s="3" t="s">
        <v>120</v>
      </c>
      <c r="D75" s="4" t="str">
        <f>'Tab.G2.1-3'!$D$72</f>
        <v>[km]</v>
      </c>
      <c r="E75" s="147">
        <f>SUM(E76,E81)</f>
        <v>0</v>
      </c>
      <c r="F75" s="849"/>
      <c r="G75" s="704"/>
      <c r="H75" s="704"/>
      <c r="I75" s="704"/>
      <c r="J75" s="704"/>
      <c r="K75" s="704"/>
      <c r="L75" s="822"/>
      <c r="M75" s="822"/>
      <c r="N75" s="822"/>
      <c r="O75" s="822"/>
    </row>
    <row r="76" spans="1:15" ht="18.95" customHeight="1">
      <c r="A76" s="859"/>
      <c r="B76" s="634" t="str">
        <v>04</v>
      </c>
      <c r="C76" s="258" t="s">
        <v>72</v>
      </c>
      <c r="D76" s="5" t="str">
        <f>'Tab.G2.1-3'!$D$72</f>
        <v>[km]</v>
      </c>
      <c r="E76" s="148">
        <f>SUM(E77:E80)</f>
        <v>0</v>
      </c>
      <c r="F76" s="850"/>
      <c r="G76" s="704"/>
      <c r="H76" s="704"/>
      <c r="I76" s="704"/>
      <c r="J76" s="704"/>
      <c r="K76" s="704"/>
      <c r="L76" s="822"/>
      <c r="M76" s="822"/>
      <c r="N76" s="822"/>
      <c r="O76" s="822"/>
    </row>
    <row r="77" spans="1:15" ht="18.95" customHeight="1">
      <c r="A77" s="859"/>
      <c r="B77" s="635" t="str">
        <v>05</v>
      </c>
      <c r="C77" s="260" t="s">
        <v>73</v>
      </c>
      <c r="D77" s="6" t="str">
        <f>'Tab.G2.1-3'!$D$72</f>
        <v>[km]</v>
      </c>
      <c r="E77" s="149"/>
      <c r="F77" s="851"/>
      <c r="G77" s="704"/>
      <c r="H77" s="704"/>
      <c r="I77" s="704"/>
      <c r="J77" s="704"/>
      <c r="K77" s="704"/>
      <c r="L77" s="822"/>
      <c r="M77" s="822"/>
      <c r="N77" s="822"/>
      <c r="O77" s="822"/>
    </row>
    <row r="78" spans="1:15" ht="18.95" customHeight="1">
      <c r="A78" s="859"/>
      <c r="B78" s="636" t="str">
        <v>06</v>
      </c>
      <c r="C78" s="261" t="s">
        <v>74</v>
      </c>
      <c r="D78" s="7" t="str">
        <f>'Tab.G2.1-3'!$D$72</f>
        <v>[km]</v>
      </c>
      <c r="E78" s="150"/>
      <c r="F78" s="851"/>
      <c r="G78" s="704"/>
      <c r="H78" s="704"/>
      <c r="I78" s="704"/>
      <c r="J78" s="704"/>
      <c r="K78" s="704"/>
      <c r="L78" s="822"/>
      <c r="M78" s="822"/>
      <c r="N78" s="822"/>
      <c r="O78" s="822"/>
    </row>
    <row r="79" spans="1:15" ht="18.95" customHeight="1">
      <c r="A79" s="859"/>
      <c r="B79" s="636" t="str">
        <v>07</v>
      </c>
      <c r="C79" s="261" t="s">
        <v>75</v>
      </c>
      <c r="D79" s="7" t="str">
        <f>'Tab.G2.1-3'!$D$72</f>
        <v>[km]</v>
      </c>
      <c r="E79" s="150"/>
      <c r="F79" s="850"/>
      <c r="G79" s="704"/>
      <c r="H79" s="704"/>
      <c r="I79" s="704"/>
      <c r="J79" s="704"/>
      <c r="K79" s="704"/>
      <c r="L79" s="822"/>
      <c r="M79" s="822"/>
      <c r="N79" s="822"/>
      <c r="O79" s="822"/>
    </row>
    <row r="80" spans="1:15" ht="18.95" customHeight="1">
      <c r="A80" s="859"/>
      <c r="B80" s="637" t="str">
        <v>08</v>
      </c>
      <c r="C80" s="264" t="s">
        <v>76</v>
      </c>
      <c r="D80" s="8" t="str">
        <f>'Tab.G2.1-3'!$D$72</f>
        <v>[km]</v>
      </c>
      <c r="E80" s="151"/>
      <c r="F80" s="851"/>
      <c r="G80" s="704"/>
      <c r="H80" s="704"/>
      <c r="I80" s="704"/>
      <c r="J80" s="704"/>
      <c r="K80" s="704"/>
      <c r="L80" s="822"/>
      <c r="M80" s="822"/>
      <c r="N80" s="822"/>
      <c r="O80" s="822"/>
    </row>
    <row r="81" spans="1:15" ht="18.95" customHeight="1">
      <c r="A81" s="859"/>
      <c r="B81" s="638" t="str">
        <v>09</v>
      </c>
      <c r="C81" s="259" t="s">
        <v>77</v>
      </c>
      <c r="D81" s="9" t="str">
        <f>'Tab.G2.1-3'!$D$72</f>
        <v>[km]</v>
      </c>
      <c r="E81" s="152">
        <f>SUM(E82:E85)</f>
        <v>0</v>
      </c>
      <c r="F81" s="851"/>
      <c r="G81" s="704"/>
      <c r="H81" s="704"/>
      <c r="I81" s="704"/>
      <c r="J81" s="704"/>
      <c r="K81" s="704"/>
      <c r="L81" s="822"/>
      <c r="M81" s="822"/>
      <c r="N81" s="822"/>
      <c r="O81" s="822"/>
    </row>
    <row r="82" spans="1:15" ht="18.95" customHeight="1">
      <c r="A82" s="859"/>
      <c r="B82" s="635" t="str">
        <v>10</v>
      </c>
      <c r="C82" s="260" t="s">
        <v>73</v>
      </c>
      <c r="D82" s="6" t="str">
        <f>'Tab.G2.1-3'!$D$72</f>
        <v>[km]</v>
      </c>
      <c r="E82" s="149"/>
      <c r="F82" s="850"/>
      <c r="G82" s="704"/>
      <c r="H82" s="704"/>
      <c r="I82" s="704"/>
      <c r="J82" s="704"/>
      <c r="K82" s="704"/>
      <c r="L82" s="822"/>
      <c r="M82" s="822"/>
      <c r="N82" s="822"/>
      <c r="O82" s="822"/>
    </row>
    <row r="83" spans="1:15" ht="18.95" customHeight="1">
      <c r="A83" s="859"/>
      <c r="B83" s="636" t="str">
        <v>11</v>
      </c>
      <c r="C83" s="261" t="s">
        <v>74</v>
      </c>
      <c r="D83" s="7" t="str">
        <f>'Tab.G2.1-3'!$D$72</f>
        <v>[km]</v>
      </c>
      <c r="E83" s="150"/>
      <c r="F83" s="851"/>
      <c r="G83" s="851"/>
      <c r="H83" s="844"/>
      <c r="I83" s="852"/>
      <c r="J83" s="853"/>
      <c r="K83" s="853"/>
    </row>
    <row r="84" spans="1:15" ht="18.95" customHeight="1">
      <c r="A84" s="872"/>
      <c r="B84" s="636" t="str">
        <v>12</v>
      </c>
      <c r="C84" s="261" t="s">
        <v>75</v>
      </c>
      <c r="D84" s="7" t="str">
        <f>'Tab.G2.1-3'!$D$72</f>
        <v>[km]</v>
      </c>
      <c r="E84" s="150"/>
      <c r="F84" s="851"/>
      <c r="G84" s="851"/>
      <c r="H84" s="844"/>
      <c r="I84" s="852"/>
      <c r="J84" s="853"/>
      <c r="K84" s="853"/>
    </row>
    <row r="85" spans="1:15" ht="18.95" customHeight="1" thickBot="1">
      <c r="A85" s="872"/>
      <c r="B85" s="639" t="str">
        <v>13</v>
      </c>
      <c r="C85" s="265" t="s">
        <v>76</v>
      </c>
      <c r="D85" s="10" t="str">
        <f>'Tab.G2.1-3'!$D$72</f>
        <v>[km]</v>
      </c>
      <c r="E85" s="153"/>
      <c r="F85" s="850"/>
      <c r="G85" s="850"/>
      <c r="H85" s="845"/>
      <c r="I85" s="845"/>
      <c r="J85" s="853"/>
      <c r="K85" s="853"/>
    </row>
    <row r="86" spans="1:15" ht="18.95" customHeight="1" thickBot="1">
      <c r="A86" s="872"/>
      <c r="B86" s="633" t="str">
        <v>14</v>
      </c>
      <c r="C86" s="11" t="s">
        <v>121</v>
      </c>
      <c r="D86" s="4" t="str">
        <f>'Tab.G2.1-3'!$D$72</f>
        <v>[km]</v>
      </c>
      <c r="E86" s="147">
        <f>SUM(E87,E92,E97)</f>
        <v>0</v>
      </c>
      <c r="F86" s="854"/>
      <c r="G86" s="854"/>
      <c r="H86" s="845"/>
      <c r="I86" s="845"/>
      <c r="J86" s="853"/>
      <c r="K86" s="853"/>
    </row>
    <row r="87" spans="1:15" ht="18.95" customHeight="1">
      <c r="A87" s="872"/>
      <c r="B87" s="634" t="str">
        <v>15</v>
      </c>
      <c r="C87" s="258" t="s">
        <v>72</v>
      </c>
      <c r="D87" s="5" t="str">
        <f>'Tab.G2.1-3'!$D$72</f>
        <v>[km]</v>
      </c>
      <c r="E87" s="148">
        <f>SUM(E88:E91)</f>
        <v>0</v>
      </c>
      <c r="F87" s="854"/>
      <c r="G87" s="854"/>
      <c r="H87" s="846"/>
      <c r="I87" s="846"/>
      <c r="J87" s="853"/>
      <c r="K87" s="853"/>
    </row>
    <row r="88" spans="1:15" ht="18.95" customHeight="1">
      <c r="A88" s="872"/>
      <c r="B88" s="635" t="str">
        <v>16</v>
      </c>
      <c r="C88" s="260" t="s">
        <v>78</v>
      </c>
      <c r="D88" s="6" t="str">
        <f>'Tab.G2.1-3'!$D$72</f>
        <v>[km]</v>
      </c>
      <c r="E88" s="149"/>
      <c r="F88" s="854"/>
      <c r="G88" s="854"/>
      <c r="H88" s="847"/>
      <c r="I88" s="847"/>
      <c r="J88" s="853"/>
      <c r="K88" s="853"/>
    </row>
    <row r="89" spans="1:15" ht="18.95" customHeight="1">
      <c r="A89" s="872"/>
      <c r="B89" s="636" t="str">
        <v>17</v>
      </c>
      <c r="C89" s="261" t="s">
        <v>75</v>
      </c>
      <c r="D89" s="7" t="str">
        <f>'Tab.G2.1-3'!$D$72</f>
        <v>[km]</v>
      </c>
      <c r="E89" s="150"/>
      <c r="F89" s="850"/>
      <c r="G89" s="850"/>
      <c r="H89" s="848"/>
      <c r="I89" s="848"/>
      <c r="J89" s="853"/>
      <c r="K89" s="853"/>
    </row>
    <row r="90" spans="1:15" ht="18.95" customHeight="1">
      <c r="A90" s="872"/>
      <c r="B90" s="636" t="str">
        <v>18</v>
      </c>
      <c r="C90" s="262" t="s">
        <v>79</v>
      </c>
      <c r="D90" s="7" t="str">
        <f>'Tab.G2.1-3'!$D$72</f>
        <v>[km]</v>
      </c>
      <c r="E90" s="150"/>
      <c r="F90" s="854"/>
      <c r="G90" s="854"/>
      <c r="H90" s="849"/>
      <c r="I90" s="849"/>
      <c r="J90" s="853"/>
      <c r="K90" s="853"/>
    </row>
    <row r="91" spans="1:15" ht="18.95" customHeight="1">
      <c r="A91" s="872"/>
      <c r="B91" s="637" t="str">
        <v>19</v>
      </c>
      <c r="C91" s="264" t="s">
        <v>80</v>
      </c>
      <c r="D91" s="8" t="str">
        <f>'Tab.G2.1-3'!$D$72</f>
        <v>[km]</v>
      </c>
      <c r="E91" s="151"/>
      <c r="F91" s="854"/>
      <c r="G91" s="854"/>
      <c r="H91" s="850"/>
      <c r="I91" s="850"/>
      <c r="J91" s="853"/>
      <c r="K91" s="853"/>
    </row>
    <row r="92" spans="1:15" ht="18.95" customHeight="1">
      <c r="A92" s="872"/>
      <c r="B92" s="638" t="str">
        <v>20</v>
      </c>
      <c r="C92" s="259" t="s">
        <v>77</v>
      </c>
      <c r="D92" s="9" t="str">
        <f>'Tab.G2.1-3'!$D$72</f>
        <v>[km]</v>
      </c>
      <c r="E92" s="152">
        <f>SUM(E93:E96)</f>
        <v>0</v>
      </c>
      <c r="F92" s="850"/>
      <c r="G92" s="850"/>
      <c r="H92" s="851"/>
      <c r="I92" s="851"/>
      <c r="J92" s="853"/>
      <c r="K92" s="853"/>
    </row>
    <row r="93" spans="1:15" ht="18.95" customHeight="1">
      <c r="A93" s="872"/>
      <c r="B93" s="635" t="str">
        <v>21</v>
      </c>
      <c r="C93" s="260" t="s">
        <v>78</v>
      </c>
      <c r="D93" s="6" t="str">
        <f>'Tab.G2.1-3'!$D$72</f>
        <v>[km]</v>
      </c>
      <c r="E93" s="149"/>
      <c r="F93" s="850"/>
      <c r="G93" s="850"/>
      <c r="H93" s="851"/>
      <c r="I93" s="851"/>
      <c r="J93" s="853"/>
      <c r="K93" s="853"/>
    </row>
    <row r="94" spans="1:15" ht="18.95" customHeight="1">
      <c r="A94" s="872"/>
      <c r="B94" s="636" t="str">
        <v>22</v>
      </c>
      <c r="C94" s="261" t="s">
        <v>75</v>
      </c>
      <c r="D94" s="7" t="str">
        <f>'Tab.G2.1-3'!$D$72</f>
        <v>[km]</v>
      </c>
      <c r="E94" s="150"/>
      <c r="F94" s="855"/>
      <c r="G94" s="855"/>
      <c r="H94" s="850"/>
      <c r="I94" s="850"/>
      <c r="J94" s="853"/>
      <c r="K94" s="853"/>
    </row>
    <row r="95" spans="1:15" ht="18.95" customHeight="1">
      <c r="A95" s="872"/>
      <c r="B95" s="636" t="str">
        <v>23</v>
      </c>
      <c r="C95" s="262" t="s">
        <v>79</v>
      </c>
      <c r="D95" s="7" t="str">
        <f>'Tab.G2.1-3'!$D$72</f>
        <v>[km]</v>
      </c>
      <c r="E95" s="150"/>
      <c r="F95" s="855"/>
      <c r="G95" s="855"/>
      <c r="H95" s="851"/>
      <c r="I95" s="851"/>
      <c r="J95" s="853"/>
      <c r="K95" s="853"/>
    </row>
    <row r="96" spans="1:15" ht="18.95" customHeight="1">
      <c r="A96" s="872"/>
      <c r="B96" s="640" t="str">
        <v>24</v>
      </c>
      <c r="C96" s="335" t="s">
        <v>80</v>
      </c>
      <c r="D96" s="267" t="str">
        <f>'Tab.G2.1-3'!$D$72</f>
        <v>[km]</v>
      </c>
      <c r="E96" s="268"/>
      <c r="F96" s="854"/>
      <c r="G96" s="854"/>
      <c r="H96" s="851"/>
      <c r="I96" s="851"/>
      <c r="J96" s="853"/>
      <c r="K96" s="853"/>
    </row>
    <row r="97" spans="1:11" ht="18.95" customHeight="1">
      <c r="A97" s="872"/>
      <c r="B97" s="638" t="str">
        <v>25</v>
      </c>
      <c r="C97" s="259" t="s">
        <v>167</v>
      </c>
      <c r="D97" s="9" t="str">
        <f>'Tab.G2.1-3'!$D$72</f>
        <v>[km]</v>
      </c>
      <c r="E97" s="152">
        <f>SUM(E98:E101)</f>
        <v>0</v>
      </c>
      <c r="F97" s="856"/>
      <c r="G97" s="856"/>
      <c r="H97" s="850"/>
      <c r="I97" s="850"/>
      <c r="J97" s="853"/>
      <c r="K97" s="853"/>
    </row>
    <row r="98" spans="1:11" ht="18.95" customHeight="1">
      <c r="A98" s="872"/>
      <c r="B98" s="635" t="str">
        <v>26</v>
      </c>
      <c r="C98" s="260" t="s">
        <v>78</v>
      </c>
      <c r="D98" s="6" t="str">
        <f>'Tab.G2.1-3'!$D$72</f>
        <v>[km]</v>
      </c>
      <c r="E98" s="149"/>
      <c r="F98" s="857"/>
      <c r="G98" s="857"/>
      <c r="H98" s="851"/>
      <c r="I98" s="851"/>
      <c r="J98" s="853"/>
      <c r="K98" s="853"/>
    </row>
    <row r="99" spans="1:11" ht="18.95" customHeight="1">
      <c r="A99" s="872"/>
      <c r="B99" s="636" t="str">
        <v>27</v>
      </c>
      <c r="C99" s="261" t="s">
        <v>75</v>
      </c>
      <c r="D99" s="7" t="str">
        <f>'Tab.G2.1-3'!$D$72</f>
        <v>[km]</v>
      </c>
      <c r="E99" s="150"/>
      <c r="F99" s="858"/>
      <c r="G99" s="858"/>
      <c r="H99" s="851"/>
      <c r="I99" s="851"/>
      <c r="J99" s="853"/>
      <c r="K99" s="853"/>
    </row>
    <row r="100" spans="1:11" ht="18.95" customHeight="1">
      <c r="A100" s="872"/>
      <c r="B100" s="636" t="str">
        <v>28</v>
      </c>
      <c r="C100" s="262" t="s">
        <v>79</v>
      </c>
      <c r="D100" s="7" t="str">
        <f>'Tab.G2.1-3'!$D$72</f>
        <v>[km]</v>
      </c>
      <c r="E100" s="150"/>
      <c r="F100" s="858"/>
      <c r="G100" s="858"/>
      <c r="H100" s="850"/>
      <c r="I100" s="850"/>
      <c r="J100" s="853"/>
      <c r="K100" s="853"/>
    </row>
    <row r="101" spans="1:11" ht="18.95" customHeight="1" thickBot="1">
      <c r="A101" s="872"/>
      <c r="B101" s="637" t="str">
        <v>29</v>
      </c>
      <c r="C101" s="264" t="s">
        <v>80</v>
      </c>
      <c r="D101" s="8" t="str">
        <f>'Tab.G2.1-3'!$D$72</f>
        <v>[km]</v>
      </c>
      <c r="E101" s="151"/>
      <c r="F101" s="859"/>
      <c r="G101" s="859"/>
      <c r="H101" s="854"/>
      <c r="I101" s="854"/>
      <c r="J101" s="853"/>
      <c r="K101" s="853"/>
    </row>
    <row r="102" spans="1:11" ht="18.95" customHeight="1" thickBot="1">
      <c r="A102" s="872"/>
      <c r="B102" s="633" t="str">
        <v>30</v>
      </c>
      <c r="C102" s="11" t="s">
        <v>168</v>
      </c>
      <c r="D102" s="4" t="str">
        <f>'Tab.G2.1-3'!$D$72</f>
        <v>[km]</v>
      </c>
      <c r="E102" s="147"/>
      <c r="F102" s="859"/>
      <c r="G102" s="859"/>
      <c r="H102" s="854"/>
      <c r="I102" s="854"/>
      <c r="J102" s="853"/>
      <c r="K102" s="853"/>
    </row>
    <row r="103" spans="1:11" ht="18.95" customHeight="1" thickBot="1">
      <c r="A103" s="872"/>
      <c r="B103" s="641" t="str">
        <v>31</v>
      </c>
      <c r="C103" s="1" t="s">
        <v>113</v>
      </c>
      <c r="D103" s="2" t="str">
        <f>'Tab.G2.1-3'!$D$106</f>
        <v>[szt.]</v>
      </c>
      <c r="E103" s="146">
        <f>SUM(E104,E108,E112,E116:E117)</f>
        <v>0</v>
      </c>
      <c r="F103" s="860"/>
      <c r="G103" s="860"/>
      <c r="H103" s="854"/>
      <c r="I103" s="854"/>
      <c r="J103" s="853"/>
      <c r="K103" s="853"/>
    </row>
    <row r="104" spans="1:11" ht="18.95" customHeight="1">
      <c r="A104" s="872"/>
      <c r="B104" s="634" t="str">
        <v>32</v>
      </c>
      <c r="C104" s="12" t="s">
        <v>115</v>
      </c>
      <c r="D104" s="5" t="str">
        <f>'Tab.G2.1-3'!$D$106</f>
        <v>[szt.]</v>
      </c>
      <c r="E104" s="148">
        <f>SUM(E105:E107)</f>
        <v>0</v>
      </c>
      <c r="F104" s="860"/>
      <c r="G104" s="860"/>
      <c r="H104" s="850"/>
      <c r="I104" s="850"/>
      <c r="J104" s="853"/>
      <c r="K104" s="853"/>
    </row>
    <row r="105" spans="1:11" ht="18.95" customHeight="1">
      <c r="A105" s="872"/>
      <c r="B105" s="635" t="str">
        <v>33</v>
      </c>
      <c r="C105" s="260" t="s">
        <v>85</v>
      </c>
      <c r="D105" s="6" t="str">
        <f>'Tab.G2.1-3'!$D$106</f>
        <v>[szt.]</v>
      </c>
      <c r="E105" s="149"/>
      <c r="F105" s="860"/>
      <c r="G105" s="860"/>
      <c r="H105" s="854"/>
      <c r="I105" s="854"/>
      <c r="J105" s="853"/>
      <c r="K105" s="853"/>
    </row>
    <row r="106" spans="1:11" ht="18.95" customHeight="1">
      <c r="A106" s="872"/>
      <c r="B106" s="636" t="str">
        <v>34</v>
      </c>
      <c r="C106" s="261" t="s">
        <v>86</v>
      </c>
      <c r="D106" s="7" t="str">
        <f>'Tab.G2.1-3'!$D$106</f>
        <v>[szt.]</v>
      </c>
      <c r="E106" s="150"/>
      <c r="F106" s="860"/>
      <c r="G106" s="860"/>
      <c r="H106" s="854"/>
      <c r="I106" s="854"/>
      <c r="J106" s="853"/>
      <c r="K106" s="853"/>
    </row>
    <row r="107" spans="1:11" ht="18.95" customHeight="1">
      <c r="A107" s="872"/>
      <c r="B107" s="637" t="str">
        <v>35</v>
      </c>
      <c r="C107" s="269" t="s">
        <v>87</v>
      </c>
      <c r="D107" s="8" t="str">
        <f>'Tab.G2.1-3'!$D$106</f>
        <v>[szt.]</v>
      </c>
      <c r="E107" s="151"/>
      <c r="F107" s="860"/>
      <c r="G107" s="860"/>
      <c r="H107" s="850"/>
      <c r="I107" s="850"/>
      <c r="J107" s="853"/>
      <c r="K107" s="853"/>
    </row>
    <row r="108" spans="1:11" ht="18.95" customHeight="1">
      <c r="A108" s="856"/>
      <c r="B108" s="638" t="str">
        <v>36</v>
      </c>
      <c r="C108" s="13" t="s">
        <v>116</v>
      </c>
      <c r="D108" s="9" t="str">
        <f>'Tab.G2.1-3'!$D$106</f>
        <v>[szt.]</v>
      </c>
      <c r="E108" s="152">
        <f>SUM(E109:E111)</f>
        <v>0</v>
      </c>
      <c r="F108" s="860"/>
      <c r="G108" s="860"/>
      <c r="H108" s="850"/>
      <c r="I108" s="850"/>
      <c r="J108" s="853"/>
      <c r="K108" s="853"/>
    </row>
    <row r="109" spans="1:11" ht="18.95" customHeight="1">
      <c r="A109" s="872"/>
      <c r="B109" s="635" t="str">
        <v>37</v>
      </c>
      <c r="C109" s="260" t="s">
        <v>88</v>
      </c>
      <c r="D109" s="6" t="str">
        <f>'Tab.G2.1-3'!$D$106</f>
        <v>[szt.]</v>
      </c>
      <c r="E109" s="149"/>
      <c r="F109" s="860"/>
      <c r="G109" s="860"/>
      <c r="H109" s="855"/>
      <c r="I109" s="855"/>
      <c r="J109" s="853"/>
      <c r="K109" s="853"/>
    </row>
    <row r="110" spans="1:11" ht="18.95" customHeight="1">
      <c r="A110" s="872"/>
      <c r="B110" s="636" t="str">
        <v>38</v>
      </c>
      <c r="C110" s="262" t="s">
        <v>89</v>
      </c>
      <c r="D110" s="7" t="str">
        <f>'Tab.G2.1-3'!$D$106</f>
        <v>[szt.]</v>
      </c>
      <c r="E110" s="150"/>
      <c r="F110" s="860"/>
      <c r="G110" s="860"/>
      <c r="H110" s="855"/>
      <c r="I110" s="855"/>
      <c r="J110" s="853"/>
      <c r="K110" s="853"/>
    </row>
    <row r="111" spans="1:11" ht="18.95" customHeight="1">
      <c r="A111" s="872"/>
      <c r="B111" s="637" t="str">
        <v>39</v>
      </c>
      <c r="C111" s="269" t="s">
        <v>90</v>
      </c>
      <c r="D111" s="8" t="str">
        <f>'Tab.G2.1-3'!$D$106</f>
        <v>[szt.]</v>
      </c>
      <c r="E111" s="151"/>
      <c r="F111" s="860"/>
      <c r="G111" s="860"/>
      <c r="H111" s="854"/>
      <c r="I111" s="854"/>
      <c r="J111" s="853"/>
      <c r="K111" s="853"/>
    </row>
    <row r="112" spans="1:11" ht="18.95" customHeight="1">
      <c r="A112" s="872"/>
      <c r="B112" s="638" t="str">
        <v>40</v>
      </c>
      <c r="C112" s="13" t="s">
        <v>117</v>
      </c>
      <c r="D112" s="9" t="str">
        <f>'Tab.G2.1-3'!$D$106</f>
        <v>[szt.]</v>
      </c>
      <c r="E112" s="152">
        <f>SUM(E113:E115)</f>
        <v>0</v>
      </c>
      <c r="F112" s="860"/>
      <c r="G112" s="860"/>
      <c r="H112" s="856"/>
      <c r="I112" s="856"/>
      <c r="J112" s="853"/>
      <c r="K112" s="853"/>
    </row>
    <row r="113" spans="1:11" ht="18.95" customHeight="1">
      <c r="A113" s="872"/>
      <c r="B113" s="635" t="str">
        <v>41</v>
      </c>
      <c r="C113" s="260" t="s">
        <v>88</v>
      </c>
      <c r="D113" s="6" t="str">
        <f>'Tab.G2.1-3'!$D$106</f>
        <v>[szt.]</v>
      </c>
      <c r="E113" s="149"/>
      <c r="F113" s="860"/>
      <c r="G113" s="860"/>
      <c r="H113" s="857"/>
      <c r="I113" s="857"/>
      <c r="J113" s="853"/>
      <c r="K113" s="853"/>
    </row>
    <row r="114" spans="1:11" ht="18.95" customHeight="1">
      <c r="A114" s="858"/>
      <c r="B114" s="636" t="str">
        <v>42</v>
      </c>
      <c r="C114" s="262" t="s">
        <v>89</v>
      </c>
      <c r="D114" s="7" t="str">
        <f>'Tab.G2.1-3'!$D$106</f>
        <v>[szt.]</v>
      </c>
      <c r="E114" s="150"/>
      <c r="F114" s="860"/>
      <c r="G114" s="860"/>
      <c r="H114" s="858"/>
      <c r="I114" s="858"/>
      <c r="J114" s="853"/>
      <c r="K114" s="853"/>
    </row>
    <row r="115" spans="1:11" ht="18.95" customHeight="1">
      <c r="A115" s="861"/>
      <c r="B115" s="637" t="str">
        <v>43</v>
      </c>
      <c r="C115" s="269" t="s">
        <v>90</v>
      </c>
      <c r="D115" s="8" t="str">
        <f>'Tab.G2.1-3'!$D$106</f>
        <v>[szt.]</v>
      </c>
      <c r="E115" s="151"/>
      <c r="F115" s="860"/>
      <c r="G115" s="860"/>
      <c r="H115" s="861"/>
      <c r="I115" s="858"/>
      <c r="J115" s="853"/>
      <c r="K115" s="853"/>
    </row>
    <row r="116" spans="1:11" ht="18.95" customHeight="1">
      <c r="A116" s="862"/>
      <c r="B116" s="642" t="str">
        <v>44</v>
      </c>
      <c r="C116" s="14" t="s">
        <v>118</v>
      </c>
      <c r="D116" s="15" t="str">
        <f>'Tab.G2.1-3'!$D$106</f>
        <v>[szt.]</v>
      </c>
      <c r="E116" s="152"/>
      <c r="F116" s="860"/>
      <c r="G116" s="860"/>
      <c r="H116" s="862"/>
      <c r="I116" s="859"/>
      <c r="J116" s="853"/>
      <c r="K116" s="853"/>
    </row>
    <row r="117" spans="1:11" ht="18.95" customHeight="1" thickBot="1">
      <c r="A117" s="862"/>
      <c r="B117" s="643" t="str">
        <v>45</v>
      </c>
      <c r="C117" s="16" t="s">
        <v>119</v>
      </c>
      <c r="D117" s="17" t="str">
        <f>'Tab.G2.1-3'!$D$106</f>
        <v>[szt.]</v>
      </c>
      <c r="E117" s="154"/>
      <c r="F117" s="860"/>
      <c r="G117" s="860"/>
      <c r="H117" s="862"/>
      <c r="I117" s="859"/>
      <c r="J117" s="853"/>
      <c r="K117" s="853"/>
    </row>
    <row r="118" spans="1:11" ht="18.95" customHeight="1" thickBot="1">
      <c r="A118" s="862"/>
      <c r="B118" s="641" t="str">
        <v>46</v>
      </c>
      <c r="C118" s="1" t="s">
        <v>126</v>
      </c>
      <c r="D118" s="2" t="str">
        <f>'Tab.G2.1-3'!$D$106</f>
        <v>[szt.]</v>
      </c>
      <c r="E118" s="146">
        <f>SUM(E119,E124,E127,E130)</f>
        <v>0</v>
      </c>
      <c r="F118" s="860"/>
      <c r="G118" s="860"/>
      <c r="H118" s="862"/>
      <c r="I118" s="860"/>
      <c r="J118" s="853"/>
      <c r="K118" s="853"/>
    </row>
    <row r="119" spans="1:11" ht="18.95" customHeight="1">
      <c r="A119" s="862"/>
      <c r="B119" s="634" t="str">
        <v>47</v>
      </c>
      <c r="C119" s="12" t="s">
        <v>127</v>
      </c>
      <c r="D119" s="5" t="str">
        <f>'Tab.G2.1-3'!$D$106</f>
        <v>[szt.]</v>
      </c>
      <c r="E119" s="148">
        <f>SUM(E120:E123)</f>
        <v>0</v>
      </c>
      <c r="F119" s="860"/>
      <c r="G119" s="860"/>
      <c r="H119" s="862"/>
      <c r="I119" s="860"/>
      <c r="J119" s="853"/>
      <c r="K119" s="853"/>
    </row>
    <row r="120" spans="1:11" ht="18.95" customHeight="1">
      <c r="A120" s="862"/>
      <c r="B120" s="635" t="str">
        <v>48</v>
      </c>
      <c r="C120" s="263" t="s">
        <v>128</v>
      </c>
      <c r="D120" s="6" t="str">
        <f>'Tab.G2.1-3'!$D$106</f>
        <v>[szt.]</v>
      </c>
      <c r="E120" s="149"/>
      <c r="F120" s="860"/>
      <c r="G120" s="860"/>
      <c r="H120" s="862"/>
      <c r="I120" s="860"/>
      <c r="J120" s="853"/>
      <c r="K120" s="853"/>
    </row>
    <row r="121" spans="1:11" ht="18.95" customHeight="1">
      <c r="A121" s="862"/>
      <c r="B121" s="636" t="str">
        <v>49</v>
      </c>
      <c r="C121" s="262" t="s">
        <v>169</v>
      </c>
      <c r="D121" s="7" t="str">
        <f>'Tab.G2.1-3'!$D$106</f>
        <v>[szt.]</v>
      </c>
      <c r="E121" s="150"/>
      <c r="F121" s="860"/>
      <c r="G121" s="860"/>
      <c r="H121" s="862"/>
      <c r="I121" s="860"/>
      <c r="J121" s="853"/>
      <c r="K121" s="853"/>
    </row>
    <row r="122" spans="1:11" ht="18.95" customHeight="1">
      <c r="A122" s="862"/>
      <c r="B122" s="636" t="str">
        <v>50</v>
      </c>
      <c r="C122" s="262" t="s">
        <v>129</v>
      </c>
      <c r="D122" s="7" t="str">
        <f>'Tab.G2.1-3'!$D$106</f>
        <v>[szt.]</v>
      </c>
      <c r="E122" s="150"/>
      <c r="F122" s="860"/>
      <c r="G122" s="860"/>
      <c r="H122" s="862"/>
      <c r="I122" s="860"/>
      <c r="J122" s="853"/>
      <c r="K122" s="853"/>
    </row>
    <row r="123" spans="1:11" ht="18.95" customHeight="1">
      <c r="A123" s="862"/>
      <c r="B123" s="637" t="str">
        <v>51</v>
      </c>
      <c r="C123" s="336" t="s">
        <v>170</v>
      </c>
      <c r="D123" s="8" t="str">
        <f>'Tab.G2.1-3'!$D$106</f>
        <v>[szt.]</v>
      </c>
      <c r="E123" s="151"/>
      <c r="F123" s="860"/>
      <c r="G123" s="860"/>
      <c r="H123" s="862"/>
      <c r="I123" s="860"/>
      <c r="J123" s="853"/>
      <c r="K123" s="853"/>
    </row>
    <row r="124" spans="1:11" ht="18.95" customHeight="1">
      <c r="A124" s="862"/>
      <c r="B124" s="638" t="str">
        <v>52</v>
      </c>
      <c r="C124" s="13" t="s">
        <v>130</v>
      </c>
      <c r="D124" s="9" t="str">
        <f>'Tab.G2.1-3'!$D$106</f>
        <v>[szt.]</v>
      </c>
      <c r="E124" s="152">
        <f>SUM(E125:E126)</f>
        <v>0</v>
      </c>
      <c r="F124" s="860"/>
      <c r="G124" s="860"/>
      <c r="H124" s="862"/>
      <c r="I124" s="860"/>
      <c r="J124" s="853"/>
      <c r="K124" s="853"/>
    </row>
    <row r="125" spans="1:11" ht="18.95" customHeight="1">
      <c r="A125" s="862"/>
      <c r="B125" s="635" t="str">
        <v>53</v>
      </c>
      <c r="C125" s="263" t="s">
        <v>33</v>
      </c>
      <c r="D125" s="6" t="str">
        <f>'Tab.G2.1-3'!$D$106</f>
        <v>[szt.]</v>
      </c>
      <c r="E125" s="149"/>
      <c r="F125" s="860"/>
      <c r="G125" s="860"/>
      <c r="H125" s="862"/>
      <c r="I125" s="860"/>
      <c r="J125" s="853"/>
      <c r="K125" s="853"/>
    </row>
    <row r="126" spans="1:11" ht="18.95" customHeight="1">
      <c r="A126" s="862"/>
      <c r="B126" s="640" t="str">
        <v>54</v>
      </c>
      <c r="C126" s="266" t="s">
        <v>31</v>
      </c>
      <c r="D126" s="267" t="str">
        <f>'Tab.G2.1-3'!$D$106</f>
        <v>[szt.]</v>
      </c>
      <c r="E126" s="268"/>
      <c r="F126" s="860"/>
      <c r="G126" s="860"/>
      <c r="H126" s="862"/>
      <c r="I126" s="860"/>
      <c r="J126" s="853"/>
      <c r="K126" s="853"/>
    </row>
    <row r="127" spans="1:11" ht="18.95" customHeight="1">
      <c r="A127" s="862"/>
      <c r="B127" s="638" t="str">
        <v>55</v>
      </c>
      <c r="C127" s="13" t="s">
        <v>131</v>
      </c>
      <c r="D127" s="9" t="str">
        <f>'Tab.G2.1-3'!$D$106</f>
        <v>[szt.]</v>
      </c>
      <c r="E127" s="152">
        <f>SUM(E128:E129)</f>
        <v>0</v>
      </c>
      <c r="F127" s="860"/>
      <c r="G127" s="860"/>
      <c r="H127" s="862"/>
      <c r="I127" s="860"/>
      <c r="J127" s="853"/>
      <c r="K127" s="853"/>
    </row>
    <row r="128" spans="1:11" ht="18.95" customHeight="1">
      <c r="A128" s="862"/>
      <c r="B128" s="635" t="str">
        <v>56</v>
      </c>
      <c r="C128" s="263" t="s">
        <v>33</v>
      </c>
      <c r="D128" s="6" t="str">
        <f>'Tab.G2.1-3'!$D$106</f>
        <v>[szt.]</v>
      </c>
      <c r="E128" s="149"/>
      <c r="F128" s="860"/>
      <c r="G128" s="860"/>
      <c r="H128" s="862"/>
      <c r="I128" s="860"/>
      <c r="J128" s="853"/>
      <c r="K128" s="853"/>
    </row>
    <row r="129" spans="1:11" ht="18.95" customHeight="1">
      <c r="A129" s="862"/>
      <c r="B129" s="640" t="str">
        <v>57</v>
      </c>
      <c r="C129" s="266" t="s">
        <v>31</v>
      </c>
      <c r="D129" s="267" t="str">
        <f>'Tab.G2.1-3'!$D$106</f>
        <v>[szt.]</v>
      </c>
      <c r="E129" s="268"/>
      <c r="F129" s="860"/>
      <c r="G129" s="860"/>
      <c r="H129" s="862"/>
      <c r="I129" s="860"/>
      <c r="J129" s="853"/>
      <c r="K129" s="853"/>
    </row>
    <row r="130" spans="1:11" ht="18.95" customHeight="1" thickBot="1">
      <c r="A130" s="862"/>
      <c r="B130" s="643" t="str">
        <v>58</v>
      </c>
      <c r="C130" s="16" t="s">
        <v>132</v>
      </c>
      <c r="D130" s="17" t="str">
        <f>'Tab.G2.1-3'!$D$106</f>
        <v>[szt.]</v>
      </c>
      <c r="E130" s="154"/>
      <c r="F130" s="860"/>
      <c r="G130" s="860"/>
      <c r="H130" s="862"/>
      <c r="I130" s="860"/>
      <c r="J130" s="853"/>
      <c r="K130" s="853"/>
    </row>
    <row r="131" spans="1:11" ht="18.95" customHeight="1">
      <c r="A131" s="862"/>
      <c r="B131" s="862"/>
      <c r="C131" s="861"/>
      <c r="D131" s="871"/>
      <c r="E131" s="860"/>
      <c r="F131" s="860"/>
      <c r="G131" s="860"/>
      <c r="H131" s="862"/>
      <c r="I131" s="860"/>
      <c r="J131" s="853"/>
      <c r="K131" s="853"/>
    </row>
    <row r="132" spans="1:11" ht="18.95" customHeight="1">
      <c r="A132" s="862"/>
      <c r="B132" s="862"/>
      <c r="C132" s="861"/>
      <c r="D132" s="871"/>
      <c r="E132" s="860"/>
      <c r="F132" s="860"/>
      <c r="G132" s="860"/>
      <c r="H132" s="862"/>
      <c r="I132" s="860"/>
      <c r="J132" s="853"/>
      <c r="K132" s="853"/>
    </row>
    <row r="133" spans="1:11" ht="30" customHeight="1" thickBot="1">
      <c r="A133" s="862"/>
      <c r="B133" s="695" t="s">
        <v>245</v>
      </c>
      <c r="C133" s="861"/>
      <c r="D133" s="871"/>
      <c r="E133" s="860"/>
      <c r="F133" s="860"/>
      <c r="G133" s="860"/>
      <c r="H133" s="862"/>
      <c r="I133" s="860"/>
      <c r="J133" s="853"/>
      <c r="K133" s="853"/>
    </row>
    <row r="134" spans="1:11" ht="18.95" customHeight="1">
      <c r="A134" s="862"/>
      <c r="B134" s="1035" t="str">
        <f>'Tab.G1.1-4'!$B$8</f>
        <v>LP</v>
      </c>
      <c r="C134" s="1037" t="str">
        <f>'Tab.G1.1-4'!$C$8</f>
        <v>Wyszczególnienie</v>
      </c>
      <c r="D134" s="1038"/>
      <c r="E134" s="627" t="str">
        <f>'Tab.G1.1-4'!$E$8</f>
        <v>Wykonanie</v>
      </c>
      <c r="F134" s="860"/>
      <c r="G134" s="860"/>
      <c r="H134" s="862"/>
      <c r="I134" s="860"/>
      <c r="J134" s="853"/>
      <c r="K134" s="853"/>
    </row>
    <row r="135" spans="1:11" ht="18.95" customHeight="1">
      <c r="A135" s="862"/>
      <c r="B135" s="1036"/>
      <c r="C135" s="1039"/>
      <c r="D135" s="1040"/>
      <c r="E135" s="628">
        <f>Rok_ZPR</f>
        <v>2023</v>
      </c>
      <c r="F135" s="860"/>
      <c r="G135" s="860"/>
      <c r="H135" s="862"/>
      <c r="I135" s="860"/>
      <c r="J135" s="853"/>
      <c r="K135" s="853"/>
    </row>
    <row r="136" spans="1:11" ht="14.1" customHeight="1" thickBot="1">
      <c r="A136" s="862"/>
      <c r="B136" s="644" t="str">
        <f t="array" ref="B136:B193">Tab.G17!$B$10:$B$67</f>
        <v>01</v>
      </c>
      <c r="C136" s="1044" t="str">
        <f>Tab.G17!$B$11</f>
        <v>02</v>
      </c>
      <c r="D136" s="1034"/>
      <c r="E136" s="645" t="str">
        <f>Tab.G17!$B$12</f>
        <v>03</v>
      </c>
      <c r="F136" s="860"/>
      <c r="G136" s="860"/>
      <c r="H136" s="862"/>
      <c r="I136" s="860"/>
      <c r="J136" s="853"/>
      <c r="K136" s="853"/>
    </row>
    <row r="137" spans="1:11" ht="18.95" customHeight="1" thickBot="1">
      <c r="A137" s="862"/>
      <c r="B137" s="641" t="str">
        <v>02</v>
      </c>
      <c r="C137" s="1" t="s">
        <v>112</v>
      </c>
      <c r="D137" s="2" t="str">
        <f>'Tab.G2.1-3'!$D$134</f>
        <v>[tys. zł/km]</v>
      </c>
      <c r="E137" s="146" t="str">
        <f t="array" ref="E137:E193">IFERROR($E$11:$E$67/$E$74:$E$130,"")</f>
        <v/>
      </c>
      <c r="F137" s="860"/>
      <c r="G137" s="860"/>
      <c r="H137" s="862"/>
      <c r="I137" s="860"/>
      <c r="J137" s="853"/>
      <c r="K137" s="853"/>
    </row>
    <row r="138" spans="1:11" ht="18.95" customHeight="1" thickBot="1">
      <c r="A138" s="862"/>
      <c r="B138" s="633" t="str">
        <v>03</v>
      </c>
      <c r="C138" s="3" t="s">
        <v>120</v>
      </c>
      <c r="D138" s="4" t="str">
        <f>'Tab.G2.1-3'!$D$134</f>
        <v>[tys. zł/km]</v>
      </c>
      <c r="E138" s="147" t="str">
        <v/>
      </c>
      <c r="F138" s="860"/>
      <c r="G138" s="860"/>
      <c r="H138" s="862"/>
      <c r="I138" s="860"/>
      <c r="J138" s="853"/>
      <c r="K138" s="853"/>
    </row>
    <row r="139" spans="1:11" ht="18.95" customHeight="1">
      <c r="A139" s="862"/>
      <c r="B139" s="634" t="str">
        <v>04</v>
      </c>
      <c r="C139" s="258" t="s">
        <v>72</v>
      </c>
      <c r="D139" s="5" t="str">
        <f>'Tab.G2.1-3'!$D$134</f>
        <v>[tys. zł/km]</v>
      </c>
      <c r="E139" s="148" t="str">
        <v/>
      </c>
      <c r="F139" s="860"/>
      <c r="G139" s="860"/>
      <c r="H139" s="862"/>
      <c r="I139" s="860"/>
      <c r="J139" s="853"/>
      <c r="K139" s="853"/>
    </row>
    <row r="140" spans="1:11" ht="18.95" customHeight="1">
      <c r="A140" s="862"/>
      <c r="B140" s="635" t="str">
        <v>05</v>
      </c>
      <c r="C140" s="260" t="s">
        <v>73</v>
      </c>
      <c r="D140" s="6" t="str">
        <f>'Tab.G2.1-3'!$D$134</f>
        <v>[tys. zł/km]</v>
      </c>
      <c r="E140" s="149" t="str">
        <v/>
      </c>
      <c r="F140" s="860"/>
      <c r="G140" s="860"/>
      <c r="H140" s="862"/>
      <c r="I140" s="860"/>
      <c r="J140" s="853"/>
      <c r="K140" s="853"/>
    </row>
    <row r="141" spans="1:11" ht="18.95" customHeight="1">
      <c r="A141" s="862"/>
      <c r="B141" s="636" t="str">
        <v>06</v>
      </c>
      <c r="C141" s="261" t="s">
        <v>74</v>
      </c>
      <c r="D141" s="7" t="str">
        <f>'Tab.G2.1-3'!$D$134</f>
        <v>[tys. zł/km]</v>
      </c>
      <c r="E141" s="150" t="str">
        <v/>
      </c>
      <c r="F141" s="860"/>
      <c r="G141" s="860"/>
      <c r="H141" s="862"/>
      <c r="I141" s="860"/>
      <c r="J141" s="853"/>
      <c r="K141" s="853"/>
    </row>
    <row r="142" spans="1:11" ht="18.95" customHeight="1">
      <c r="A142" s="862"/>
      <c r="B142" s="636" t="str">
        <v>07</v>
      </c>
      <c r="C142" s="261" t="s">
        <v>75</v>
      </c>
      <c r="D142" s="7" t="str">
        <f>'Tab.G2.1-3'!$D$134</f>
        <v>[tys. zł/km]</v>
      </c>
      <c r="E142" s="150" t="str">
        <v/>
      </c>
      <c r="F142" s="860"/>
      <c r="G142" s="860"/>
      <c r="H142" s="862"/>
      <c r="I142" s="860"/>
      <c r="J142" s="853"/>
      <c r="K142" s="853"/>
    </row>
    <row r="143" spans="1:11" ht="18.95" customHeight="1">
      <c r="A143" s="862"/>
      <c r="B143" s="637" t="str">
        <v>08</v>
      </c>
      <c r="C143" s="264" t="s">
        <v>76</v>
      </c>
      <c r="D143" s="8" t="str">
        <f>'Tab.G2.1-3'!$D$134</f>
        <v>[tys. zł/km]</v>
      </c>
      <c r="E143" s="151" t="str">
        <v/>
      </c>
      <c r="F143" s="860"/>
      <c r="G143" s="860"/>
      <c r="H143" s="862"/>
      <c r="I143" s="860"/>
      <c r="J143" s="853"/>
      <c r="K143" s="853"/>
    </row>
    <row r="144" spans="1:11" ht="18.95" customHeight="1">
      <c r="A144" s="862"/>
      <c r="B144" s="638" t="str">
        <v>09</v>
      </c>
      <c r="C144" s="259" t="s">
        <v>77</v>
      </c>
      <c r="D144" s="9" t="str">
        <f>'Tab.G2.1-3'!$D$134</f>
        <v>[tys. zł/km]</v>
      </c>
      <c r="E144" s="152" t="str">
        <v/>
      </c>
      <c r="F144" s="860"/>
      <c r="G144" s="860"/>
      <c r="H144" s="862"/>
      <c r="I144" s="860"/>
      <c r="J144" s="853"/>
      <c r="K144" s="853"/>
    </row>
    <row r="145" spans="1:11" ht="18.95" customHeight="1">
      <c r="A145" s="862"/>
      <c r="B145" s="635" t="str">
        <v>10</v>
      </c>
      <c r="C145" s="260" t="s">
        <v>73</v>
      </c>
      <c r="D145" s="6" t="str">
        <f>'Tab.G2.1-3'!$D$134</f>
        <v>[tys. zł/km]</v>
      </c>
      <c r="E145" s="149" t="str">
        <v/>
      </c>
      <c r="F145" s="860"/>
      <c r="G145" s="860"/>
      <c r="H145" s="862"/>
      <c r="I145" s="860"/>
      <c r="J145" s="853"/>
      <c r="K145" s="853"/>
    </row>
    <row r="146" spans="1:11" ht="18.95" customHeight="1">
      <c r="A146" s="862"/>
      <c r="B146" s="636" t="str">
        <v>11</v>
      </c>
      <c r="C146" s="261" t="s">
        <v>74</v>
      </c>
      <c r="D146" s="7" t="str">
        <f>'Tab.G2.1-3'!$D$134</f>
        <v>[tys. zł/km]</v>
      </c>
      <c r="E146" s="150" t="str">
        <v/>
      </c>
      <c r="F146" s="860"/>
      <c r="G146" s="860"/>
      <c r="H146" s="862"/>
      <c r="I146" s="860"/>
      <c r="J146" s="853"/>
      <c r="K146" s="853"/>
    </row>
    <row r="147" spans="1:11" ht="18.95" customHeight="1">
      <c r="A147" s="862"/>
      <c r="B147" s="636" t="str">
        <v>12</v>
      </c>
      <c r="C147" s="261" t="s">
        <v>75</v>
      </c>
      <c r="D147" s="7" t="str">
        <f>'Tab.G2.1-3'!$D$134</f>
        <v>[tys. zł/km]</v>
      </c>
      <c r="E147" s="150" t="str">
        <v/>
      </c>
      <c r="F147" s="860"/>
      <c r="G147" s="860"/>
      <c r="H147" s="862"/>
      <c r="I147" s="860"/>
      <c r="J147" s="853"/>
      <c r="K147" s="853"/>
    </row>
    <row r="148" spans="1:11" ht="18.95" customHeight="1" thickBot="1">
      <c r="A148" s="862"/>
      <c r="B148" s="639" t="str">
        <v>13</v>
      </c>
      <c r="C148" s="265" t="s">
        <v>76</v>
      </c>
      <c r="D148" s="10" t="str">
        <f>'Tab.G2.1-3'!$D$134</f>
        <v>[tys. zł/km]</v>
      </c>
      <c r="E148" s="153" t="str">
        <v/>
      </c>
      <c r="F148" s="860"/>
      <c r="G148" s="860"/>
      <c r="H148" s="862"/>
      <c r="I148" s="860"/>
      <c r="J148" s="853"/>
      <c r="K148" s="853"/>
    </row>
    <row r="149" spans="1:11" ht="18.95" customHeight="1" thickBot="1">
      <c r="A149" s="862"/>
      <c r="B149" s="633" t="str">
        <v>14</v>
      </c>
      <c r="C149" s="11" t="s">
        <v>121</v>
      </c>
      <c r="D149" s="4" t="str">
        <f>'Tab.G2.1-3'!$D$134</f>
        <v>[tys. zł/km]</v>
      </c>
      <c r="E149" s="147" t="str">
        <v/>
      </c>
      <c r="F149" s="860"/>
      <c r="G149" s="860"/>
      <c r="H149" s="862"/>
      <c r="I149" s="860"/>
      <c r="J149" s="853"/>
      <c r="K149" s="853"/>
    </row>
    <row r="150" spans="1:11" ht="18.95" customHeight="1">
      <c r="A150" s="862"/>
      <c r="B150" s="634" t="str">
        <v>15</v>
      </c>
      <c r="C150" s="258" t="s">
        <v>72</v>
      </c>
      <c r="D150" s="5" t="str">
        <f>'Tab.G2.1-3'!$D$134</f>
        <v>[tys. zł/km]</v>
      </c>
      <c r="E150" s="148" t="str">
        <v/>
      </c>
      <c r="F150" s="860"/>
      <c r="G150" s="860"/>
      <c r="H150" s="862"/>
      <c r="I150" s="860"/>
      <c r="J150" s="853"/>
      <c r="K150" s="853"/>
    </row>
    <row r="151" spans="1:11" ht="18.95" customHeight="1">
      <c r="A151" s="862"/>
      <c r="B151" s="635" t="str">
        <v>16</v>
      </c>
      <c r="C151" s="260" t="s">
        <v>78</v>
      </c>
      <c r="D151" s="6" t="str">
        <f>'Tab.G2.1-3'!$D$134</f>
        <v>[tys. zł/km]</v>
      </c>
      <c r="E151" s="149" t="str">
        <v/>
      </c>
      <c r="F151" s="860"/>
      <c r="G151" s="860"/>
      <c r="H151" s="862"/>
      <c r="I151" s="860"/>
      <c r="J151" s="853"/>
      <c r="K151" s="853"/>
    </row>
    <row r="152" spans="1:11" ht="18.95" customHeight="1">
      <c r="A152" s="862"/>
      <c r="B152" s="636" t="str">
        <v>17</v>
      </c>
      <c r="C152" s="261" t="s">
        <v>75</v>
      </c>
      <c r="D152" s="7" t="str">
        <f>'Tab.G2.1-3'!$D$134</f>
        <v>[tys. zł/km]</v>
      </c>
      <c r="E152" s="150" t="str">
        <v/>
      </c>
      <c r="F152" s="860"/>
      <c r="G152" s="860"/>
      <c r="H152" s="862"/>
      <c r="I152" s="860"/>
      <c r="J152" s="853"/>
      <c r="K152" s="853"/>
    </row>
    <row r="153" spans="1:11" ht="18.95" customHeight="1">
      <c r="A153" s="862"/>
      <c r="B153" s="636" t="str">
        <v>18</v>
      </c>
      <c r="C153" s="262" t="s">
        <v>79</v>
      </c>
      <c r="D153" s="7" t="str">
        <f>'Tab.G2.1-3'!$D$134</f>
        <v>[tys. zł/km]</v>
      </c>
      <c r="E153" s="150" t="str">
        <v/>
      </c>
      <c r="F153" s="860"/>
      <c r="G153" s="860"/>
      <c r="H153" s="862"/>
      <c r="I153" s="860"/>
      <c r="J153" s="853"/>
      <c r="K153" s="853"/>
    </row>
    <row r="154" spans="1:11" ht="18.95" customHeight="1">
      <c r="A154" s="862"/>
      <c r="B154" s="637" t="str">
        <v>19</v>
      </c>
      <c r="C154" s="264" t="s">
        <v>80</v>
      </c>
      <c r="D154" s="8" t="str">
        <f>'Tab.G2.1-3'!$D$134</f>
        <v>[tys. zł/km]</v>
      </c>
      <c r="E154" s="151" t="str">
        <v/>
      </c>
      <c r="F154" s="860"/>
      <c r="G154" s="860"/>
      <c r="H154" s="862"/>
      <c r="I154" s="860"/>
      <c r="J154" s="853"/>
      <c r="K154" s="853"/>
    </row>
    <row r="155" spans="1:11" ht="18.95" customHeight="1">
      <c r="A155" s="862"/>
      <c r="B155" s="638" t="str">
        <v>20</v>
      </c>
      <c r="C155" s="259" t="s">
        <v>77</v>
      </c>
      <c r="D155" s="9" t="str">
        <f>'Tab.G2.1-3'!$D$134</f>
        <v>[tys. zł/km]</v>
      </c>
      <c r="E155" s="152" t="str">
        <v/>
      </c>
      <c r="F155" s="860"/>
      <c r="G155" s="860"/>
      <c r="H155" s="862"/>
      <c r="I155" s="860"/>
      <c r="J155" s="853"/>
      <c r="K155" s="853"/>
    </row>
    <row r="156" spans="1:11" ht="18.95" customHeight="1">
      <c r="A156" s="862"/>
      <c r="B156" s="635" t="str">
        <v>21</v>
      </c>
      <c r="C156" s="260" t="s">
        <v>78</v>
      </c>
      <c r="D156" s="6" t="str">
        <f>'Tab.G2.1-3'!$D$134</f>
        <v>[tys. zł/km]</v>
      </c>
      <c r="E156" s="149" t="str">
        <v/>
      </c>
      <c r="F156" s="860"/>
      <c r="G156" s="860"/>
      <c r="H156" s="862"/>
      <c r="I156" s="860"/>
      <c r="J156" s="853"/>
      <c r="K156" s="853"/>
    </row>
    <row r="157" spans="1:11" ht="18.95" customHeight="1">
      <c r="A157" s="862"/>
      <c r="B157" s="636" t="str">
        <v>22</v>
      </c>
      <c r="C157" s="261" t="s">
        <v>75</v>
      </c>
      <c r="D157" s="7" t="str">
        <f>'Tab.G2.1-3'!$D$134</f>
        <v>[tys. zł/km]</v>
      </c>
      <c r="E157" s="150" t="str">
        <v/>
      </c>
      <c r="F157" s="860"/>
      <c r="G157" s="860"/>
      <c r="H157" s="862"/>
      <c r="I157" s="860"/>
      <c r="J157" s="853"/>
      <c r="K157" s="853"/>
    </row>
    <row r="158" spans="1:11" ht="18.95" customHeight="1">
      <c r="A158" s="862"/>
      <c r="B158" s="636" t="str">
        <v>23</v>
      </c>
      <c r="C158" s="262" t="s">
        <v>79</v>
      </c>
      <c r="D158" s="7" t="str">
        <f>'Tab.G2.1-3'!$D$134</f>
        <v>[tys. zł/km]</v>
      </c>
      <c r="E158" s="150" t="str">
        <v/>
      </c>
      <c r="F158" s="860"/>
      <c r="G158" s="860"/>
      <c r="H158" s="862"/>
      <c r="I158" s="860"/>
      <c r="J158" s="853"/>
      <c r="K158" s="853"/>
    </row>
    <row r="159" spans="1:11" ht="18.95" customHeight="1">
      <c r="A159" s="862"/>
      <c r="B159" s="640" t="str">
        <v>24</v>
      </c>
      <c r="C159" s="335" t="s">
        <v>80</v>
      </c>
      <c r="D159" s="267" t="str">
        <f>'Tab.G2.1-3'!$D$134</f>
        <v>[tys. zł/km]</v>
      </c>
      <c r="E159" s="268" t="str">
        <v/>
      </c>
      <c r="F159" s="860"/>
      <c r="G159" s="860"/>
      <c r="H159" s="862"/>
      <c r="I159" s="860"/>
      <c r="J159" s="853"/>
      <c r="K159" s="853"/>
    </row>
    <row r="160" spans="1:11" ht="18.95" customHeight="1">
      <c r="A160" s="862"/>
      <c r="B160" s="638" t="str">
        <v>25</v>
      </c>
      <c r="C160" s="259" t="s">
        <v>167</v>
      </c>
      <c r="D160" s="9" t="str">
        <f>'Tab.G2.1-3'!$D$134</f>
        <v>[tys. zł/km]</v>
      </c>
      <c r="E160" s="152" t="str">
        <v/>
      </c>
      <c r="F160" s="860"/>
      <c r="G160" s="860"/>
      <c r="H160" s="862"/>
      <c r="I160" s="860"/>
      <c r="J160" s="853"/>
      <c r="K160" s="853"/>
    </row>
    <row r="161" spans="1:11" ht="18.95" customHeight="1">
      <c r="A161" s="862"/>
      <c r="B161" s="635" t="str">
        <v>26</v>
      </c>
      <c r="C161" s="260" t="s">
        <v>78</v>
      </c>
      <c r="D161" s="6" t="str">
        <f>'Tab.G2.1-3'!$D$134</f>
        <v>[tys. zł/km]</v>
      </c>
      <c r="E161" s="149" t="str">
        <v/>
      </c>
      <c r="F161" s="860"/>
      <c r="G161" s="860"/>
      <c r="H161" s="862"/>
      <c r="I161" s="860"/>
      <c r="J161" s="853"/>
      <c r="K161" s="853"/>
    </row>
    <row r="162" spans="1:11" ht="18.95" customHeight="1">
      <c r="A162" s="862"/>
      <c r="B162" s="636" t="str">
        <v>27</v>
      </c>
      <c r="C162" s="261" t="s">
        <v>75</v>
      </c>
      <c r="D162" s="7" t="str">
        <f>'Tab.G2.1-3'!$D$134</f>
        <v>[tys. zł/km]</v>
      </c>
      <c r="E162" s="150" t="str">
        <v/>
      </c>
      <c r="F162" s="860"/>
      <c r="G162" s="860"/>
      <c r="H162" s="862"/>
      <c r="I162" s="860"/>
      <c r="J162" s="853"/>
      <c r="K162" s="853"/>
    </row>
    <row r="163" spans="1:11" ht="18.95" customHeight="1">
      <c r="A163" s="862"/>
      <c r="B163" s="636" t="str">
        <v>28</v>
      </c>
      <c r="C163" s="262" t="s">
        <v>79</v>
      </c>
      <c r="D163" s="7" t="str">
        <f>'Tab.G2.1-3'!$D$134</f>
        <v>[tys. zł/km]</v>
      </c>
      <c r="E163" s="150" t="str">
        <v/>
      </c>
      <c r="F163" s="860"/>
      <c r="G163" s="860"/>
      <c r="H163" s="862"/>
      <c r="I163" s="860"/>
      <c r="J163" s="853"/>
      <c r="K163" s="853"/>
    </row>
    <row r="164" spans="1:11" ht="18.95" customHeight="1" thickBot="1">
      <c r="A164" s="862"/>
      <c r="B164" s="637" t="str">
        <v>29</v>
      </c>
      <c r="C164" s="264" t="s">
        <v>80</v>
      </c>
      <c r="D164" s="8" t="str">
        <f>'Tab.G2.1-3'!$D$134</f>
        <v>[tys. zł/km]</v>
      </c>
      <c r="E164" s="151" t="str">
        <v/>
      </c>
      <c r="F164" s="860"/>
      <c r="G164" s="860"/>
      <c r="H164" s="862"/>
      <c r="I164" s="860"/>
      <c r="J164" s="853"/>
      <c r="K164" s="853"/>
    </row>
    <row r="165" spans="1:11" ht="18.95" customHeight="1" thickBot="1">
      <c r="A165" s="862"/>
      <c r="B165" s="633" t="str">
        <v>30</v>
      </c>
      <c r="C165" s="11" t="s">
        <v>168</v>
      </c>
      <c r="D165" s="4" t="str">
        <f>'Tab.G2.1-3'!$D$134</f>
        <v>[tys. zł/km]</v>
      </c>
      <c r="E165" s="147" t="str">
        <v/>
      </c>
      <c r="F165" s="860"/>
      <c r="G165" s="860"/>
      <c r="H165" s="862"/>
      <c r="I165" s="860"/>
      <c r="J165" s="853"/>
      <c r="K165" s="853"/>
    </row>
    <row r="166" spans="1:11" ht="18.95" customHeight="1" thickBot="1">
      <c r="A166" s="862"/>
      <c r="B166" s="641" t="str">
        <v>31</v>
      </c>
      <c r="C166" s="1" t="s">
        <v>113</v>
      </c>
      <c r="D166" s="2" t="str">
        <f>'Tab.G2.1-3'!$D$168</f>
        <v>[tys. zł/szt.]</v>
      </c>
      <c r="E166" s="146" t="str">
        <v/>
      </c>
      <c r="F166" s="860"/>
      <c r="G166" s="860"/>
      <c r="H166" s="862"/>
      <c r="I166" s="860"/>
      <c r="J166" s="853"/>
      <c r="K166" s="853"/>
    </row>
    <row r="167" spans="1:11" ht="18.95" customHeight="1">
      <c r="A167" s="862"/>
      <c r="B167" s="634" t="str">
        <v>32</v>
      </c>
      <c r="C167" s="12" t="s">
        <v>115</v>
      </c>
      <c r="D167" s="5" t="str">
        <f>'Tab.G2.1-3'!$D$168</f>
        <v>[tys. zł/szt.]</v>
      </c>
      <c r="E167" s="148" t="str">
        <v/>
      </c>
      <c r="F167" s="860"/>
      <c r="G167" s="860"/>
      <c r="H167" s="862"/>
      <c r="I167" s="860"/>
      <c r="J167" s="853"/>
      <c r="K167" s="853"/>
    </row>
    <row r="168" spans="1:11" ht="18.95" customHeight="1">
      <c r="A168" s="862"/>
      <c r="B168" s="635" t="str">
        <v>33</v>
      </c>
      <c r="C168" s="260" t="s">
        <v>85</v>
      </c>
      <c r="D168" s="6" t="str">
        <f>'Tab.G2.1-3'!$D$168</f>
        <v>[tys. zł/szt.]</v>
      </c>
      <c r="E168" s="149" t="str">
        <v/>
      </c>
      <c r="F168" s="860"/>
      <c r="G168" s="860"/>
      <c r="H168" s="862"/>
      <c r="I168" s="860"/>
      <c r="J168" s="853"/>
      <c r="K168" s="853"/>
    </row>
    <row r="169" spans="1:11" ht="18.95" customHeight="1">
      <c r="A169" s="862"/>
      <c r="B169" s="636" t="str">
        <v>34</v>
      </c>
      <c r="C169" s="261" t="s">
        <v>86</v>
      </c>
      <c r="D169" s="7" t="str">
        <f>'Tab.G2.1-3'!$D$168</f>
        <v>[tys. zł/szt.]</v>
      </c>
      <c r="E169" s="150" t="str">
        <v/>
      </c>
      <c r="F169" s="860"/>
      <c r="G169" s="860"/>
      <c r="H169" s="862"/>
      <c r="I169" s="860"/>
      <c r="J169" s="853"/>
      <c r="K169" s="853"/>
    </row>
    <row r="170" spans="1:11" ht="18.95" customHeight="1">
      <c r="A170" s="862"/>
      <c r="B170" s="637" t="str">
        <v>35</v>
      </c>
      <c r="C170" s="269" t="s">
        <v>87</v>
      </c>
      <c r="D170" s="8" t="str">
        <f>'Tab.G2.1-3'!$D$168</f>
        <v>[tys. zł/szt.]</v>
      </c>
      <c r="E170" s="151" t="str">
        <v/>
      </c>
      <c r="F170" s="860"/>
      <c r="G170" s="860"/>
      <c r="H170" s="862"/>
      <c r="I170" s="860"/>
      <c r="J170" s="853"/>
      <c r="K170" s="853"/>
    </row>
    <row r="171" spans="1:11" ht="18.95" customHeight="1">
      <c r="A171" s="862"/>
      <c r="B171" s="638" t="str">
        <v>36</v>
      </c>
      <c r="C171" s="13" t="s">
        <v>116</v>
      </c>
      <c r="D171" s="9" t="str">
        <f>'Tab.G2.1-3'!$D$168</f>
        <v>[tys. zł/szt.]</v>
      </c>
      <c r="E171" s="152" t="str">
        <v/>
      </c>
      <c r="F171" s="860"/>
      <c r="G171" s="860"/>
      <c r="H171" s="862"/>
      <c r="I171" s="860"/>
      <c r="J171" s="853"/>
      <c r="K171" s="853"/>
    </row>
    <row r="172" spans="1:11" ht="18.95" customHeight="1">
      <c r="A172" s="862"/>
      <c r="B172" s="635" t="str">
        <v>37</v>
      </c>
      <c r="C172" s="260" t="s">
        <v>88</v>
      </c>
      <c r="D172" s="6" t="str">
        <f>'Tab.G2.1-3'!$D$168</f>
        <v>[tys. zł/szt.]</v>
      </c>
      <c r="E172" s="149" t="str">
        <v/>
      </c>
      <c r="F172" s="860"/>
      <c r="G172" s="860"/>
      <c r="H172" s="862"/>
      <c r="I172" s="860"/>
      <c r="J172" s="853"/>
      <c r="K172" s="853"/>
    </row>
    <row r="173" spans="1:11" ht="18.95" customHeight="1">
      <c r="A173" s="862"/>
      <c r="B173" s="636" t="str">
        <v>38</v>
      </c>
      <c r="C173" s="262" t="s">
        <v>89</v>
      </c>
      <c r="D173" s="7" t="str">
        <f>'Tab.G2.1-3'!$D$168</f>
        <v>[tys. zł/szt.]</v>
      </c>
      <c r="E173" s="150" t="str">
        <v/>
      </c>
      <c r="F173" s="860"/>
      <c r="G173" s="860"/>
      <c r="H173" s="862"/>
      <c r="I173" s="860"/>
      <c r="J173" s="853"/>
      <c r="K173" s="853"/>
    </row>
    <row r="174" spans="1:11" ht="18.95" customHeight="1">
      <c r="A174" s="862"/>
      <c r="B174" s="637" t="str">
        <v>39</v>
      </c>
      <c r="C174" s="269" t="s">
        <v>90</v>
      </c>
      <c r="D174" s="8" t="str">
        <f>'Tab.G2.1-3'!$D$168</f>
        <v>[tys. zł/szt.]</v>
      </c>
      <c r="E174" s="151" t="str">
        <v/>
      </c>
      <c r="F174" s="860"/>
      <c r="G174" s="860"/>
      <c r="H174" s="862"/>
      <c r="I174" s="860"/>
      <c r="J174" s="853"/>
      <c r="K174" s="853"/>
    </row>
    <row r="175" spans="1:11" ht="18.95" customHeight="1">
      <c r="A175" s="862"/>
      <c r="B175" s="638" t="str">
        <v>40</v>
      </c>
      <c r="C175" s="13" t="s">
        <v>117</v>
      </c>
      <c r="D175" s="9" t="str">
        <f>'Tab.G2.1-3'!$D$168</f>
        <v>[tys. zł/szt.]</v>
      </c>
      <c r="E175" s="152" t="str">
        <v/>
      </c>
      <c r="F175" s="860"/>
      <c r="G175" s="860"/>
      <c r="H175" s="862"/>
      <c r="I175" s="860"/>
      <c r="J175" s="853"/>
      <c r="K175" s="853"/>
    </row>
    <row r="176" spans="1:11" ht="18.95" customHeight="1">
      <c r="A176" s="862"/>
      <c r="B176" s="635" t="str">
        <v>41</v>
      </c>
      <c r="C176" s="260" t="s">
        <v>88</v>
      </c>
      <c r="D176" s="6" t="str">
        <f>'Tab.G2.1-3'!$D$168</f>
        <v>[tys. zł/szt.]</v>
      </c>
      <c r="E176" s="149" t="str">
        <v/>
      </c>
      <c r="F176" s="860"/>
      <c r="G176" s="860"/>
      <c r="H176" s="862"/>
      <c r="I176" s="860"/>
      <c r="J176" s="853"/>
      <c r="K176" s="853"/>
    </row>
    <row r="177" spans="1:11" ht="18.95" customHeight="1">
      <c r="A177" s="862"/>
      <c r="B177" s="636" t="str">
        <v>42</v>
      </c>
      <c r="C177" s="262" t="s">
        <v>89</v>
      </c>
      <c r="D177" s="7" t="str">
        <f>'Tab.G2.1-3'!$D$168</f>
        <v>[tys. zł/szt.]</v>
      </c>
      <c r="E177" s="150" t="str">
        <v/>
      </c>
      <c r="F177" s="860"/>
      <c r="G177" s="860"/>
      <c r="H177" s="862"/>
      <c r="I177" s="860"/>
      <c r="J177" s="853"/>
      <c r="K177" s="853"/>
    </row>
    <row r="178" spans="1:11" ht="18.95" customHeight="1">
      <c r="A178" s="862"/>
      <c r="B178" s="637" t="str">
        <v>43</v>
      </c>
      <c r="C178" s="269" t="s">
        <v>90</v>
      </c>
      <c r="D178" s="8" t="str">
        <f>'Tab.G2.1-3'!$D$168</f>
        <v>[tys. zł/szt.]</v>
      </c>
      <c r="E178" s="151" t="str">
        <v/>
      </c>
      <c r="F178" s="860"/>
      <c r="G178" s="860"/>
      <c r="H178" s="862"/>
      <c r="I178" s="860"/>
      <c r="J178" s="853"/>
      <c r="K178" s="853"/>
    </row>
    <row r="179" spans="1:11" ht="18.95" customHeight="1">
      <c r="A179" s="862"/>
      <c r="B179" s="642" t="str">
        <v>44</v>
      </c>
      <c r="C179" s="14" t="s">
        <v>118</v>
      </c>
      <c r="D179" s="15" t="str">
        <f>'Tab.G2.1-3'!$D$168</f>
        <v>[tys. zł/szt.]</v>
      </c>
      <c r="E179" s="152" t="str">
        <v/>
      </c>
      <c r="F179" s="860"/>
      <c r="G179" s="860"/>
      <c r="H179" s="862"/>
      <c r="I179" s="860"/>
      <c r="J179" s="853"/>
      <c r="K179" s="853"/>
    </row>
    <row r="180" spans="1:11" ht="18.95" customHeight="1" thickBot="1">
      <c r="A180" s="862"/>
      <c r="B180" s="643" t="str">
        <v>45</v>
      </c>
      <c r="C180" s="16" t="s">
        <v>119</v>
      </c>
      <c r="D180" s="17" t="str">
        <f>'Tab.G2.1-3'!$D$168</f>
        <v>[tys. zł/szt.]</v>
      </c>
      <c r="E180" s="154" t="str">
        <v/>
      </c>
      <c r="F180" s="860"/>
      <c r="G180" s="860"/>
      <c r="H180" s="862"/>
      <c r="I180" s="860"/>
      <c r="J180" s="853"/>
      <c r="K180" s="853"/>
    </row>
    <row r="181" spans="1:11" ht="18.95" customHeight="1" thickBot="1">
      <c r="A181" s="862"/>
      <c r="B181" s="641" t="str">
        <v>46</v>
      </c>
      <c r="C181" s="1" t="s">
        <v>126</v>
      </c>
      <c r="D181" s="2" t="str">
        <f>'Tab.G2.1-3'!$D$168</f>
        <v>[tys. zł/szt.]</v>
      </c>
      <c r="E181" s="146" t="str">
        <v/>
      </c>
      <c r="F181" s="860"/>
      <c r="G181" s="860"/>
      <c r="H181" s="862"/>
      <c r="I181" s="860"/>
      <c r="J181" s="853"/>
      <c r="K181" s="853"/>
    </row>
    <row r="182" spans="1:11" ht="18.95" customHeight="1">
      <c r="A182" s="862"/>
      <c r="B182" s="634" t="str">
        <v>47</v>
      </c>
      <c r="C182" s="12" t="s">
        <v>127</v>
      </c>
      <c r="D182" s="5" t="str">
        <f>'Tab.G2.1-3'!$D$168</f>
        <v>[tys. zł/szt.]</v>
      </c>
      <c r="E182" s="148" t="str">
        <v/>
      </c>
      <c r="F182" s="860"/>
      <c r="G182" s="860"/>
      <c r="H182" s="862"/>
      <c r="I182" s="860"/>
      <c r="J182" s="853"/>
      <c r="K182" s="853"/>
    </row>
    <row r="183" spans="1:11" ht="18.95" customHeight="1">
      <c r="A183" s="862"/>
      <c r="B183" s="635" t="str">
        <v>48</v>
      </c>
      <c r="C183" s="263" t="s">
        <v>128</v>
      </c>
      <c r="D183" s="6" t="str">
        <f>'Tab.G2.1-3'!$D$168</f>
        <v>[tys. zł/szt.]</v>
      </c>
      <c r="E183" s="149" t="str">
        <v/>
      </c>
      <c r="F183" s="860"/>
      <c r="G183" s="860"/>
      <c r="H183" s="862"/>
      <c r="I183" s="860"/>
      <c r="J183" s="853"/>
      <c r="K183" s="853"/>
    </row>
    <row r="184" spans="1:11" ht="18.95" customHeight="1">
      <c r="A184" s="862"/>
      <c r="B184" s="636" t="str">
        <v>49</v>
      </c>
      <c r="C184" s="262" t="s">
        <v>169</v>
      </c>
      <c r="D184" s="7" t="str">
        <f>'Tab.G2.1-3'!$D$168</f>
        <v>[tys. zł/szt.]</v>
      </c>
      <c r="E184" s="150" t="str">
        <v/>
      </c>
      <c r="F184" s="860"/>
      <c r="G184" s="860"/>
      <c r="H184" s="862"/>
      <c r="I184" s="860"/>
      <c r="J184" s="853"/>
      <c r="K184" s="853"/>
    </row>
    <row r="185" spans="1:11" ht="18.95" customHeight="1">
      <c r="A185" s="862"/>
      <c r="B185" s="636" t="str">
        <v>50</v>
      </c>
      <c r="C185" s="262" t="s">
        <v>129</v>
      </c>
      <c r="D185" s="7" t="str">
        <f>'Tab.G2.1-3'!$D$168</f>
        <v>[tys. zł/szt.]</v>
      </c>
      <c r="E185" s="150" t="str">
        <v/>
      </c>
      <c r="F185" s="860"/>
      <c r="G185" s="860"/>
      <c r="H185" s="862"/>
      <c r="I185" s="860"/>
      <c r="J185" s="853"/>
      <c r="K185" s="853"/>
    </row>
    <row r="186" spans="1:11" ht="18.95" customHeight="1">
      <c r="A186" s="862"/>
      <c r="B186" s="637" t="str">
        <v>51</v>
      </c>
      <c r="C186" s="336" t="s">
        <v>170</v>
      </c>
      <c r="D186" s="8" t="str">
        <f>'Tab.G2.1-3'!$D$168</f>
        <v>[tys. zł/szt.]</v>
      </c>
      <c r="E186" s="151" t="str">
        <v/>
      </c>
      <c r="F186" s="860"/>
      <c r="G186" s="860"/>
      <c r="H186" s="862"/>
      <c r="I186" s="860"/>
      <c r="J186" s="853"/>
      <c r="K186" s="853"/>
    </row>
    <row r="187" spans="1:11" ht="18.95" customHeight="1">
      <c r="A187" s="862"/>
      <c r="B187" s="638" t="str">
        <v>52</v>
      </c>
      <c r="C187" s="13" t="s">
        <v>130</v>
      </c>
      <c r="D187" s="9" t="str">
        <f>'Tab.G2.1-3'!$D$168</f>
        <v>[tys. zł/szt.]</v>
      </c>
      <c r="E187" s="152" t="str">
        <v/>
      </c>
      <c r="F187" s="860"/>
      <c r="G187" s="860"/>
      <c r="H187" s="862"/>
      <c r="I187" s="860"/>
      <c r="J187" s="853"/>
      <c r="K187" s="853"/>
    </row>
    <row r="188" spans="1:11" ht="18.95" customHeight="1">
      <c r="A188" s="862"/>
      <c r="B188" s="635" t="str">
        <v>53</v>
      </c>
      <c r="C188" s="263" t="s">
        <v>33</v>
      </c>
      <c r="D188" s="6" t="str">
        <f>'Tab.G2.1-3'!$D$168</f>
        <v>[tys. zł/szt.]</v>
      </c>
      <c r="E188" s="149" t="str">
        <v/>
      </c>
      <c r="F188" s="860"/>
      <c r="G188" s="860"/>
      <c r="H188" s="862"/>
      <c r="I188" s="860"/>
      <c r="J188" s="853"/>
      <c r="K188" s="853"/>
    </row>
    <row r="189" spans="1:11" ht="18.95" customHeight="1">
      <c r="A189" s="862"/>
      <c r="B189" s="640" t="str">
        <v>54</v>
      </c>
      <c r="C189" s="266" t="s">
        <v>31</v>
      </c>
      <c r="D189" s="267" t="str">
        <f>'Tab.G2.1-3'!$D$168</f>
        <v>[tys. zł/szt.]</v>
      </c>
      <c r="E189" s="268" t="str">
        <v/>
      </c>
      <c r="F189" s="860"/>
      <c r="G189" s="860"/>
      <c r="H189" s="862"/>
      <c r="I189" s="860"/>
      <c r="J189" s="853"/>
      <c r="K189" s="853"/>
    </row>
    <row r="190" spans="1:11" ht="18.95" customHeight="1">
      <c r="A190" s="862"/>
      <c r="B190" s="638" t="str">
        <v>55</v>
      </c>
      <c r="C190" s="13" t="s">
        <v>131</v>
      </c>
      <c r="D190" s="9" t="str">
        <f>'Tab.G2.1-3'!$D$168</f>
        <v>[tys. zł/szt.]</v>
      </c>
      <c r="E190" s="152" t="str">
        <v/>
      </c>
      <c r="F190" s="860"/>
      <c r="G190" s="860"/>
      <c r="H190" s="862"/>
      <c r="I190" s="860"/>
      <c r="J190" s="853"/>
      <c r="K190" s="853"/>
    </row>
    <row r="191" spans="1:11" ht="18.95" customHeight="1">
      <c r="A191" s="862"/>
      <c r="B191" s="635" t="str">
        <v>56</v>
      </c>
      <c r="C191" s="263" t="s">
        <v>33</v>
      </c>
      <c r="D191" s="6" t="str">
        <f>'Tab.G2.1-3'!$D$168</f>
        <v>[tys. zł/szt.]</v>
      </c>
      <c r="E191" s="149" t="str">
        <v/>
      </c>
      <c r="F191" s="860"/>
      <c r="G191" s="860"/>
      <c r="H191" s="862"/>
      <c r="I191" s="860"/>
      <c r="J191" s="853"/>
      <c r="K191" s="853"/>
    </row>
    <row r="192" spans="1:11" ht="18.95" customHeight="1">
      <c r="A192" s="862"/>
      <c r="B192" s="640" t="str">
        <v>57</v>
      </c>
      <c r="C192" s="266" t="s">
        <v>31</v>
      </c>
      <c r="D192" s="267" t="str">
        <f>'Tab.G2.1-3'!$D$168</f>
        <v>[tys. zł/szt.]</v>
      </c>
      <c r="E192" s="268" t="str">
        <v/>
      </c>
      <c r="F192" s="860"/>
      <c r="G192" s="860"/>
      <c r="H192" s="862"/>
      <c r="I192" s="860"/>
      <c r="J192" s="853"/>
      <c r="K192" s="853"/>
    </row>
    <row r="193" spans="1:11" ht="18.95" customHeight="1" thickBot="1">
      <c r="A193" s="862"/>
      <c r="B193" s="643" t="str">
        <v>58</v>
      </c>
      <c r="C193" s="16" t="s">
        <v>132</v>
      </c>
      <c r="D193" s="17" t="str">
        <f>'Tab.G2.1-3'!$D$168</f>
        <v>[tys. zł/szt.]</v>
      </c>
      <c r="E193" s="154" t="str">
        <v/>
      </c>
      <c r="F193" s="860"/>
      <c r="G193" s="860"/>
      <c r="H193" s="862"/>
      <c r="I193" s="860"/>
      <c r="J193" s="853"/>
      <c r="K193" s="853"/>
    </row>
    <row r="194" spans="1:11">
      <c r="A194" s="862"/>
      <c r="B194" s="862"/>
      <c r="C194" s="861"/>
      <c r="D194" s="871"/>
      <c r="E194" s="860"/>
      <c r="F194" s="860"/>
      <c r="G194" s="860"/>
      <c r="H194" s="862"/>
      <c r="I194" s="860"/>
      <c r="J194" s="853"/>
      <c r="K194" s="853"/>
    </row>
    <row r="195" spans="1:11">
      <c r="A195" s="862"/>
      <c r="B195" s="862"/>
      <c r="C195" s="861"/>
      <c r="D195" s="871"/>
      <c r="E195" s="860"/>
      <c r="F195" s="860"/>
      <c r="G195" s="860"/>
      <c r="H195" s="862"/>
      <c r="I195" s="860"/>
      <c r="J195" s="853"/>
      <c r="K195" s="853"/>
    </row>
    <row r="196" spans="1:11">
      <c r="A196" s="862"/>
      <c r="B196" s="862"/>
      <c r="C196" s="861"/>
      <c r="D196" s="871"/>
      <c r="E196" s="860"/>
      <c r="F196" s="860"/>
      <c r="G196" s="860"/>
      <c r="H196" s="862"/>
      <c r="I196" s="860"/>
      <c r="J196" s="853"/>
      <c r="K196" s="853"/>
    </row>
    <row r="197" spans="1:11">
      <c r="A197" s="139"/>
      <c r="B197" s="139"/>
      <c r="C197" s="138"/>
      <c r="D197" s="140"/>
      <c r="E197" s="84"/>
      <c r="F197" s="84"/>
      <c r="G197" s="84"/>
      <c r="H197" s="139"/>
      <c r="I197" s="84"/>
    </row>
    <row r="198" spans="1:11">
      <c r="A198" s="139"/>
      <c r="B198" s="139"/>
      <c r="C198" s="138"/>
      <c r="D198" s="140"/>
      <c r="E198" s="84"/>
      <c r="F198" s="84"/>
      <c r="G198" s="84"/>
      <c r="H198" s="139"/>
      <c r="I198" s="84"/>
    </row>
    <row r="199" spans="1:11">
      <c r="A199" s="139"/>
      <c r="B199" s="139"/>
      <c r="C199" s="138"/>
      <c r="D199" s="140"/>
      <c r="E199" s="84"/>
      <c r="F199" s="84"/>
      <c r="G199" s="84"/>
      <c r="H199" s="139"/>
      <c r="I199" s="84"/>
    </row>
    <row r="200" spans="1:11">
      <c r="A200" s="139"/>
      <c r="B200" s="139"/>
      <c r="C200" s="138"/>
      <c r="D200" s="140"/>
      <c r="E200" s="84"/>
      <c r="F200" s="84"/>
      <c r="G200" s="84"/>
      <c r="H200" s="139"/>
      <c r="I200" s="84"/>
    </row>
    <row r="201" spans="1:11">
      <c r="A201" s="139"/>
      <c r="B201" s="139"/>
      <c r="C201" s="138"/>
      <c r="D201" s="140"/>
      <c r="E201" s="84"/>
      <c r="F201" s="84"/>
      <c r="G201" s="84"/>
      <c r="H201" s="139"/>
      <c r="I201" s="84"/>
    </row>
    <row r="202" spans="1:11">
      <c r="A202" s="139"/>
      <c r="B202" s="139"/>
      <c r="C202" s="138"/>
      <c r="D202" s="140"/>
      <c r="E202" s="84"/>
      <c r="F202" s="84"/>
      <c r="G202" s="84"/>
      <c r="H202" s="139"/>
      <c r="I202" s="84"/>
    </row>
    <row r="203" spans="1:11">
      <c r="A203" s="139"/>
      <c r="B203" s="139"/>
      <c r="C203" s="138"/>
      <c r="D203" s="140"/>
      <c r="E203" s="84"/>
      <c r="F203" s="84"/>
      <c r="G203" s="84"/>
      <c r="H203" s="139"/>
      <c r="I203" s="84"/>
    </row>
    <row r="204" spans="1:11">
      <c r="A204" s="139"/>
      <c r="B204" s="139"/>
      <c r="C204" s="138"/>
      <c r="D204" s="140"/>
      <c r="E204" s="84"/>
      <c r="F204" s="84"/>
      <c r="G204" s="84"/>
      <c r="H204" s="139"/>
      <c r="I204" s="84"/>
    </row>
    <row r="205" spans="1:11">
      <c r="A205" s="139"/>
      <c r="B205" s="139"/>
      <c r="C205" s="138"/>
      <c r="D205" s="140"/>
      <c r="E205" s="84"/>
      <c r="F205" s="84"/>
      <c r="G205" s="84"/>
      <c r="H205" s="139"/>
      <c r="I205" s="84"/>
    </row>
    <row r="206" spans="1:11">
      <c r="A206" s="139"/>
      <c r="B206" s="139"/>
      <c r="C206" s="138"/>
      <c r="D206" s="140"/>
      <c r="E206" s="84"/>
      <c r="F206" s="84"/>
      <c r="G206" s="84"/>
      <c r="H206" s="139"/>
      <c r="I206" s="84"/>
    </row>
    <row r="207" spans="1:11">
      <c r="A207" s="139"/>
      <c r="B207" s="139"/>
      <c r="C207" s="138"/>
      <c r="D207" s="140"/>
      <c r="E207" s="84"/>
      <c r="F207" s="84"/>
      <c r="G207" s="84"/>
      <c r="H207" s="139"/>
      <c r="I207" s="84"/>
    </row>
    <row r="208" spans="1:11">
      <c r="A208" s="139"/>
      <c r="B208" s="139"/>
      <c r="C208" s="138"/>
      <c r="D208" s="140"/>
      <c r="E208" s="84"/>
      <c r="F208" s="84"/>
      <c r="G208" s="84"/>
      <c r="H208" s="139"/>
      <c r="I208" s="84"/>
    </row>
    <row r="209" spans="1:9">
      <c r="A209" s="139"/>
      <c r="B209" s="139"/>
      <c r="C209" s="138"/>
      <c r="D209" s="140"/>
      <c r="E209" s="84"/>
      <c r="F209" s="84"/>
      <c r="G209" s="84"/>
      <c r="H209" s="139"/>
      <c r="I209" s="84"/>
    </row>
    <row r="210" spans="1:9">
      <c r="A210" s="139"/>
      <c r="B210" s="139"/>
      <c r="C210" s="138"/>
      <c r="D210" s="140"/>
      <c r="E210" s="84"/>
      <c r="F210" s="84"/>
      <c r="G210" s="84"/>
      <c r="H210" s="139"/>
      <c r="I210" s="84"/>
    </row>
    <row r="211" spans="1:9">
      <c r="A211" s="139"/>
      <c r="B211" s="139"/>
      <c r="C211" s="138"/>
      <c r="D211" s="140"/>
      <c r="E211" s="84"/>
      <c r="F211" s="84"/>
      <c r="G211" s="84"/>
      <c r="H211" s="139"/>
      <c r="I211" s="84"/>
    </row>
    <row r="212" spans="1:9">
      <c r="A212" s="139"/>
      <c r="B212" s="139"/>
      <c r="C212" s="138"/>
      <c r="D212" s="140"/>
      <c r="E212" s="84"/>
      <c r="F212" s="84"/>
      <c r="G212" s="84"/>
      <c r="H212" s="139"/>
      <c r="I212" s="84"/>
    </row>
    <row r="213" spans="1:9">
      <c r="A213" s="139"/>
      <c r="B213" s="139"/>
      <c r="C213" s="138"/>
      <c r="D213" s="140"/>
      <c r="E213" s="84"/>
      <c r="F213" s="84"/>
      <c r="G213" s="84"/>
      <c r="H213" s="139"/>
      <c r="I213" s="84"/>
    </row>
    <row r="214" spans="1:9">
      <c r="A214" s="139"/>
      <c r="B214" s="139"/>
      <c r="C214" s="138"/>
      <c r="D214" s="140"/>
      <c r="E214" s="84"/>
      <c r="F214" s="84"/>
      <c r="G214" s="84"/>
      <c r="H214" s="139"/>
      <c r="I214" s="84"/>
    </row>
    <row r="215" spans="1:9">
      <c r="A215" s="139"/>
      <c r="B215" s="139"/>
      <c r="C215" s="138"/>
      <c r="D215" s="140"/>
      <c r="E215" s="84"/>
      <c r="F215" s="84"/>
      <c r="G215" s="84"/>
      <c r="H215" s="139"/>
      <c r="I215" s="84"/>
    </row>
    <row r="216" spans="1:9">
      <c r="A216" s="139"/>
      <c r="B216" s="139"/>
      <c r="C216" s="138"/>
      <c r="D216" s="140"/>
      <c r="E216" s="84"/>
      <c r="F216" s="84"/>
      <c r="G216" s="84"/>
      <c r="H216" s="139"/>
      <c r="I216" s="84"/>
    </row>
    <row r="217" spans="1:9">
      <c r="A217" s="139"/>
      <c r="B217" s="139"/>
      <c r="C217" s="138"/>
      <c r="D217" s="140"/>
      <c r="E217" s="84"/>
      <c r="F217" s="84"/>
      <c r="G217" s="84"/>
      <c r="H217" s="139"/>
      <c r="I217" s="84"/>
    </row>
    <row r="218" spans="1:9">
      <c r="A218" s="139"/>
      <c r="B218" s="139"/>
      <c r="C218" s="138"/>
      <c r="D218" s="140"/>
      <c r="E218" s="84"/>
      <c r="F218" s="84"/>
      <c r="G218" s="84"/>
      <c r="H218" s="139"/>
      <c r="I218" s="84"/>
    </row>
    <row r="219" spans="1:9">
      <c r="A219" s="139"/>
      <c r="B219" s="139"/>
      <c r="C219" s="138"/>
      <c r="D219" s="140"/>
      <c r="E219" s="84"/>
      <c r="F219" s="84"/>
      <c r="G219" s="84"/>
      <c r="H219" s="139"/>
      <c r="I219" s="84"/>
    </row>
    <row r="220" spans="1:9">
      <c r="A220" s="139"/>
      <c r="B220" s="139"/>
      <c r="C220" s="138"/>
      <c r="D220" s="140"/>
      <c r="E220" s="84"/>
      <c r="F220" s="84"/>
      <c r="G220" s="84"/>
      <c r="H220" s="139"/>
      <c r="I220" s="84"/>
    </row>
    <row r="221" spans="1:9">
      <c r="A221" s="139"/>
      <c r="B221" s="139"/>
      <c r="C221" s="138"/>
      <c r="D221" s="140"/>
      <c r="E221" s="84"/>
      <c r="F221" s="84"/>
      <c r="G221" s="84"/>
      <c r="H221" s="139"/>
      <c r="I221" s="84"/>
    </row>
    <row r="222" spans="1:9">
      <c r="A222" s="139"/>
      <c r="B222" s="139"/>
      <c r="C222" s="138"/>
      <c r="D222" s="140"/>
      <c r="E222" s="84"/>
      <c r="F222" s="84"/>
      <c r="G222" s="84"/>
      <c r="H222" s="139"/>
      <c r="I222" s="84"/>
    </row>
    <row r="223" spans="1:9">
      <c r="A223" s="139"/>
      <c r="B223" s="139"/>
      <c r="C223" s="138"/>
      <c r="D223" s="140"/>
      <c r="E223" s="84"/>
      <c r="F223" s="84"/>
      <c r="G223" s="84"/>
      <c r="H223" s="139"/>
      <c r="I223" s="84"/>
    </row>
    <row r="224" spans="1:9">
      <c r="A224" s="139"/>
      <c r="B224" s="139"/>
      <c r="C224" s="138"/>
      <c r="D224" s="140"/>
      <c r="E224" s="84"/>
      <c r="F224" s="84"/>
      <c r="G224" s="84"/>
      <c r="H224" s="139"/>
      <c r="I224" s="84"/>
    </row>
    <row r="225" spans="1:9">
      <c r="A225" s="139"/>
      <c r="B225" s="139"/>
      <c r="C225" s="138"/>
      <c r="D225" s="140"/>
      <c r="E225" s="84"/>
      <c r="F225" s="84"/>
      <c r="G225" s="84"/>
      <c r="H225" s="139"/>
      <c r="I225" s="84"/>
    </row>
    <row r="226" spans="1:9">
      <c r="A226" s="139"/>
      <c r="B226" s="139"/>
      <c r="C226" s="138"/>
      <c r="D226" s="140"/>
      <c r="E226" s="84"/>
      <c r="F226" s="84"/>
      <c r="G226" s="84"/>
      <c r="H226" s="139"/>
      <c r="I226" s="84"/>
    </row>
    <row r="227" spans="1:9">
      <c r="A227" s="139"/>
      <c r="B227" s="139"/>
      <c r="C227" s="138"/>
      <c r="D227" s="140"/>
      <c r="E227" s="84"/>
      <c r="F227" s="84"/>
      <c r="G227" s="84"/>
      <c r="H227" s="139"/>
      <c r="I227" s="84"/>
    </row>
    <row r="228" spans="1:9">
      <c r="A228" s="139"/>
      <c r="B228" s="139"/>
      <c r="C228" s="138"/>
      <c r="D228" s="140"/>
      <c r="E228" s="84"/>
      <c r="F228" s="84"/>
      <c r="G228" s="84"/>
      <c r="H228" s="139"/>
      <c r="I228" s="84"/>
    </row>
    <row r="229" spans="1:9">
      <c r="A229" s="139"/>
      <c r="B229" s="139"/>
      <c r="C229" s="138"/>
      <c r="D229" s="140"/>
      <c r="E229" s="84"/>
      <c r="F229" s="84"/>
      <c r="G229" s="84"/>
      <c r="H229" s="139"/>
      <c r="I229" s="84"/>
    </row>
    <row r="230" spans="1:9">
      <c r="A230" s="139"/>
      <c r="B230" s="139"/>
      <c r="C230" s="138"/>
      <c r="D230" s="140"/>
      <c r="E230" s="84"/>
      <c r="F230" s="84"/>
      <c r="G230" s="84"/>
      <c r="H230" s="139"/>
      <c r="I230" s="84"/>
    </row>
    <row r="231" spans="1:9">
      <c r="A231" s="139"/>
      <c r="B231" s="139"/>
      <c r="C231" s="138"/>
      <c r="D231" s="140"/>
      <c r="E231" s="84"/>
      <c r="F231" s="84"/>
      <c r="G231" s="84"/>
      <c r="H231" s="139"/>
      <c r="I231" s="84"/>
    </row>
    <row r="232" spans="1:9">
      <c r="A232" s="139"/>
      <c r="B232" s="139"/>
      <c r="C232" s="138"/>
      <c r="D232" s="140"/>
      <c r="E232" s="84"/>
      <c r="F232" s="84"/>
      <c r="G232" s="84"/>
      <c r="H232" s="139"/>
      <c r="I232" s="84"/>
    </row>
    <row r="233" spans="1:9">
      <c r="A233" s="139"/>
      <c r="B233" s="139"/>
      <c r="C233" s="138"/>
      <c r="D233" s="140"/>
      <c r="E233" s="84"/>
      <c r="F233" s="84"/>
      <c r="G233" s="84"/>
      <c r="H233" s="139"/>
      <c r="I233" s="84"/>
    </row>
    <row r="234" spans="1:9">
      <c r="A234" s="139"/>
      <c r="B234" s="139"/>
      <c r="C234" s="138"/>
      <c r="D234" s="140"/>
      <c r="E234" s="84"/>
      <c r="F234" s="84"/>
      <c r="G234" s="84"/>
      <c r="H234" s="139"/>
      <c r="I234" s="84"/>
    </row>
    <row r="235" spans="1:9">
      <c r="A235" s="139"/>
      <c r="B235" s="139"/>
      <c r="C235" s="138"/>
      <c r="D235" s="140"/>
      <c r="E235" s="84"/>
      <c r="F235" s="84"/>
      <c r="G235" s="84"/>
      <c r="H235" s="139"/>
      <c r="I235" s="84"/>
    </row>
    <row r="236" spans="1:9">
      <c r="A236" s="139"/>
      <c r="B236" s="139"/>
      <c r="C236" s="138"/>
      <c r="D236" s="140"/>
      <c r="E236" s="84"/>
      <c r="F236" s="84"/>
      <c r="G236" s="84"/>
      <c r="H236" s="139"/>
      <c r="I236" s="84"/>
    </row>
    <row r="237" spans="1:9">
      <c r="A237" s="139"/>
      <c r="B237" s="139"/>
      <c r="C237" s="138"/>
      <c r="D237" s="140"/>
      <c r="E237" s="84"/>
      <c r="F237" s="84"/>
      <c r="G237" s="84"/>
      <c r="H237" s="139"/>
      <c r="I237" s="84"/>
    </row>
    <row r="238" spans="1:9">
      <c r="A238" s="139"/>
      <c r="B238" s="139"/>
      <c r="C238" s="138"/>
      <c r="D238" s="140"/>
      <c r="E238" s="84"/>
      <c r="F238" s="84"/>
      <c r="G238" s="84"/>
      <c r="H238" s="139"/>
      <c r="I238" s="84"/>
    </row>
    <row r="239" spans="1:9">
      <c r="A239" s="139"/>
      <c r="B239" s="139"/>
      <c r="C239" s="138"/>
      <c r="D239" s="140"/>
      <c r="E239" s="84"/>
      <c r="F239" s="84"/>
      <c r="G239" s="84"/>
      <c r="H239" s="139"/>
      <c r="I239" s="84"/>
    </row>
    <row r="240" spans="1:9">
      <c r="A240" s="139"/>
      <c r="B240" s="139"/>
      <c r="C240" s="138"/>
      <c r="D240" s="140"/>
      <c r="E240" s="84"/>
      <c r="F240" s="84"/>
      <c r="G240" s="84"/>
      <c r="H240" s="139"/>
      <c r="I240" s="84"/>
    </row>
    <row r="241" spans="1:9">
      <c r="A241" s="139"/>
      <c r="B241" s="139"/>
      <c r="C241" s="138"/>
      <c r="D241" s="140"/>
      <c r="E241" s="84"/>
      <c r="F241" s="84"/>
      <c r="G241" s="84"/>
      <c r="H241" s="139"/>
      <c r="I241" s="84"/>
    </row>
    <row r="242" spans="1:9">
      <c r="A242" s="139"/>
      <c r="B242" s="139"/>
      <c r="C242" s="138"/>
      <c r="D242" s="140"/>
      <c r="E242" s="84"/>
      <c r="F242" s="84"/>
      <c r="G242" s="84"/>
      <c r="H242" s="139"/>
      <c r="I242" s="84"/>
    </row>
    <row r="243" spans="1:9">
      <c r="A243" s="139"/>
      <c r="B243" s="139"/>
      <c r="C243" s="138"/>
      <c r="D243" s="140"/>
      <c r="E243" s="84"/>
      <c r="F243" s="84"/>
      <c r="G243" s="84"/>
      <c r="H243" s="139"/>
      <c r="I243" s="84"/>
    </row>
    <row r="244" spans="1:9">
      <c r="A244" s="139"/>
      <c r="B244" s="139"/>
      <c r="C244" s="138"/>
      <c r="D244" s="140"/>
      <c r="E244" s="84"/>
      <c r="F244" s="84"/>
      <c r="G244" s="84"/>
      <c r="H244" s="139"/>
      <c r="I244" s="84"/>
    </row>
    <row r="245" spans="1:9">
      <c r="A245" s="139"/>
      <c r="B245" s="139"/>
      <c r="C245" s="138"/>
      <c r="D245" s="140"/>
      <c r="E245" s="84"/>
      <c r="F245" s="84"/>
      <c r="G245" s="84"/>
      <c r="H245" s="139"/>
      <c r="I245" s="84"/>
    </row>
    <row r="246" spans="1:9">
      <c r="A246" s="139"/>
      <c r="B246" s="139"/>
      <c r="C246" s="138"/>
      <c r="D246" s="140"/>
      <c r="E246" s="84"/>
      <c r="F246" s="84"/>
      <c r="G246" s="84"/>
      <c r="H246" s="139"/>
      <c r="I246" s="84"/>
    </row>
    <row r="247" spans="1:9">
      <c r="A247" s="139"/>
      <c r="B247" s="139"/>
      <c r="C247" s="138"/>
      <c r="D247" s="140"/>
      <c r="E247" s="84"/>
      <c r="F247" s="84"/>
      <c r="G247" s="84"/>
      <c r="H247" s="139"/>
      <c r="I247" s="84"/>
    </row>
    <row r="248" spans="1:9">
      <c r="A248" s="139"/>
      <c r="B248" s="139"/>
      <c r="C248" s="138"/>
      <c r="D248" s="140"/>
      <c r="E248" s="84"/>
      <c r="F248" s="84"/>
      <c r="G248" s="84"/>
      <c r="H248" s="139"/>
      <c r="I248" s="84"/>
    </row>
    <row r="249" spans="1:9">
      <c r="A249" s="139"/>
      <c r="B249" s="139"/>
      <c r="C249" s="138"/>
      <c r="D249" s="140"/>
      <c r="E249" s="84"/>
      <c r="F249" s="84"/>
      <c r="G249" s="84"/>
      <c r="H249" s="139"/>
      <c r="I249" s="84"/>
    </row>
    <row r="250" spans="1:9">
      <c r="A250" s="139"/>
      <c r="B250" s="139"/>
      <c r="C250" s="138"/>
      <c r="D250" s="140"/>
      <c r="E250" s="84"/>
      <c r="F250" s="84"/>
      <c r="G250" s="84"/>
      <c r="H250" s="139"/>
      <c r="I250" s="84"/>
    </row>
    <row r="251" spans="1:9">
      <c r="A251" s="139"/>
      <c r="B251" s="139"/>
      <c r="C251" s="138"/>
      <c r="D251" s="140"/>
      <c r="E251" s="84"/>
      <c r="F251" s="84"/>
      <c r="G251" s="84"/>
      <c r="H251" s="139"/>
      <c r="I251" s="84"/>
    </row>
    <row r="252" spans="1:9">
      <c r="A252" s="139"/>
      <c r="B252" s="139"/>
      <c r="C252" s="138"/>
      <c r="D252" s="140"/>
      <c r="E252" s="84"/>
      <c r="F252" s="84"/>
      <c r="G252" s="84"/>
      <c r="H252" s="139"/>
      <c r="I252" s="84"/>
    </row>
    <row r="253" spans="1:9">
      <c r="A253" s="139"/>
      <c r="B253" s="139"/>
      <c r="C253" s="138"/>
      <c r="D253" s="140"/>
      <c r="E253" s="84"/>
      <c r="F253" s="84"/>
      <c r="G253" s="84"/>
      <c r="H253" s="139"/>
      <c r="I253" s="84"/>
    </row>
    <row r="254" spans="1:9">
      <c r="A254" s="139"/>
      <c r="B254" s="139"/>
      <c r="C254" s="138"/>
      <c r="D254" s="140"/>
      <c r="E254" s="84"/>
      <c r="F254" s="84"/>
      <c r="G254" s="84"/>
      <c r="H254" s="139"/>
      <c r="I254" s="84"/>
    </row>
    <row r="255" spans="1:9">
      <c r="A255" s="139"/>
      <c r="B255" s="139"/>
      <c r="C255" s="138"/>
      <c r="D255" s="140"/>
      <c r="E255" s="84"/>
      <c r="F255" s="84"/>
      <c r="G255" s="84"/>
      <c r="H255" s="139"/>
      <c r="I255" s="84"/>
    </row>
    <row r="256" spans="1:9">
      <c r="A256" s="139"/>
      <c r="B256" s="139"/>
      <c r="C256" s="138"/>
      <c r="D256" s="140"/>
      <c r="E256" s="84"/>
      <c r="F256" s="84"/>
      <c r="G256" s="84"/>
      <c r="H256" s="139"/>
      <c r="I256" s="84"/>
    </row>
    <row r="257" spans="1:9">
      <c r="A257" s="139"/>
      <c r="B257" s="139"/>
      <c r="C257" s="138"/>
      <c r="D257" s="140"/>
      <c r="E257" s="84"/>
      <c r="F257" s="84"/>
      <c r="G257" s="84"/>
      <c r="H257" s="139"/>
      <c r="I257" s="84"/>
    </row>
    <row r="258" spans="1:9">
      <c r="A258" s="139"/>
      <c r="B258" s="139"/>
      <c r="C258" s="138"/>
      <c r="D258" s="140"/>
      <c r="E258" s="84"/>
      <c r="F258" s="84"/>
      <c r="G258" s="84"/>
      <c r="H258" s="139"/>
      <c r="I258" s="84"/>
    </row>
    <row r="259" spans="1:9">
      <c r="A259" s="139"/>
      <c r="B259" s="139"/>
      <c r="C259" s="138"/>
      <c r="D259" s="140"/>
      <c r="E259" s="84"/>
      <c r="F259" s="84"/>
      <c r="G259" s="84"/>
      <c r="H259" s="139"/>
      <c r="I259" s="84"/>
    </row>
    <row r="260" spans="1:9">
      <c r="A260" s="139"/>
      <c r="B260" s="139"/>
      <c r="C260" s="138"/>
      <c r="D260" s="140"/>
      <c r="E260" s="84"/>
      <c r="F260" s="84"/>
      <c r="G260" s="84"/>
      <c r="H260" s="139"/>
      <c r="I260" s="84"/>
    </row>
    <row r="261" spans="1:9">
      <c r="A261" s="139"/>
      <c r="B261" s="139"/>
      <c r="C261" s="138"/>
      <c r="D261" s="140"/>
      <c r="E261" s="84"/>
      <c r="F261" s="84"/>
      <c r="G261" s="84"/>
      <c r="H261" s="139"/>
      <c r="I261" s="84"/>
    </row>
    <row r="262" spans="1:9">
      <c r="A262" s="139"/>
      <c r="B262" s="139"/>
      <c r="C262" s="138"/>
      <c r="D262" s="140"/>
      <c r="E262" s="84"/>
      <c r="F262" s="84"/>
      <c r="G262" s="84"/>
      <c r="H262" s="139"/>
      <c r="I262" s="84"/>
    </row>
    <row r="263" spans="1:9">
      <c r="A263" s="139"/>
      <c r="B263" s="139"/>
      <c r="C263" s="138"/>
      <c r="D263" s="140"/>
      <c r="E263" s="84"/>
      <c r="F263" s="84"/>
      <c r="G263" s="84"/>
      <c r="H263" s="139"/>
      <c r="I263" s="84"/>
    </row>
    <row r="264" spans="1:9">
      <c r="A264" s="139"/>
      <c r="B264" s="139"/>
      <c r="C264" s="138"/>
      <c r="D264" s="140"/>
      <c r="E264" s="84"/>
      <c r="F264" s="84"/>
      <c r="G264" s="84"/>
      <c r="H264" s="139"/>
      <c r="I264" s="84"/>
    </row>
    <row r="265" spans="1:9">
      <c r="A265" s="139"/>
      <c r="B265" s="139"/>
      <c r="C265" s="138"/>
      <c r="D265" s="140"/>
      <c r="E265" s="84"/>
      <c r="F265" s="84"/>
      <c r="G265" s="84"/>
      <c r="H265" s="139"/>
      <c r="I265" s="84"/>
    </row>
    <row r="266" spans="1:9">
      <c r="A266" s="139"/>
      <c r="B266" s="139"/>
      <c r="C266" s="138"/>
      <c r="D266" s="140"/>
      <c r="E266" s="84"/>
      <c r="F266" s="84"/>
      <c r="G266" s="84"/>
      <c r="H266" s="139"/>
      <c r="I266" s="84"/>
    </row>
    <row r="267" spans="1:9">
      <c r="A267" s="139"/>
      <c r="B267" s="139"/>
      <c r="C267" s="138"/>
      <c r="D267" s="140"/>
      <c r="E267" s="84"/>
      <c r="F267" s="84"/>
      <c r="G267" s="84"/>
      <c r="H267" s="139"/>
      <c r="I267" s="84"/>
    </row>
    <row r="268" spans="1:9">
      <c r="A268" s="139"/>
      <c r="B268" s="139"/>
      <c r="C268" s="138"/>
      <c r="D268" s="140"/>
      <c r="E268" s="84"/>
      <c r="F268" s="84"/>
      <c r="G268" s="84"/>
      <c r="H268" s="139"/>
      <c r="I268" s="84"/>
    </row>
    <row r="269" spans="1:9">
      <c r="A269" s="139"/>
      <c r="B269" s="139"/>
      <c r="C269" s="138"/>
      <c r="D269" s="140"/>
      <c r="E269" s="84"/>
      <c r="F269" s="84"/>
      <c r="G269" s="84"/>
      <c r="H269" s="139"/>
      <c r="I269" s="84"/>
    </row>
    <row r="270" spans="1:9">
      <c r="A270" s="139"/>
      <c r="B270" s="139"/>
      <c r="C270" s="138"/>
      <c r="D270" s="140"/>
      <c r="E270" s="84"/>
      <c r="F270" s="84"/>
      <c r="G270" s="84"/>
      <c r="H270" s="139"/>
      <c r="I270" s="84"/>
    </row>
    <row r="271" spans="1:9">
      <c r="A271" s="139"/>
      <c r="B271" s="139"/>
      <c r="C271" s="138"/>
      <c r="D271" s="140"/>
      <c r="E271" s="84"/>
      <c r="F271" s="84"/>
      <c r="G271" s="84"/>
      <c r="H271" s="139"/>
      <c r="I271" s="84"/>
    </row>
    <row r="272" spans="1:9">
      <c r="A272" s="139"/>
      <c r="B272" s="139"/>
      <c r="C272" s="138"/>
      <c r="D272" s="140"/>
      <c r="E272" s="84"/>
      <c r="F272" s="84"/>
      <c r="G272" s="84"/>
      <c r="H272" s="139"/>
      <c r="I272" s="84"/>
    </row>
    <row r="273" spans="1:9">
      <c r="A273" s="139"/>
      <c r="B273" s="139"/>
      <c r="C273" s="138"/>
      <c r="D273" s="140"/>
      <c r="E273" s="84"/>
      <c r="F273" s="84"/>
      <c r="G273" s="84"/>
      <c r="H273" s="139"/>
      <c r="I273" s="84"/>
    </row>
    <row r="274" spans="1:9">
      <c r="A274" s="139"/>
      <c r="B274" s="139"/>
      <c r="C274" s="138"/>
      <c r="D274" s="140"/>
      <c r="E274" s="84"/>
      <c r="F274" s="84"/>
      <c r="G274" s="84"/>
      <c r="H274" s="139"/>
      <c r="I274" s="84"/>
    </row>
    <row r="275" spans="1:9">
      <c r="A275" s="139"/>
      <c r="B275" s="139"/>
      <c r="C275" s="138"/>
      <c r="D275" s="140"/>
      <c r="E275" s="84"/>
      <c r="F275" s="84"/>
      <c r="G275" s="84"/>
      <c r="H275" s="139"/>
      <c r="I275" s="84"/>
    </row>
    <row r="276" spans="1:9">
      <c r="A276" s="139"/>
      <c r="B276" s="139"/>
      <c r="C276" s="138"/>
      <c r="D276" s="140"/>
      <c r="E276" s="84"/>
      <c r="F276" s="84"/>
      <c r="G276" s="84"/>
      <c r="H276" s="139"/>
      <c r="I276" s="84"/>
    </row>
    <row r="277" spans="1:9">
      <c r="A277" s="139"/>
      <c r="B277" s="139"/>
      <c r="C277" s="138"/>
      <c r="D277" s="140"/>
      <c r="E277" s="84"/>
      <c r="F277" s="84"/>
      <c r="G277" s="84"/>
      <c r="H277" s="139"/>
      <c r="I277" s="84"/>
    </row>
    <row r="278" spans="1:9">
      <c r="A278" s="139"/>
      <c r="B278" s="139"/>
      <c r="C278" s="138"/>
      <c r="D278" s="140"/>
      <c r="E278" s="84"/>
      <c r="F278" s="84"/>
      <c r="G278" s="84"/>
      <c r="H278" s="139"/>
      <c r="I278" s="84"/>
    </row>
    <row r="279" spans="1:9">
      <c r="A279" s="139"/>
      <c r="B279" s="139"/>
      <c r="C279" s="138"/>
      <c r="D279" s="140"/>
      <c r="E279" s="84"/>
      <c r="F279" s="84"/>
      <c r="G279" s="84"/>
      <c r="H279" s="139"/>
      <c r="I279" s="84"/>
    </row>
    <row r="280" spans="1:9">
      <c r="A280" s="139"/>
      <c r="B280" s="139"/>
      <c r="C280" s="138"/>
      <c r="D280" s="140"/>
      <c r="E280" s="84"/>
      <c r="F280" s="84"/>
      <c r="G280" s="84"/>
      <c r="H280" s="139"/>
      <c r="I280" s="84"/>
    </row>
    <row r="281" spans="1:9">
      <c r="A281" s="139"/>
      <c r="B281" s="139"/>
      <c r="C281" s="138"/>
      <c r="D281" s="140"/>
      <c r="E281" s="84"/>
      <c r="F281" s="84"/>
      <c r="G281" s="84"/>
      <c r="H281" s="139"/>
      <c r="I281" s="84"/>
    </row>
    <row r="282" spans="1:9">
      <c r="A282" s="139"/>
      <c r="B282" s="139"/>
      <c r="C282" s="138"/>
      <c r="D282" s="140"/>
      <c r="E282" s="84"/>
      <c r="F282" s="84"/>
      <c r="G282" s="84"/>
      <c r="H282" s="139"/>
      <c r="I282" s="84"/>
    </row>
    <row r="283" spans="1:9">
      <c r="A283" s="139"/>
      <c r="B283" s="139"/>
      <c r="C283" s="138"/>
      <c r="D283" s="140"/>
      <c r="E283" s="84"/>
      <c r="F283" s="84"/>
      <c r="G283" s="84"/>
      <c r="H283" s="139"/>
      <c r="I283" s="84"/>
    </row>
    <row r="284" spans="1:9">
      <c r="A284" s="139"/>
      <c r="B284" s="139"/>
      <c r="C284" s="138"/>
      <c r="D284" s="140"/>
      <c r="E284" s="84"/>
      <c r="F284" s="84"/>
      <c r="G284" s="84"/>
      <c r="H284" s="139"/>
      <c r="I284" s="84"/>
    </row>
    <row r="285" spans="1:9">
      <c r="A285" s="139"/>
      <c r="B285" s="139"/>
      <c r="C285" s="138"/>
      <c r="D285" s="140"/>
      <c r="E285" s="84"/>
      <c r="F285" s="84"/>
      <c r="G285" s="84"/>
      <c r="H285" s="139"/>
      <c r="I285" s="84"/>
    </row>
    <row r="286" spans="1:9">
      <c r="A286" s="139"/>
      <c r="B286" s="139"/>
      <c r="C286" s="138"/>
      <c r="D286" s="140"/>
      <c r="E286" s="84"/>
      <c r="F286" s="84"/>
      <c r="G286" s="84"/>
      <c r="H286" s="139"/>
      <c r="I286" s="84"/>
    </row>
    <row r="287" spans="1:9">
      <c r="A287" s="139"/>
      <c r="B287" s="139"/>
      <c r="C287" s="138"/>
      <c r="D287" s="140"/>
      <c r="E287" s="84"/>
      <c r="F287" s="84"/>
      <c r="G287" s="84"/>
      <c r="H287" s="139"/>
      <c r="I287" s="84"/>
    </row>
    <row r="288" spans="1:9">
      <c r="A288" s="139"/>
      <c r="B288" s="139"/>
      <c r="C288" s="138"/>
      <c r="D288" s="140"/>
      <c r="E288" s="84"/>
      <c r="F288" s="84"/>
      <c r="G288" s="84"/>
      <c r="H288" s="139"/>
      <c r="I288" s="84"/>
    </row>
    <row r="289" spans="1:9">
      <c r="A289" s="139"/>
      <c r="B289" s="139"/>
      <c r="C289" s="138"/>
      <c r="D289" s="140"/>
      <c r="E289" s="84"/>
      <c r="F289" s="84"/>
      <c r="G289" s="84"/>
      <c r="H289" s="139"/>
      <c r="I289" s="84"/>
    </row>
    <row r="290" spans="1:9">
      <c r="A290" s="139"/>
      <c r="B290" s="139"/>
      <c r="C290" s="138"/>
      <c r="D290" s="140"/>
      <c r="E290" s="84"/>
      <c r="F290" s="84"/>
      <c r="G290" s="84"/>
      <c r="H290" s="139"/>
      <c r="I290" s="84"/>
    </row>
    <row r="291" spans="1:9">
      <c r="A291" s="139"/>
      <c r="B291" s="139"/>
      <c r="C291" s="138"/>
      <c r="D291" s="140"/>
      <c r="E291" s="84"/>
      <c r="F291" s="84"/>
      <c r="G291" s="84"/>
      <c r="H291" s="139"/>
      <c r="I291" s="84"/>
    </row>
    <row r="292" spans="1:9">
      <c r="A292" s="139"/>
      <c r="B292" s="139"/>
      <c r="C292" s="138"/>
      <c r="D292" s="140"/>
      <c r="E292" s="84"/>
      <c r="F292" s="84"/>
      <c r="G292" s="84"/>
      <c r="H292" s="139"/>
      <c r="I292" s="84"/>
    </row>
    <row r="293" spans="1:9">
      <c r="A293" s="139"/>
      <c r="B293" s="139"/>
      <c r="C293" s="138"/>
      <c r="D293" s="140"/>
      <c r="E293" s="84"/>
      <c r="F293" s="84"/>
      <c r="G293" s="84"/>
      <c r="H293" s="139"/>
      <c r="I293" s="84"/>
    </row>
    <row r="294" spans="1:9">
      <c r="A294" s="139"/>
      <c r="B294" s="139"/>
      <c r="C294" s="138"/>
      <c r="D294" s="140"/>
      <c r="E294" s="84"/>
      <c r="F294" s="84"/>
      <c r="G294" s="84"/>
      <c r="H294" s="139"/>
      <c r="I294" s="84"/>
    </row>
    <row r="295" spans="1:9">
      <c r="A295" s="139"/>
      <c r="B295" s="139"/>
      <c r="C295" s="138"/>
      <c r="D295" s="140"/>
      <c r="E295" s="84"/>
      <c r="F295" s="84"/>
      <c r="G295" s="84"/>
      <c r="H295" s="139"/>
      <c r="I295" s="84"/>
    </row>
    <row r="296" spans="1:9">
      <c r="A296" s="139"/>
      <c r="B296" s="139"/>
      <c r="C296" s="138"/>
      <c r="D296" s="140"/>
      <c r="E296" s="84"/>
      <c r="F296" s="84"/>
      <c r="G296" s="84"/>
      <c r="H296" s="139"/>
      <c r="I296" s="84"/>
    </row>
    <row r="297" spans="1:9">
      <c r="A297" s="139"/>
      <c r="B297" s="139"/>
      <c r="C297" s="138"/>
      <c r="D297" s="140"/>
      <c r="E297" s="84"/>
      <c r="F297" s="84"/>
      <c r="G297" s="84"/>
      <c r="H297" s="139"/>
      <c r="I297" s="84"/>
    </row>
    <row r="298" spans="1:9">
      <c r="A298" s="139"/>
      <c r="B298" s="139"/>
      <c r="C298" s="138"/>
      <c r="D298" s="140"/>
      <c r="E298" s="84"/>
      <c r="F298" s="84"/>
      <c r="G298" s="84"/>
      <c r="H298" s="139"/>
      <c r="I298" s="84"/>
    </row>
    <row r="299" spans="1:9">
      <c r="A299" s="139"/>
      <c r="B299" s="139"/>
      <c r="C299" s="138"/>
      <c r="D299" s="140"/>
      <c r="E299" s="84"/>
      <c r="F299" s="84"/>
      <c r="G299" s="84"/>
      <c r="H299" s="139"/>
      <c r="I299" s="84"/>
    </row>
    <row r="300" spans="1:9">
      <c r="A300" s="139"/>
      <c r="B300" s="139"/>
      <c r="C300" s="138"/>
      <c r="D300" s="140"/>
      <c r="E300" s="84"/>
      <c r="F300" s="84"/>
      <c r="G300" s="84"/>
      <c r="H300" s="139"/>
      <c r="I300" s="84"/>
    </row>
    <row r="301" spans="1:9">
      <c r="A301" s="139"/>
      <c r="B301" s="139"/>
      <c r="C301" s="138"/>
      <c r="D301" s="140"/>
      <c r="E301" s="84"/>
      <c r="F301" s="84"/>
      <c r="G301" s="84"/>
      <c r="H301" s="139"/>
      <c r="I301" s="84"/>
    </row>
    <row r="302" spans="1:9">
      <c r="A302" s="139"/>
      <c r="B302" s="139"/>
      <c r="C302" s="138"/>
      <c r="D302" s="140"/>
      <c r="E302" s="84"/>
      <c r="F302" s="84"/>
      <c r="G302" s="84"/>
      <c r="H302" s="139"/>
      <c r="I302" s="84"/>
    </row>
    <row r="303" spans="1:9">
      <c r="A303" s="139"/>
      <c r="B303" s="139"/>
      <c r="C303" s="138"/>
      <c r="D303" s="140"/>
      <c r="E303" s="84"/>
      <c r="F303" s="84"/>
      <c r="G303" s="84"/>
      <c r="H303" s="139"/>
      <c r="I303" s="84"/>
    </row>
    <row r="304" spans="1:9">
      <c r="A304" s="139"/>
      <c r="B304" s="139"/>
      <c r="C304" s="138"/>
      <c r="D304" s="140"/>
      <c r="E304" s="84"/>
      <c r="F304" s="84"/>
      <c r="G304" s="84"/>
      <c r="H304" s="139"/>
      <c r="I304" s="84"/>
    </row>
    <row r="305" spans="1:9">
      <c r="A305" s="139"/>
      <c r="B305" s="139"/>
      <c r="C305" s="138"/>
      <c r="D305" s="140"/>
      <c r="E305" s="84"/>
      <c r="F305" s="84"/>
      <c r="G305" s="84"/>
      <c r="H305" s="139"/>
      <c r="I305" s="84"/>
    </row>
    <row r="306" spans="1:9">
      <c r="A306" s="139"/>
      <c r="B306" s="139"/>
      <c r="C306" s="138"/>
      <c r="D306" s="140"/>
      <c r="E306" s="84"/>
      <c r="F306" s="84"/>
      <c r="G306" s="84"/>
      <c r="H306" s="139"/>
      <c r="I306" s="84"/>
    </row>
    <row r="307" spans="1:9">
      <c r="A307" s="139"/>
      <c r="B307" s="139"/>
      <c r="C307" s="138"/>
      <c r="D307" s="140"/>
      <c r="E307" s="84"/>
      <c r="F307" s="84"/>
      <c r="G307" s="84"/>
      <c r="H307" s="139"/>
      <c r="I307" s="84"/>
    </row>
    <row r="308" spans="1:9">
      <c r="A308" s="139"/>
      <c r="B308" s="139"/>
      <c r="C308" s="138"/>
      <c r="D308" s="140"/>
      <c r="E308" s="84"/>
      <c r="F308" s="84"/>
      <c r="G308" s="84"/>
      <c r="H308" s="139"/>
      <c r="I308" s="84"/>
    </row>
    <row r="309" spans="1:9">
      <c r="A309" s="139"/>
      <c r="B309" s="139"/>
      <c r="C309" s="138"/>
      <c r="D309" s="140"/>
      <c r="E309" s="84"/>
      <c r="F309" s="84"/>
      <c r="G309" s="84"/>
      <c r="H309" s="139"/>
      <c r="I309" s="84"/>
    </row>
    <row r="310" spans="1:9">
      <c r="A310" s="139"/>
      <c r="B310" s="139"/>
      <c r="C310" s="138"/>
      <c r="D310" s="140"/>
      <c r="E310" s="84"/>
      <c r="F310" s="84"/>
      <c r="G310" s="84"/>
      <c r="H310" s="139"/>
      <c r="I310" s="84"/>
    </row>
    <row r="311" spans="1:9">
      <c r="A311" s="139"/>
      <c r="B311" s="139"/>
      <c r="C311" s="138"/>
      <c r="D311" s="140"/>
      <c r="E311" s="84"/>
      <c r="F311" s="84"/>
      <c r="G311" s="84"/>
      <c r="H311" s="139"/>
      <c r="I311" s="84"/>
    </row>
    <row r="312" spans="1:9">
      <c r="A312" s="139"/>
      <c r="B312" s="139"/>
      <c r="C312" s="138"/>
      <c r="D312" s="140"/>
      <c r="E312" s="84"/>
      <c r="F312" s="84"/>
      <c r="G312" s="84"/>
      <c r="H312" s="139"/>
      <c r="I312" s="84"/>
    </row>
    <row r="313" spans="1:9">
      <c r="A313" s="139"/>
      <c r="B313" s="139"/>
      <c r="C313" s="138"/>
      <c r="D313" s="140"/>
      <c r="E313" s="84"/>
      <c r="F313" s="84"/>
      <c r="G313" s="84"/>
      <c r="H313" s="139"/>
      <c r="I313" s="84"/>
    </row>
    <row r="314" spans="1:9">
      <c r="A314" s="139"/>
      <c r="B314" s="139"/>
      <c r="C314" s="138"/>
      <c r="D314" s="140"/>
      <c r="E314" s="84"/>
      <c r="F314" s="84"/>
      <c r="G314" s="84"/>
      <c r="H314" s="139"/>
      <c r="I314" s="84"/>
    </row>
    <row r="315" spans="1:9">
      <c r="A315" s="139"/>
      <c r="B315" s="139"/>
      <c r="C315" s="138"/>
      <c r="D315" s="140"/>
      <c r="E315" s="84"/>
      <c r="F315" s="84"/>
      <c r="G315" s="84"/>
      <c r="H315" s="139"/>
      <c r="I315" s="84"/>
    </row>
    <row r="316" spans="1:9">
      <c r="A316" s="139"/>
      <c r="B316" s="139"/>
      <c r="C316" s="138"/>
      <c r="D316" s="140"/>
      <c r="E316" s="84"/>
      <c r="F316" s="84"/>
      <c r="G316" s="84"/>
      <c r="H316" s="139"/>
      <c r="I316" s="84"/>
    </row>
    <row r="317" spans="1:9">
      <c r="A317" s="139"/>
      <c r="B317" s="139"/>
      <c r="C317" s="138"/>
      <c r="D317" s="140"/>
      <c r="E317" s="84"/>
      <c r="F317" s="84"/>
      <c r="G317" s="84"/>
      <c r="H317" s="139"/>
      <c r="I317" s="84"/>
    </row>
    <row r="318" spans="1:9">
      <c r="A318" s="139"/>
      <c r="B318" s="139"/>
      <c r="C318" s="138"/>
      <c r="D318" s="140"/>
      <c r="E318" s="84"/>
      <c r="F318" s="84"/>
      <c r="G318" s="84"/>
      <c r="H318" s="139"/>
      <c r="I318" s="84"/>
    </row>
    <row r="319" spans="1:9">
      <c r="A319" s="139"/>
      <c r="B319" s="139"/>
      <c r="C319" s="138"/>
      <c r="D319" s="140"/>
      <c r="E319" s="84"/>
      <c r="F319" s="84"/>
      <c r="G319" s="84"/>
      <c r="H319" s="139"/>
      <c r="I319" s="84"/>
    </row>
    <row r="320" spans="1:9">
      <c r="A320" s="139"/>
      <c r="B320" s="139"/>
      <c r="C320" s="138"/>
      <c r="D320" s="140"/>
      <c r="E320" s="84"/>
      <c r="F320" s="84"/>
      <c r="G320" s="84"/>
      <c r="H320" s="139"/>
      <c r="I320" s="84"/>
    </row>
    <row r="321" spans="1:9">
      <c r="A321" s="139"/>
      <c r="B321" s="139"/>
      <c r="C321" s="138"/>
      <c r="D321" s="140"/>
      <c r="E321" s="84"/>
      <c r="F321" s="84"/>
      <c r="G321" s="84"/>
      <c r="H321" s="139"/>
      <c r="I321" s="84"/>
    </row>
    <row r="322" spans="1:9">
      <c r="A322" s="139"/>
      <c r="B322" s="139"/>
      <c r="C322" s="138"/>
      <c r="D322" s="140"/>
      <c r="E322" s="84"/>
      <c r="F322" s="84"/>
      <c r="G322" s="84"/>
      <c r="H322" s="139"/>
      <c r="I322" s="84"/>
    </row>
    <row r="323" spans="1:9">
      <c r="A323" s="139"/>
      <c r="B323" s="139"/>
      <c r="C323" s="138"/>
      <c r="D323" s="140"/>
      <c r="E323" s="84"/>
      <c r="F323" s="84"/>
      <c r="G323" s="84"/>
      <c r="H323" s="139"/>
      <c r="I323" s="84"/>
    </row>
    <row r="324" spans="1:9">
      <c r="A324" s="139"/>
      <c r="B324" s="139"/>
      <c r="C324" s="138"/>
      <c r="D324" s="140"/>
      <c r="E324" s="84"/>
      <c r="F324" s="84"/>
      <c r="G324" s="84"/>
      <c r="H324" s="139"/>
      <c r="I324" s="84"/>
    </row>
    <row r="325" spans="1:9">
      <c r="A325" s="139"/>
      <c r="B325" s="139"/>
      <c r="C325" s="138"/>
      <c r="D325" s="140"/>
      <c r="E325" s="84"/>
      <c r="F325" s="84"/>
      <c r="G325" s="84"/>
      <c r="H325" s="139"/>
      <c r="I325" s="84"/>
    </row>
    <row r="326" spans="1:9">
      <c r="A326" s="139"/>
      <c r="B326" s="139"/>
      <c r="C326" s="138"/>
      <c r="D326" s="140"/>
      <c r="E326" s="84"/>
      <c r="F326" s="84"/>
      <c r="G326" s="84"/>
      <c r="H326" s="139"/>
      <c r="I326" s="84"/>
    </row>
    <row r="327" spans="1:9">
      <c r="A327" s="139"/>
      <c r="B327" s="139"/>
      <c r="C327" s="138"/>
      <c r="D327" s="140"/>
      <c r="E327" s="84"/>
      <c r="F327" s="84"/>
      <c r="G327" s="84"/>
      <c r="H327" s="139"/>
      <c r="I327" s="84"/>
    </row>
    <row r="328" spans="1:9">
      <c r="A328" s="139"/>
      <c r="B328" s="139"/>
      <c r="C328" s="138"/>
      <c r="D328" s="140"/>
      <c r="E328" s="84"/>
      <c r="F328" s="84"/>
      <c r="G328" s="84"/>
      <c r="H328" s="139"/>
      <c r="I328" s="84"/>
    </row>
    <row r="329" spans="1:9">
      <c r="A329" s="139"/>
      <c r="B329" s="139"/>
      <c r="C329" s="138"/>
      <c r="D329" s="140"/>
      <c r="E329" s="84"/>
      <c r="F329" s="84"/>
      <c r="G329" s="84"/>
      <c r="H329" s="139"/>
      <c r="I329" s="84"/>
    </row>
    <row r="330" spans="1:9">
      <c r="A330" s="139"/>
      <c r="B330" s="139"/>
      <c r="C330" s="138"/>
      <c r="D330" s="140"/>
      <c r="E330" s="84"/>
      <c r="F330" s="84"/>
      <c r="G330" s="84"/>
      <c r="H330" s="139"/>
      <c r="I330" s="84"/>
    </row>
    <row r="331" spans="1:9">
      <c r="A331" s="139"/>
      <c r="B331" s="139"/>
      <c r="C331" s="138"/>
      <c r="D331" s="140"/>
      <c r="E331" s="84"/>
      <c r="F331" s="84"/>
      <c r="G331" s="84"/>
      <c r="H331" s="139"/>
      <c r="I331" s="84"/>
    </row>
    <row r="332" spans="1:9">
      <c r="A332" s="139"/>
      <c r="B332" s="139"/>
      <c r="C332" s="138"/>
      <c r="D332" s="140"/>
      <c r="E332" s="84"/>
      <c r="F332" s="84"/>
      <c r="G332" s="84"/>
      <c r="H332" s="139"/>
      <c r="I332" s="84"/>
    </row>
    <row r="333" spans="1:9">
      <c r="A333" s="139"/>
      <c r="B333" s="139"/>
      <c r="C333" s="138"/>
      <c r="D333" s="140"/>
      <c r="E333" s="84"/>
      <c r="F333" s="84"/>
      <c r="G333" s="84"/>
      <c r="H333" s="139"/>
      <c r="I333" s="84"/>
    </row>
    <row r="334" spans="1:9">
      <c r="A334" s="139"/>
      <c r="B334" s="139"/>
      <c r="C334" s="138"/>
      <c r="D334" s="140"/>
      <c r="E334" s="84"/>
      <c r="F334" s="84"/>
      <c r="G334" s="84"/>
      <c r="H334" s="139"/>
      <c r="I334" s="84"/>
    </row>
    <row r="335" spans="1:9">
      <c r="A335" s="139"/>
      <c r="B335" s="139"/>
      <c r="C335" s="138"/>
      <c r="D335" s="140"/>
      <c r="E335" s="84"/>
      <c r="F335" s="84"/>
      <c r="G335" s="84"/>
      <c r="H335" s="139"/>
      <c r="I335" s="84"/>
    </row>
    <row r="336" spans="1:9">
      <c r="A336" s="139"/>
      <c r="B336" s="139"/>
      <c r="C336" s="138"/>
      <c r="D336" s="140"/>
      <c r="E336" s="84"/>
      <c r="F336" s="84"/>
      <c r="G336" s="84"/>
      <c r="H336" s="139"/>
      <c r="I336" s="84"/>
    </row>
    <row r="337" spans="1:9">
      <c r="A337" s="139"/>
      <c r="B337" s="139"/>
      <c r="C337" s="138"/>
      <c r="D337" s="140"/>
      <c r="E337" s="84"/>
      <c r="F337" s="84"/>
      <c r="G337" s="84"/>
      <c r="H337" s="139"/>
      <c r="I337" s="84"/>
    </row>
    <row r="338" spans="1:9">
      <c r="A338" s="139"/>
      <c r="B338" s="139"/>
      <c r="C338" s="138"/>
      <c r="D338" s="140"/>
      <c r="E338" s="84"/>
      <c r="F338" s="84"/>
      <c r="G338" s="84"/>
      <c r="H338" s="139"/>
      <c r="I338" s="84"/>
    </row>
    <row r="339" spans="1:9">
      <c r="A339" s="139"/>
      <c r="B339" s="139"/>
      <c r="C339" s="138"/>
      <c r="D339" s="140"/>
      <c r="E339" s="84"/>
      <c r="F339" s="84"/>
      <c r="G339" s="84"/>
      <c r="H339" s="139"/>
      <c r="I339" s="84"/>
    </row>
    <row r="340" spans="1:9">
      <c r="A340" s="139"/>
      <c r="B340" s="139"/>
      <c r="C340" s="138"/>
      <c r="D340" s="140"/>
      <c r="E340" s="84"/>
      <c r="F340" s="84"/>
      <c r="G340" s="84"/>
      <c r="H340" s="139"/>
      <c r="I340" s="84"/>
    </row>
    <row r="341" spans="1:9">
      <c r="A341" s="139"/>
      <c r="B341" s="139"/>
      <c r="C341" s="138"/>
      <c r="D341" s="140"/>
      <c r="E341" s="84"/>
      <c r="F341" s="84"/>
      <c r="G341" s="84"/>
      <c r="H341" s="139"/>
      <c r="I341" s="84"/>
    </row>
    <row r="342" spans="1:9">
      <c r="A342" s="139"/>
      <c r="B342" s="139"/>
      <c r="C342" s="138"/>
      <c r="D342" s="140"/>
      <c r="E342" s="84"/>
      <c r="F342" s="84"/>
      <c r="G342" s="84"/>
      <c r="H342" s="139"/>
      <c r="I342" s="84"/>
    </row>
    <row r="343" spans="1:9">
      <c r="A343" s="139"/>
      <c r="B343" s="139"/>
      <c r="C343" s="138"/>
      <c r="D343" s="140"/>
      <c r="E343" s="84"/>
      <c r="F343" s="84"/>
      <c r="G343" s="84"/>
      <c r="H343" s="139"/>
      <c r="I343" s="84"/>
    </row>
    <row r="344" spans="1:9">
      <c r="A344" s="139"/>
      <c r="B344" s="139"/>
      <c r="C344" s="138"/>
      <c r="D344" s="140"/>
      <c r="E344" s="84"/>
      <c r="F344" s="84"/>
      <c r="G344" s="84"/>
      <c r="H344" s="139"/>
      <c r="I344" s="84"/>
    </row>
    <row r="345" spans="1:9">
      <c r="A345" s="139"/>
      <c r="B345" s="139"/>
      <c r="C345" s="138"/>
      <c r="D345" s="140"/>
      <c r="E345" s="84"/>
      <c r="F345" s="84"/>
      <c r="G345" s="84"/>
      <c r="H345" s="139"/>
      <c r="I345" s="84"/>
    </row>
    <row r="346" spans="1:9">
      <c r="A346" s="139"/>
      <c r="B346" s="139"/>
      <c r="C346" s="138"/>
      <c r="D346" s="140"/>
      <c r="E346" s="84"/>
      <c r="F346" s="84"/>
      <c r="G346" s="84"/>
      <c r="H346" s="139"/>
      <c r="I346" s="84"/>
    </row>
    <row r="347" spans="1:9">
      <c r="A347" s="139"/>
      <c r="B347" s="139"/>
      <c r="C347" s="138"/>
      <c r="D347" s="140"/>
      <c r="E347" s="84"/>
      <c r="F347" s="84"/>
      <c r="G347" s="84"/>
      <c r="H347" s="139"/>
      <c r="I347" s="84"/>
    </row>
    <row r="348" spans="1:9">
      <c r="A348" s="139"/>
      <c r="B348" s="139"/>
      <c r="C348" s="138"/>
      <c r="D348" s="140"/>
      <c r="E348" s="84"/>
      <c r="F348" s="84"/>
      <c r="G348" s="84"/>
      <c r="H348" s="139"/>
      <c r="I348" s="84"/>
    </row>
    <row r="349" spans="1:9">
      <c r="A349" s="139"/>
      <c r="B349" s="139"/>
      <c r="C349" s="138"/>
      <c r="D349" s="140"/>
      <c r="E349" s="84"/>
      <c r="F349" s="84"/>
      <c r="G349" s="84"/>
      <c r="H349" s="139"/>
      <c r="I349" s="84"/>
    </row>
    <row r="350" spans="1:9">
      <c r="A350" s="139"/>
      <c r="B350" s="139"/>
      <c r="C350" s="138"/>
      <c r="D350" s="140"/>
      <c r="E350" s="84"/>
      <c r="F350" s="84"/>
      <c r="G350" s="84"/>
      <c r="H350" s="139"/>
      <c r="I350" s="84"/>
    </row>
    <row r="351" spans="1:9">
      <c r="A351" s="139"/>
      <c r="B351" s="139"/>
      <c r="C351" s="138"/>
      <c r="D351" s="140"/>
      <c r="E351" s="84"/>
      <c r="F351" s="84"/>
      <c r="G351" s="84"/>
      <c r="H351" s="139"/>
      <c r="I351" s="84"/>
    </row>
    <row r="352" spans="1:9">
      <c r="A352" s="139"/>
      <c r="B352" s="139"/>
      <c r="C352" s="138"/>
      <c r="D352" s="140"/>
      <c r="E352" s="84"/>
      <c r="F352" s="84"/>
      <c r="G352" s="84"/>
      <c r="H352" s="139"/>
      <c r="I352" s="84"/>
    </row>
    <row r="353" spans="1:9">
      <c r="A353" s="139"/>
      <c r="B353" s="139"/>
      <c r="C353" s="138"/>
      <c r="D353" s="140"/>
      <c r="E353" s="84"/>
      <c r="F353" s="84"/>
      <c r="G353" s="84"/>
      <c r="H353" s="139"/>
      <c r="I353" s="84"/>
    </row>
    <row r="354" spans="1:9">
      <c r="A354" s="139"/>
      <c r="B354" s="139"/>
      <c r="C354" s="138"/>
      <c r="D354" s="140"/>
      <c r="E354" s="84"/>
      <c r="F354" s="84"/>
      <c r="G354" s="84"/>
      <c r="H354" s="139"/>
      <c r="I354" s="84"/>
    </row>
    <row r="355" spans="1:9">
      <c r="A355" s="139"/>
      <c r="B355" s="139"/>
      <c r="C355" s="138"/>
      <c r="D355" s="140"/>
      <c r="E355" s="84"/>
      <c r="F355" s="84"/>
      <c r="G355" s="84"/>
      <c r="H355" s="139"/>
      <c r="I355" s="84"/>
    </row>
    <row r="356" spans="1:9">
      <c r="A356" s="139"/>
      <c r="B356" s="139"/>
      <c r="C356" s="138"/>
      <c r="D356" s="140"/>
      <c r="E356" s="84"/>
      <c r="F356" s="84"/>
      <c r="G356" s="84"/>
      <c r="H356" s="139"/>
      <c r="I356" s="84"/>
    </row>
    <row r="357" spans="1:9">
      <c r="A357" s="139"/>
      <c r="B357" s="139"/>
      <c r="C357" s="138"/>
      <c r="D357" s="140"/>
      <c r="E357" s="84"/>
      <c r="F357" s="84"/>
      <c r="G357" s="84"/>
      <c r="H357" s="139"/>
      <c r="I357" s="84"/>
    </row>
    <row r="358" spans="1:9">
      <c r="A358" s="139"/>
      <c r="B358" s="139"/>
      <c r="C358" s="138"/>
      <c r="D358" s="140"/>
      <c r="E358" s="84"/>
      <c r="F358" s="84"/>
      <c r="G358" s="84"/>
      <c r="H358" s="139"/>
      <c r="I358" s="84"/>
    </row>
    <row r="359" spans="1:9">
      <c r="A359" s="139"/>
      <c r="B359" s="139"/>
      <c r="C359" s="138"/>
      <c r="D359" s="140"/>
      <c r="E359" s="84"/>
      <c r="F359" s="84"/>
      <c r="G359" s="84"/>
      <c r="H359" s="139"/>
      <c r="I359" s="84"/>
    </row>
    <row r="360" spans="1:9">
      <c r="A360" s="139"/>
      <c r="B360" s="139"/>
      <c r="C360" s="138"/>
      <c r="D360" s="140"/>
      <c r="E360" s="84"/>
      <c r="F360" s="84"/>
      <c r="G360" s="84"/>
      <c r="H360" s="139"/>
      <c r="I360" s="84"/>
    </row>
    <row r="361" spans="1:9">
      <c r="A361" s="139"/>
      <c r="B361" s="139"/>
      <c r="C361" s="138"/>
      <c r="D361" s="140"/>
      <c r="E361" s="84"/>
      <c r="F361" s="84"/>
      <c r="G361" s="84"/>
      <c r="H361" s="139"/>
      <c r="I361" s="84"/>
    </row>
    <row r="362" spans="1:9">
      <c r="A362" s="139"/>
      <c r="B362" s="139"/>
      <c r="C362" s="138"/>
      <c r="D362" s="140"/>
      <c r="E362" s="84"/>
      <c r="F362" s="84"/>
      <c r="G362" s="84"/>
      <c r="H362" s="139"/>
      <c r="I362" s="84"/>
    </row>
    <row r="363" spans="1:9">
      <c r="A363" s="139"/>
      <c r="B363" s="139"/>
      <c r="C363" s="138"/>
      <c r="D363" s="140"/>
      <c r="E363" s="84"/>
      <c r="F363" s="84"/>
      <c r="G363" s="84"/>
      <c r="H363" s="139"/>
      <c r="I363" s="84"/>
    </row>
    <row r="364" spans="1:9">
      <c r="A364" s="139"/>
      <c r="B364" s="139"/>
      <c r="C364" s="138"/>
      <c r="D364" s="140"/>
      <c r="E364" s="84"/>
      <c r="F364" s="84"/>
      <c r="G364" s="84"/>
      <c r="H364" s="139"/>
      <c r="I364" s="84"/>
    </row>
    <row r="365" spans="1:9">
      <c r="A365" s="139"/>
      <c r="B365" s="139"/>
      <c r="C365" s="138"/>
      <c r="D365" s="140"/>
      <c r="E365" s="84"/>
      <c r="F365" s="84"/>
      <c r="G365" s="84"/>
      <c r="H365" s="139"/>
      <c r="I365" s="84"/>
    </row>
    <row r="366" spans="1:9">
      <c r="A366" s="139"/>
      <c r="B366" s="139"/>
      <c r="C366" s="138"/>
      <c r="D366" s="140"/>
      <c r="E366" s="84"/>
      <c r="F366" s="84"/>
      <c r="G366" s="84"/>
      <c r="H366" s="139"/>
      <c r="I366" s="84"/>
    </row>
    <row r="367" spans="1:9">
      <c r="A367" s="139"/>
      <c r="B367" s="139"/>
      <c r="C367" s="138"/>
      <c r="D367" s="140"/>
      <c r="E367" s="84"/>
      <c r="F367" s="84"/>
      <c r="G367" s="84"/>
      <c r="H367" s="139"/>
      <c r="I367" s="84"/>
    </row>
    <row r="368" spans="1:9">
      <c r="A368" s="139"/>
      <c r="B368" s="139"/>
      <c r="C368" s="138"/>
      <c r="D368" s="140"/>
      <c r="E368" s="84"/>
      <c r="F368" s="84"/>
      <c r="G368" s="84"/>
      <c r="H368" s="139"/>
      <c r="I368" s="84"/>
    </row>
    <row r="369" spans="1:9">
      <c r="A369" s="139"/>
      <c r="B369" s="139"/>
      <c r="C369" s="138"/>
      <c r="D369" s="140"/>
      <c r="E369" s="84"/>
      <c r="F369" s="84"/>
      <c r="G369" s="84"/>
      <c r="H369" s="139"/>
      <c r="I369" s="84"/>
    </row>
    <row r="370" spans="1:9">
      <c r="A370" s="139"/>
      <c r="B370" s="139"/>
      <c r="C370" s="138"/>
      <c r="D370" s="140"/>
      <c r="E370" s="84"/>
      <c r="F370" s="84"/>
      <c r="G370" s="84"/>
      <c r="H370" s="139"/>
      <c r="I370" s="84"/>
    </row>
    <row r="371" spans="1:9">
      <c r="A371" s="139"/>
      <c r="B371" s="139"/>
      <c r="C371" s="138"/>
      <c r="D371" s="140"/>
      <c r="E371" s="84"/>
      <c r="F371" s="84"/>
      <c r="G371" s="84"/>
      <c r="H371" s="139"/>
      <c r="I371" s="84"/>
    </row>
    <row r="372" spans="1:9">
      <c r="A372" s="139"/>
      <c r="B372" s="139"/>
      <c r="C372" s="138"/>
      <c r="D372" s="140"/>
      <c r="E372" s="84"/>
      <c r="F372" s="84"/>
      <c r="G372" s="84"/>
      <c r="H372" s="139"/>
      <c r="I372" s="84"/>
    </row>
    <row r="373" spans="1:9">
      <c r="A373" s="139"/>
      <c r="B373" s="139"/>
      <c r="C373" s="138"/>
      <c r="D373" s="140"/>
      <c r="E373" s="84"/>
      <c r="F373" s="84"/>
      <c r="G373" s="84"/>
      <c r="H373" s="139"/>
      <c r="I373" s="84"/>
    </row>
    <row r="374" spans="1:9">
      <c r="A374" s="139"/>
      <c r="B374" s="139"/>
      <c r="C374" s="138"/>
      <c r="D374" s="140"/>
      <c r="E374" s="84"/>
      <c r="F374" s="84"/>
      <c r="G374" s="84"/>
      <c r="H374" s="139"/>
      <c r="I374" s="84"/>
    </row>
    <row r="375" spans="1:9">
      <c r="A375" s="139"/>
      <c r="B375" s="139"/>
      <c r="C375" s="138"/>
      <c r="D375" s="140"/>
      <c r="E375" s="84"/>
      <c r="F375" s="84"/>
      <c r="G375" s="84"/>
      <c r="H375" s="139"/>
      <c r="I375" s="84"/>
    </row>
    <row r="376" spans="1:9">
      <c r="A376" s="139"/>
      <c r="B376" s="139"/>
      <c r="C376" s="138"/>
      <c r="D376" s="140"/>
      <c r="E376" s="84"/>
      <c r="F376" s="84"/>
      <c r="G376" s="84"/>
      <c r="H376" s="139"/>
      <c r="I376" s="84"/>
    </row>
    <row r="377" spans="1:9">
      <c r="A377" s="139"/>
      <c r="B377" s="139"/>
      <c r="C377" s="138"/>
      <c r="D377" s="140"/>
      <c r="E377" s="84"/>
      <c r="F377" s="84"/>
      <c r="G377" s="84"/>
      <c r="H377" s="139"/>
      <c r="I377" s="84"/>
    </row>
    <row r="378" spans="1:9">
      <c r="A378" s="139"/>
      <c r="B378" s="139"/>
      <c r="C378" s="138"/>
      <c r="D378" s="140"/>
      <c r="E378" s="84"/>
      <c r="F378" s="84"/>
      <c r="G378" s="84"/>
      <c r="H378" s="139"/>
      <c r="I378" s="84"/>
    </row>
    <row r="379" spans="1:9">
      <c r="A379" s="139"/>
      <c r="B379" s="139"/>
      <c r="C379" s="138"/>
      <c r="D379" s="140"/>
      <c r="E379" s="84"/>
      <c r="F379" s="84"/>
      <c r="G379" s="84"/>
      <c r="H379" s="139"/>
      <c r="I379" s="84"/>
    </row>
    <row r="380" spans="1:9">
      <c r="A380" s="139"/>
      <c r="B380" s="139"/>
      <c r="C380" s="138"/>
      <c r="D380" s="140"/>
      <c r="E380" s="84"/>
      <c r="F380" s="84"/>
      <c r="G380" s="84"/>
      <c r="H380" s="139"/>
      <c r="I380" s="84"/>
    </row>
    <row r="381" spans="1:9">
      <c r="A381" s="139"/>
      <c r="B381" s="139"/>
      <c r="C381" s="138"/>
      <c r="D381" s="140"/>
      <c r="E381" s="84"/>
      <c r="F381" s="84"/>
      <c r="G381" s="84"/>
      <c r="H381" s="139"/>
      <c r="I381" s="84"/>
    </row>
    <row r="382" spans="1:9">
      <c r="A382" s="139"/>
      <c r="B382" s="139"/>
      <c r="C382" s="138"/>
      <c r="D382" s="140"/>
      <c r="E382" s="84"/>
      <c r="F382" s="84"/>
      <c r="G382" s="84"/>
      <c r="H382" s="139"/>
      <c r="I382" s="84"/>
    </row>
    <row r="383" spans="1:9">
      <c r="A383" s="139"/>
      <c r="B383" s="139"/>
      <c r="C383" s="138"/>
      <c r="D383" s="140"/>
      <c r="E383" s="84"/>
      <c r="F383" s="84"/>
      <c r="G383" s="84"/>
      <c r="H383" s="139"/>
      <c r="I383" s="84"/>
    </row>
    <row r="384" spans="1:9">
      <c r="A384" s="139"/>
      <c r="B384" s="139"/>
      <c r="C384" s="138"/>
      <c r="D384" s="140"/>
      <c r="E384" s="84"/>
      <c r="F384" s="84"/>
      <c r="G384" s="84"/>
      <c r="H384" s="139"/>
      <c r="I384" s="84"/>
    </row>
    <row r="385" spans="1:9">
      <c r="A385" s="139"/>
      <c r="B385" s="139"/>
      <c r="C385" s="138"/>
      <c r="D385" s="140"/>
      <c r="E385" s="84"/>
      <c r="F385" s="84"/>
      <c r="G385" s="84"/>
      <c r="H385" s="139"/>
      <c r="I385" s="84"/>
    </row>
    <row r="386" spans="1:9">
      <c r="A386" s="139"/>
      <c r="B386" s="139"/>
      <c r="C386" s="138"/>
      <c r="D386" s="140"/>
      <c r="E386" s="84"/>
      <c r="F386" s="84"/>
      <c r="G386" s="84"/>
      <c r="H386" s="139"/>
      <c r="I386" s="84"/>
    </row>
    <row r="387" spans="1:9">
      <c r="A387" s="139"/>
      <c r="B387" s="139"/>
      <c r="C387" s="138"/>
      <c r="D387" s="140"/>
      <c r="E387" s="84"/>
      <c r="F387" s="84"/>
      <c r="G387" s="84"/>
      <c r="H387" s="139"/>
      <c r="I387" s="84"/>
    </row>
    <row r="388" spans="1:9">
      <c r="A388" s="139"/>
      <c r="B388" s="139"/>
      <c r="C388" s="138"/>
      <c r="D388" s="140"/>
      <c r="E388" s="84"/>
      <c r="F388" s="84"/>
      <c r="G388" s="84"/>
      <c r="H388" s="139"/>
      <c r="I388" s="84"/>
    </row>
    <row r="389" spans="1:9">
      <c r="A389" s="139"/>
      <c r="B389" s="139"/>
      <c r="C389" s="138"/>
      <c r="D389" s="140"/>
      <c r="E389" s="84"/>
      <c r="F389" s="84"/>
      <c r="G389" s="84"/>
      <c r="H389" s="139"/>
      <c r="I389" s="84"/>
    </row>
    <row r="390" spans="1:9">
      <c r="A390" s="139"/>
      <c r="B390" s="139"/>
      <c r="C390" s="138"/>
      <c r="D390" s="140"/>
      <c r="E390" s="84"/>
      <c r="F390" s="84"/>
      <c r="G390" s="84"/>
      <c r="H390" s="139"/>
      <c r="I390" s="84"/>
    </row>
    <row r="391" spans="1:9">
      <c r="A391" s="139"/>
      <c r="B391" s="139"/>
      <c r="C391" s="138"/>
      <c r="D391" s="140"/>
      <c r="E391" s="84"/>
      <c r="F391" s="84"/>
      <c r="G391" s="84"/>
      <c r="H391" s="139"/>
      <c r="I391" s="84"/>
    </row>
    <row r="392" spans="1:9">
      <c r="A392" s="139"/>
      <c r="B392" s="139"/>
      <c r="C392" s="138"/>
      <c r="D392" s="140"/>
      <c r="E392" s="84"/>
      <c r="F392" s="84"/>
      <c r="G392" s="84"/>
      <c r="H392" s="139"/>
      <c r="I392" s="84"/>
    </row>
    <row r="393" spans="1:9">
      <c r="A393" s="139"/>
      <c r="B393" s="139"/>
      <c r="C393" s="138"/>
      <c r="D393" s="140"/>
      <c r="E393" s="84"/>
      <c r="F393" s="84"/>
      <c r="G393" s="84"/>
      <c r="H393" s="139"/>
      <c r="I393" s="84"/>
    </row>
    <row r="394" spans="1:9">
      <c r="A394" s="139"/>
      <c r="B394" s="139"/>
      <c r="C394" s="138"/>
      <c r="D394" s="140"/>
      <c r="E394" s="84"/>
      <c r="F394" s="84"/>
      <c r="G394" s="84"/>
      <c r="H394" s="139"/>
      <c r="I394" s="84"/>
    </row>
    <row r="395" spans="1:9">
      <c r="A395" s="139"/>
      <c r="B395" s="139"/>
      <c r="C395" s="138"/>
      <c r="D395" s="140"/>
      <c r="E395" s="84"/>
      <c r="F395" s="84"/>
      <c r="G395" s="84"/>
      <c r="H395" s="139"/>
      <c r="I395" s="84"/>
    </row>
    <row r="396" spans="1:9">
      <c r="A396" s="139"/>
      <c r="B396" s="139"/>
      <c r="C396" s="138"/>
      <c r="D396" s="140"/>
      <c r="E396" s="84"/>
      <c r="F396" s="84"/>
      <c r="G396" s="84"/>
      <c r="H396" s="139"/>
      <c r="I396" s="84"/>
    </row>
    <row r="397" spans="1:9">
      <c r="A397" s="139"/>
      <c r="B397" s="139"/>
      <c r="C397" s="138"/>
      <c r="D397" s="140"/>
      <c r="E397" s="84"/>
      <c r="F397" s="84"/>
      <c r="G397" s="84"/>
      <c r="H397" s="139"/>
      <c r="I397" s="84"/>
    </row>
    <row r="398" spans="1:9">
      <c r="A398" s="139"/>
      <c r="B398" s="139"/>
      <c r="C398" s="138"/>
      <c r="D398" s="140"/>
      <c r="E398" s="84"/>
      <c r="F398" s="84"/>
      <c r="G398" s="84"/>
      <c r="H398" s="139"/>
      <c r="I398" s="84"/>
    </row>
    <row r="399" spans="1:9">
      <c r="A399" s="139"/>
      <c r="B399" s="139"/>
      <c r="C399" s="138"/>
      <c r="D399" s="140"/>
      <c r="E399" s="84"/>
      <c r="F399" s="84"/>
      <c r="G399" s="84"/>
      <c r="H399" s="139"/>
      <c r="I399" s="84"/>
    </row>
    <row r="400" spans="1:9">
      <c r="A400" s="139"/>
      <c r="B400" s="139"/>
      <c r="C400" s="138"/>
      <c r="D400" s="140"/>
      <c r="E400" s="84"/>
      <c r="F400" s="84"/>
      <c r="G400" s="84"/>
      <c r="H400" s="139"/>
      <c r="I400" s="84"/>
    </row>
    <row r="401" spans="1:9">
      <c r="A401" s="139"/>
      <c r="B401" s="139"/>
      <c r="C401" s="138"/>
      <c r="D401" s="140"/>
      <c r="E401" s="84"/>
      <c r="F401" s="84"/>
      <c r="G401" s="84"/>
      <c r="H401" s="139"/>
      <c r="I401" s="84"/>
    </row>
    <row r="402" spans="1:9">
      <c r="A402" s="139"/>
      <c r="B402" s="139"/>
      <c r="C402" s="138"/>
      <c r="D402" s="140"/>
      <c r="E402" s="84"/>
      <c r="F402" s="84"/>
      <c r="G402" s="84"/>
      <c r="H402" s="139"/>
      <c r="I402" s="84"/>
    </row>
    <row r="403" spans="1:9">
      <c r="A403" s="139"/>
      <c r="B403" s="139"/>
      <c r="C403" s="138"/>
      <c r="D403" s="140"/>
      <c r="E403" s="84"/>
      <c r="F403" s="84"/>
      <c r="G403" s="84"/>
      <c r="H403" s="139"/>
      <c r="I403" s="84"/>
    </row>
    <row r="404" spans="1:9">
      <c r="A404" s="139"/>
      <c r="B404" s="139"/>
      <c r="C404" s="138"/>
      <c r="D404" s="140"/>
      <c r="E404" s="84"/>
      <c r="F404" s="84"/>
      <c r="G404" s="84"/>
      <c r="H404" s="139"/>
      <c r="I404" s="84"/>
    </row>
    <row r="405" spans="1:9">
      <c r="A405" s="139"/>
      <c r="B405" s="139"/>
      <c r="C405" s="138"/>
      <c r="D405" s="140"/>
      <c r="E405" s="84"/>
      <c r="F405" s="84"/>
      <c r="G405" s="84"/>
      <c r="H405" s="139"/>
      <c r="I405" s="84"/>
    </row>
    <row r="406" spans="1:9">
      <c r="A406" s="139"/>
      <c r="B406" s="139"/>
      <c r="C406" s="138"/>
      <c r="D406" s="140"/>
      <c r="E406" s="84"/>
      <c r="F406" s="84"/>
      <c r="G406" s="84"/>
      <c r="H406" s="139"/>
      <c r="I406" s="84"/>
    </row>
    <row r="407" spans="1:9">
      <c r="A407" s="139"/>
      <c r="B407" s="139"/>
      <c r="C407" s="138"/>
      <c r="D407" s="140"/>
      <c r="E407" s="84"/>
      <c r="F407" s="84"/>
      <c r="G407" s="84"/>
      <c r="H407" s="139"/>
      <c r="I407" s="84"/>
    </row>
    <row r="408" spans="1:9">
      <c r="A408" s="139"/>
      <c r="B408" s="139"/>
      <c r="C408" s="138"/>
      <c r="D408" s="140"/>
      <c r="E408" s="84"/>
      <c r="F408" s="84"/>
      <c r="G408" s="84"/>
      <c r="H408" s="139"/>
      <c r="I408" s="84"/>
    </row>
    <row r="409" spans="1:9">
      <c r="A409" s="139"/>
      <c r="B409" s="139"/>
      <c r="C409" s="138"/>
      <c r="D409" s="140"/>
      <c r="E409" s="84"/>
      <c r="F409" s="84"/>
      <c r="G409" s="84"/>
      <c r="H409" s="139"/>
      <c r="I409" s="84"/>
    </row>
    <row r="410" spans="1:9">
      <c r="A410" s="139"/>
      <c r="B410" s="139"/>
      <c r="C410" s="138"/>
      <c r="D410" s="140"/>
      <c r="E410" s="84"/>
      <c r="F410" s="84"/>
      <c r="G410" s="84"/>
      <c r="H410" s="139"/>
      <c r="I410" s="84"/>
    </row>
    <row r="411" spans="1:9">
      <c r="A411" s="139"/>
      <c r="B411" s="139"/>
      <c r="C411" s="138"/>
      <c r="D411" s="140"/>
      <c r="E411" s="84"/>
      <c r="F411" s="84"/>
      <c r="G411" s="84"/>
      <c r="H411" s="139"/>
      <c r="I411" s="84"/>
    </row>
    <row r="412" spans="1:9">
      <c r="A412" s="139"/>
      <c r="B412" s="139"/>
      <c r="C412" s="138"/>
      <c r="D412" s="140"/>
      <c r="E412" s="84"/>
      <c r="F412" s="84"/>
      <c r="G412" s="84"/>
      <c r="H412" s="139"/>
      <c r="I412" s="84"/>
    </row>
    <row r="413" spans="1:9">
      <c r="A413" s="139"/>
      <c r="B413" s="139"/>
      <c r="C413" s="138"/>
      <c r="D413" s="140"/>
      <c r="E413" s="84"/>
      <c r="F413" s="84"/>
      <c r="G413" s="84"/>
      <c r="H413" s="139"/>
      <c r="I413" s="84"/>
    </row>
    <row r="414" spans="1:9">
      <c r="A414" s="139"/>
      <c r="B414" s="139"/>
      <c r="C414" s="138"/>
      <c r="D414" s="140"/>
      <c r="E414" s="84"/>
      <c r="F414" s="84"/>
      <c r="G414" s="84"/>
      <c r="H414" s="139"/>
      <c r="I414" s="84"/>
    </row>
    <row r="415" spans="1:9">
      <c r="A415" s="139"/>
      <c r="B415" s="139"/>
      <c r="C415" s="138"/>
      <c r="D415" s="140"/>
      <c r="E415" s="84"/>
      <c r="F415" s="84"/>
      <c r="G415" s="84"/>
      <c r="H415" s="139"/>
      <c r="I415" s="84"/>
    </row>
    <row r="416" spans="1:9">
      <c r="A416" s="139"/>
      <c r="B416" s="139"/>
      <c r="C416" s="138"/>
      <c r="D416" s="140"/>
      <c r="E416" s="84"/>
      <c r="F416" s="84"/>
      <c r="G416" s="84"/>
      <c r="H416" s="139"/>
      <c r="I416" s="84"/>
    </row>
    <row r="417" spans="1:9">
      <c r="A417" s="139"/>
      <c r="B417" s="139"/>
      <c r="C417" s="138"/>
      <c r="D417" s="140"/>
      <c r="E417" s="84"/>
      <c r="F417" s="84"/>
      <c r="G417" s="84"/>
      <c r="H417" s="139"/>
      <c r="I417" s="84"/>
    </row>
    <row r="418" spans="1:9">
      <c r="A418" s="139"/>
      <c r="B418" s="139"/>
      <c r="C418" s="138"/>
      <c r="D418" s="140"/>
      <c r="E418" s="84"/>
      <c r="F418" s="84"/>
      <c r="G418" s="84"/>
      <c r="H418" s="139"/>
      <c r="I418" s="84"/>
    </row>
    <row r="419" spans="1:9">
      <c r="A419" s="139"/>
      <c r="B419" s="139"/>
      <c r="C419" s="138"/>
      <c r="D419" s="140"/>
      <c r="E419" s="84"/>
      <c r="F419" s="84"/>
      <c r="G419" s="84"/>
      <c r="H419" s="139"/>
      <c r="I419" s="84"/>
    </row>
    <row r="420" spans="1:9">
      <c r="A420" s="139"/>
      <c r="B420" s="139"/>
      <c r="C420" s="138"/>
      <c r="D420" s="140"/>
      <c r="E420" s="84"/>
      <c r="F420" s="84"/>
      <c r="G420" s="84"/>
      <c r="H420" s="139"/>
      <c r="I420" s="84"/>
    </row>
    <row r="421" spans="1:9">
      <c r="A421" s="139"/>
      <c r="B421" s="139"/>
      <c r="C421" s="138"/>
      <c r="D421" s="140"/>
      <c r="E421" s="84"/>
      <c r="F421" s="84"/>
      <c r="G421" s="84"/>
      <c r="H421" s="139"/>
      <c r="I421" s="84"/>
    </row>
    <row r="422" spans="1:9">
      <c r="A422" s="139"/>
      <c r="B422" s="139"/>
      <c r="C422" s="138"/>
      <c r="D422" s="140"/>
      <c r="E422" s="84"/>
      <c r="F422" s="84"/>
      <c r="G422" s="84"/>
      <c r="H422" s="139"/>
      <c r="I422" s="84"/>
    </row>
    <row r="423" spans="1:9">
      <c r="A423" s="139"/>
      <c r="B423" s="139"/>
      <c r="C423" s="138"/>
      <c r="D423" s="140"/>
      <c r="E423" s="84"/>
      <c r="F423" s="84"/>
      <c r="G423" s="84"/>
      <c r="H423" s="139"/>
      <c r="I423" s="84"/>
    </row>
    <row r="424" spans="1:9">
      <c r="A424" s="139"/>
      <c r="B424" s="139"/>
      <c r="C424" s="138"/>
      <c r="D424" s="140"/>
      <c r="E424" s="84"/>
      <c r="F424" s="84"/>
      <c r="G424" s="84"/>
      <c r="H424" s="139"/>
      <c r="I424" s="84"/>
    </row>
    <row r="425" spans="1:9">
      <c r="A425" s="139"/>
      <c r="B425" s="139"/>
      <c r="C425" s="138"/>
      <c r="D425" s="140"/>
      <c r="E425" s="84"/>
      <c r="F425" s="84"/>
      <c r="G425" s="84"/>
      <c r="H425" s="139"/>
      <c r="I425" s="84"/>
    </row>
    <row r="426" spans="1:9">
      <c r="A426" s="139"/>
      <c r="B426" s="139"/>
      <c r="C426" s="138"/>
      <c r="D426" s="140"/>
      <c r="E426" s="84"/>
      <c r="F426" s="84"/>
      <c r="G426" s="84"/>
      <c r="H426" s="139"/>
      <c r="I426" s="84"/>
    </row>
    <row r="427" spans="1:9">
      <c r="A427" s="139"/>
      <c r="B427" s="139"/>
      <c r="C427" s="138"/>
      <c r="D427" s="140"/>
      <c r="E427" s="84"/>
      <c r="F427" s="84"/>
      <c r="G427" s="84"/>
      <c r="H427" s="139"/>
      <c r="I427" s="84"/>
    </row>
    <row r="428" spans="1:9">
      <c r="A428" s="139"/>
      <c r="B428" s="139"/>
      <c r="C428" s="138"/>
      <c r="D428" s="140"/>
      <c r="E428" s="84"/>
      <c r="F428" s="84"/>
      <c r="G428" s="84"/>
      <c r="H428" s="139"/>
      <c r="I428" s="84"/>
    </row>
    <row r="429" spans="1:9">
      <c r="A429" s="139"/>
      <c r="B429" s="139"/>
      <c r="C429" s="138"/>
      <c r="D429" s="140"/>
      <c r="E429" s="84"/>
      <c r="F429" s="84"/>
      <c r="G429" s="84"/>
      <c r="H429" s="139"/>
      <c r="I429" s="84"/>
    </row>
    <row r="430" spans="1:9">
      <c r="A430" s="139"/>
      <c r="B430" s="139"/>
      <c r="C430" s="138"/>
      <c r="D430" s="140"/>
      <c r="E430" s="84"/>
      <c r="F430" s="84"/>
      <c r="G430" s="84"/>
      <c r="H430" s="139"/>
      <c r="I430" s="84"/>
    </row>
    <row r="431" spans="1:9">
      <c r="A431" s="139"/>
      <c r="B431" s="139"/>
      <c r="C431" s="138"/>
      <c r="D431" s="140"/>
      <c r="E431" s="84"/>
      <c r="F431" s="84"/>
      <c r="G431" s="84"/>
      <c r="H431" s="139"/>
      <c r="I431" s="84"/>
    </row>
    <row r="432" spans="1:9">
      <c r="A432" s="139"/>
      <c r="B432" s="139"/>
      <c r="C432" s="138"/>
      <c r="D432" s="140"/>
      <c r="E432" s="84"/>
      <c r="F432" s="84"/>
      <c r="G432" s="84"/>
      <c r="H432" s="139"/>
      <c r="I432" s="84"/>
    </row>
    <row r="433" spans="1:9">
      <c r="A433" s="139"/>
      <c r="B433" s="139"/>
      <c r="C433" s="138"/>
      <c r="D433" s="140"/>
      <c r="E433" s="84"/>
      <c r="F433" s="84"/>
      <c r="G433" s="84"/>
      <c r="H433" s="139"/>
      <c r="I433" s="84"/>
    </row>
    <row r="434" spans="1:9">
      <c r="A434" s="139"/>
      <c r="B434" s="139"/>
      <c r="C434" s="138"/>
      <c r="D434" s="140"/>
      <c r="E434" s="84"/>
      <c r="F434" s="84"/>
      <c r="G434" s="84"/>
      <c r="H434" s="139"/>
      <c r="I434" s="84"/>
    </row>
    <row r="435" spans="1:9">
      <c r="A435" s="139"/>
      <c r="B435" s="139"/>
      <c r="C435" s="138"/>
      <c r="D435" s="140"/>
      <c r="E435" s="84"/>
      <c r="F435" s="84"/>
      <c r="G435" s="84"/>
      <c r="H435" s="139"/>
      <c r="I435" s="84"/>
    </row>
    <row r="436" spans="1:9">
      <c r="A436" s="139"/>
      <c r="B436" s="139"/>
      <c r="C436" s="138"/>
      <c r="D436" s="140"/>
      <c r="E436" s="84"/>
      <c r="F436" s="84"/>
      <c r="G436" s="84"/>
      <c r="H436" s="139"/>
      <c r="I436" s="84"/>
    </row>
    <row r="437" spans="1:9">
      <c r="A437" s="139"/>
      <c r="B437" s="139"/>
      <c r="C437" s="138"/>
      <c r="D437" s="140"/>
      <c r="E437" s="84"/>
      <c r="F437" s="84"/>
      <c r="G437" s="84"/>
      <c r="H437" s="139"/>
      <c r="I437" s="84"/>
    </row>
    <row r="438" spans="1:9">
      <c r="A438" s="139"/>
      <c r="B438" s="139"/>
      <c r="C438" s="138"/>
      <c r="D438" s="140"/>
      <c r="E438" s="84"/>
      <c r="F438" s="84"/>
      <c r="G438" s="84"/>
      <c r="H438" s="139"/>
      <c r="I438" s="84"/>
    </row>
    <row r="439" spans="1:9">
      <c r="A439" s="139"/>
      <c r="B439" s="139"/>
      <c r="C439" s="138"/>
      <c r="D439" s="140"/>
      <c r="E439" s="84"/>
      <c r="F439" s="84"/>
      <c r="G439" s="84"/>
      <c r="H439" s="139"/>
      <c r="I439" s="84"/>
    </row>
    <row r="440" spans="1:9">
      <c r="A440" s="139"/>
      <c r="B440" s="139"/>
      <c r="C440" s="138"/>
      <c r="D440" s="140"/>
      <c r="E440" s="84"/>
      <c r="F440" s="84"/>
      <c r="G440" s="84"/>
      <c r="H440" s="139"/>
      <c r="I440" s="84"/>
    </row>
    <row r="441" spans="1:9">
      <c r="A441" s="139"/>
      <c r="B441" s="139"/>
      <c r="C441" s="138"/>
      <c r="D441" s="140"/>
      <c r="E441" s="84"/>
      <c r="F441" s="84"/>
      <c r="G441" s="84"/>
      <c r="H441" s="139"/>
      <c r="I441" s="84"/>
    </row>
    <row r="442" spans="1:9">
      <c r="A442" s="139"/>
      <c r="B442" s="139"/>
      <c r="C442" s="138"/>
      <c r="D442" s="140"/>
      <c r="E442" s="84"/>
      <c r="F442" s="84"/>
      <c r="G442" s="84"/>
      <c r="H442" s="139"/>
      <c r="I442" s="84"/>
    </row>
    <row r="443" spans="1:9">
      <c r="A443" s="139"/>
      <c r="B443" s="139"/>
      <c r="C443" s="138"/>
      <c r="D443" s="140"/>
      <c r="E443" s="84"/>
      <c r="F443" s="84"/>
      <c r="G443" s="84"/>
      <c r="H443" s="139"/>
      <c r="I443" s="84"/>
    </row>
    <row r="444" spans="1:9">
      <c r="A444" s="139"/>
      <c r="B444" s="139"/>
      <c r="C444" s="138"/>
      <c r="D444" s="140"/>
      <c r="E444" s="84"/>
      <c r="F444" s="84"/>
      <c r="G444" s="84"/>
      <c r="H444" s="139"/>
      <c r="I444" s="84"/>
    </row>
    <row r="445" spans="1:9">
      <c r="A445" s="139"/>
      <c r="B445" s="139"/>
      <c r="C445" s="138"/>
      <c r="D445" s="140"/>
      <c r="E445" s="84"/>
      <c r="F445" s="84"/>
      <c r="G445" s="84"/>
      <c r="H445" s="139"/>
      <c r="I445" s="84"/>
    </row>
    <row r="446" spans="1:9">
      <c r="A446" s="139"/>
      <c r="B446" s="139"/>
      <c r="C446" s="138"/>
      <c r="D446" s="140"/>
      <c r="E446" s="84"/>
      <c r="F446" s="84"/>
      <c r="G446" s="84"/>
      <c r="H446" s="139"/>
      <c r="I446" s="84"/>
    </row>
    <row r="447" spans="1:9">
      <c r="A447" s="139"/>
      <c r="B447" s="139"/>
      <c r="C447" s="138"/>
      <c r="D447" s="140"/>
      <c r="E447" s="84"/>
      <c r="F447" s="84"/>
      <c r="G447" s="84"/>
      <c r="H447" s="139"/>
      <c r="I447" s="84"/>
    </row>
    <row r="448" spans="1:9">
      <c r="A448" s="139"/>
      <c r="B448" s="139"/>
      <c r="C448" s="138"/>
      <c r="D448" s="140"/>
      <c r="E448" s="84"/>
      <c r="F448" s="84"/>
      <c r="G448" s="84"/>
      <c r="H448" s="139"/>
      <c r="I448" s="84"/>
    </row>
    <row r="449" spans="1:9">
      <c r="A449" s="139"/>
      <c r="B449" s="139"/>
      <c r="C449" s="138"/>
      <c r="D449" s="140"/>
      <c r="E449" s="84"/>
      <c r="F449" s="84"/>
      <c r="G449" s="84"/>
      <c r="H449" s="139"/>
      <c r="I449" s="84"/>
    </row>
    <row r="450" spans="1:9">
      <c r="A450" s="139"/>
      <c r="B450" s="139"/>
      <c r="C450" s="138"/>
      <c r="D450" s="140"/>
      <c r="E450" s="84"/>
      <c r="F450" s="84"/>
      <c r="G450" s="84"/>
      <c r="H450" s="139"/>
      <c r="I450" s="84"/>
    </row>
    <row r="451" spans="1:9">
      <c r="A451" s="139"/>
      <c r="B451" s="139"/>
      <c r="C451" s="138"/>
      <c r="D451" s="140"/>
      <c r="E451" s="84"/>
      <c r="F451" s="84"/>
      <c r="G451" s="84"/>
      <c r="H451" s="139"/>
      <c r="I451" s="84"/>
    </row>
    <row r="452" spans="1:9">
      <c r="A452" s="139"/>
      <c r="B452" s="139"/>
      <c r="C452" s="138"/>
      <c r="D452" s="140"/>
      <c r="E452" s="84"/>
      <c r="F452" s="84"/>
      <c r="G452" s="84"/>
      <c r="H452" s="139"/>
      <c r="I452" s="84"/>
    </row>
    <row r="453" spans="1:9">
      <c r="A453" s="139"/>
      <c r="B453" s="139"/>
      <c r="C453" s="138"/>
      <c r="D453" s="140"/>
      <c r="E453" s="84"/>
      <c r="F453" s="84"/>
      <c r="G453" s="84"/>
      <c r="H453" s="139"/>
      <c r="I453" s="84"/>
    </row>
    <row r="454" spans="1:9">
      <c r="A454" s="139"/>
      <c r="B454" s="139"/>
      <c r="C454" s="138"/>
      <c r="D454" s="140"/>
      <c r="E454" s="84"/>
      <c r="F454" s="84"/>
      <c r="G454" s="84"/>
      <c r="H454" s="139"/>
      <c r="I454" s="84"/>
    </row>
    <row r="455" spans="1:9">
      <c r="A455" s="139"/>
      <c r="B455" s="139"/>
      <c r="C455" s="138"/>
      <c r="D455" s="140"/>
      <c r="E455" s="84"/>
      <c r="F455" s="84"/>
      <c r="G455" s="84"/>
      <c r="H455" s="139"/>
      <c r="I455" s="84"/>
    </row>
    <row r="456" spans="1:9">
      <c r="A456" s="139"/>
      <c r="B456" s="139"/>
      <c r="C456" s="138"/>
      <c r="D456" s="140"/>
      <c r="E456" s="84"/>
      <c r="F456" s="84"/>
      <c r="G456" s="84"/>
      <c r="H456" s="139"/>
      <c r="I456" s="84"/>
    </row>
    <row r="457" spans="1:9">
      <c r="A457" s="139"/>
      <c r="B457" s="139"/>
      <c r="C457" s="138"/>
      <c r="D457" s="140"/>
      <c r="E457" s="84"/>
      <c r="F457" s="84"/>
      <c r="G457" s="84"/>
      <c r="H457" s="139"/>
      <c r="I457" s="84"/>
    </row>
    <row r="458" spans="1:9">
      <c r="A458" s="139"/>
      <c r="B458" s="139"/>
      <c r="C458" s="138"/>
      <c r="D458" s="140"/>
      <c r="E458" s="84"/>
      <c r="F458" s="84"/>
      <c r="G458" s="84"/>
      <c r="H458" s="139"/>
      <c r="I458" s="84"/>
    </row>
    <row r="459" spans="1:9">
      <c r="A459" s="139"/>
      <c r="B459" s="139"/>
      <c r="C459" s="138"/>
      <c r="D459" s="140"/>
      <c r="E459" s="84"/>
      <c r="F459" s="84"/>
      <c r="G459" s="84"/>
      <c r="H459" s="139"/>
      <c r="I459" s="84"/>
    </row>
    <row r="460" spans="1:9">
      <c r="A460" s="139"/>
      <c r="B460" s="139"/>
      <c r="C460" s="138"/>
      <c r="D460" s="140"/>
      <c r="E460" s="84"/>
      <c r="F460" s="84"/>
      <c r="G460" s="84"/>
      <c r="H460" s="139"/>
      <c r="I460" s="84"/>
    </row>
    <row r="461" spans="1:9">
      <c r="A461" s="139"/>
      <c r="B461" s="139"/>
      <c r="C461" s="138"/>
      <c r="D461" s="140"/>
      <c r="E461" s="84"/>
      <c r="F461" s="84"/>
      <c r="G461" s="84"/>
      <c r="H461" s="139"/>
      <c r="I461" s="84"/>
    </row>
    <row r="462" spans="1:9">
      <c r="A462" s="139"/>
      <c r="B462" s="139"/>
      <c r="C462" s="138"/>
      <c r="D462" s="140"/>
      <c r="E462" s="84"/>
      <c r="F462" s="84"/>
      <c r="G462" s="84"/>
      <c r="H462" s="139"/>
      <c r="I462" s="84"/>
    </row>
    <row r="463" spans="1:9">
      <c r="A463" s="139"/>
      <c r="B463" s="139"/>
      <c r="C463" s="138"/>
      <c r="D463" s="140"/>
      <c r="E463" s="84"/>
      <c r="F463" s="84"/>
      <c r="G463" s="84"/>
      <c r="H463" s="139"/>
      <c r="I463" s="84"/>
    </row>
    <row r="464" spans="1:9">
      <c r="A464" s="139"/>
      <c r="B464" s="139"/>
      <c r="C464" s="138"/>
      <c r="D464" s="140"/>
      <c r="E464" s="84"/>
      <c r="F464" s="84"/>
      <c r="G464" s="84"/>
      <c r="H464" s="139"/>
      <c r="I464" s="84"/>
    </row>
    <row r="465" spans="1:9">
      <c r="A465" s="139"/>
      <c r="B465" s="139"/>
      <c r="C465" s="138"/>
      <c r="D465" s="140"/>
      <c r="E465" s="84"/>
      <c r="F465" s="84"/>
      <c r="G465" s="84"/>
      <c r="H465" s="139"/>
      <c r="I465" s="84"/>
    </row>
    <row r="466" spans="1:9">
      <c r="A466" s="139"/>
      <c r="B466" s="139"/>
      <c r="C466" s="138"/>
      <c r="D466" s="140"/>
      <c r="E466" s="84"/>
      <c r="F466" s="84"/>
      <c r="G466" s="84"/>
      <c r="H466" s="139"/>
      <c r="I466" s="84"/>
    </row>
    <row r="467" spans="1:9">
      <c r="A467" s="139"/>
      <c r="B467" s="139"/>
      <c r="C467" s="138"/>
      <c r="D467" s="140"/>
      <c r="E467" s="84"/>
      <c r="F467" s="84"/>
      <c r="G467" s="84"/>
      <c r="H467" s="139"/>
      <c r="I467" s="84"/>
    </row>
    <row r="468" spans="1:9">
      <c r="A468" s="139"/>
      <c r="B468" s="139"/>
      <c r="C468" s="138"/>
      <c r="D468" s="140"/>
      <c r="E468" s="84"/>
      <c r="F468" s="84"/>
      <c r="G468" s="84"/>
      <c r="H468" s="139"/>
      <c r="I468" s="84"/>
    </row>
    <row r="469" spans="1:9">
      <c r="A469" s="139"/>
      <c r="B469" s="139"/>
      <c r="C469" s="138"/>
      <c r="D469" s="140"/>
      <c r="E469" s="84"/>
      <c r="F469" s="84"/>
      <c r="G469" s="84"/>
      <c r="H469" s="139"/>
      <c r="I469" s="84"/>
    </row>
    <row r="470" spans="1:9">
      <c r="A470" s="139"/>
      <c r="B470" s="139"/>
      <c r="C470" s="138"/>
      <c r="D470" s="140"/>
      <c r="E470" s="84"/>
      <c r="F470" s="84"/>
      <c r="G470" s="84"/>
      <c r="H470" s="139"/>
      <c r="I470" s="84"/>
    </row>
    <row r="471" spans="1:9">
      <c r="A471" s="139"/>
      <c r="B471" s="139"/>
      <c r="C471" s="138"/>
      <c r="D471" s="140"/>
      <c r="E471" s="84"/>
      <c r="F471" s="84"/>
      <c r="G471" s="84"/>
      <c r="H471" s="139"/>
      <c r="I471" s="84"/>
    </row>
    <row r="472" spans="1:9">
      <c r="A472" s="139"/>
      <c r="B472" s="139"/>
      <c r="C472" s="138"/>
      <c r="D472" s="140"/>
      <c r="E472" s="84"/>
      <c r="F472" s="84"/>
      <c r="G472" s="84"/>
      <c r="H472" s="139"/>
      <c r="I472" s="84"/>
    </row>
    <row r="473" spans="1:9">
      <c r="A473" s="139"/>
      <c r="B473" s="139"/>
      <c r="C473" s="138"/>
      <c r="D473" s="140"/>
      <c r="E473" s="84"/>
      <c r="F473" s="84"/>
      <c r="G473" s="84"/>
      <c r="H473" s="139"/>
      <c r="I473" s="84"/>
    </row>
    <row r="474" spans="1:9">
      <c r="A474" s="139"/>
      <c r="B474" s="139"/>
      <c r="C474" s="138"/>
      <c r="D474" s="140"/>
      <c r="E474" s="84"/>
      <c r="F474" s="84"/>
      <c r="G474" s="84"/>
      <c r="H474" s="139"/>
      <c r="I474" s="84"/>
    </row>
    <row r="475" spans="1:9">
      <c r="A475" s="139"/>
      <c r="B475" s="139"/>
      <c r="C475" s="138"/>
      <c r="D475" s="140"/>
      <c r="E475" s="84"/>
      <c r="F475" s="84"/>
      <c r="G475" s="84"/>
      <c r="H475" s="139"/>
      <c r="I475" s="84"/>
    </row>
    <row r="476" spans="1:9">
      <c r="A476" s="139"/>
      <c r="B476" s="139"/>
      <c r="C476" s="138"/>
      <c r="D476" s="140"/>
      <c r="E476" s="84"/>
      <c r="F476" s="84"/>
      <c r="G476" s="84"/>
      <c r="H476" s="139"/>
      <c r="I476" s="84"/>
    </row>
    <row r="477" spans="1:9">
      <c r="A477" s="139"/>
      <c r="B477" s="139"/>
      <c r="C477" s="138"/>
      <c r="D477" s="140"/>
      <c r="E477" s="84"/>
      <c r="F477" s="84"/>
      <c r="G477" s="84"/>
      <c r="H477" s="139"/>
      <c r="I477" s="84"/>
    </row>
    <row r="478" spans="1:9">
      <c r="A478" s="139"/>
      <c r="B478" s="139"/>
      <c r="C478" s="138"/>
      <c r="D478" s="140"/>
      <c r="E478" s="84"/>
      <c r="F478" s="84"/>
      <c r="G478" s="84"/>
      <c r="H478" s="139"/>
      <c r="I478" s="84"/>
    </row>
    <row r="479" spans="1:9">
      <c r="A479" s="139"/>
      <c r="B479" s="139"/>
      <c r="C479" s="138"/>
      <c r="D479" s="140"/>
      <c r="E479" s="84"/>
      <c r="F479" s="84"/>
      <c r="G479" s="84"/>
      <c r="H479" s="139"/>
      <c r="I479" s="84"/>
    </row>
    <row r="480" spans="1:9">
      <c r="A480" s="139"/>
      <c r="B480" s="139"/>
      <c r="C480" s="138"/>
      <c r="D480" s="140"/>
      <c r="E480" s="84"/>
      <c r="F480" s="84"/>
      <c r="G480" s="84"/>
      <c r="H480" s="139"/>
      <c r="I480" s="84"/>
    </row>
    <row r="481" spans="1:9">
      <c r="A481" s="139"/>
      <c r="B481" s="139"/>
      <c r="C481" s="138"/>
      <c r="D481" s="140"/>
      <c r="E481" s="84"/>
      <c r="F481" s="84"/>
      <c r="G481" s="84"/>
      <c r="H481" s="139"/>
      <c r="I481" s="84"/>
    </row>
    <row r="482" spans="1:9">
      <c r="A482" s="139"/>
      <c r="B482" s="139"/>
      <c r="C482" s="138"/>
      <c r="D482" s="140"/>
      <c r="E482" s="84"/>
      <c r="F482" s="84"/>
      <c r="G482" s="84"/>
      <c r="H482" s="139"/>
      <c r="I482" s="84"/>
    </row>
    <row r="483" spans="1:9">
      <c r="A483" s="139"/>
      <c r="B483" s="139"/>
      <c r="C483" s="138"/>
      <c r="D483" s="140"/>
      <c r="E483" s="84"/>
      <c r="F483" s="84"/>
      <c r="G483" s="84"/>
      <c r="H483" s="139"/>
      <c r="I483" s="84"/>
    </row>
    <row r="484" spans="1:9">
      <c r="A484" s="139"/>
      <c r="B484" s="139"/>
      <c r="C484" s="138"/>
      <c r="D484" s="140"/>
      <c r="E484" s="84"/>
      <c r="F484" s="84"/>
      <c r="G484" s="84"/>
      <c r="H484" s="139"/>
      <c r="I484" s="84"/>
    </row>
    <row r="485" spans="1:9">
      <c r="A485" s="139"/>
      <c r="B485" s="139"/>
      <c r="C485" s="138"/>
      <c r="D485" s="140"/>
      <c r="E485" s="84"/>
      <c r="F485" s="84"/>
      <c r="G485" s="84"/>
      <c r="H485" s="139"/>
      <c r="I485" s="84"/>
    </row>
    <row r="486" spans="1:9">
      <c r="A486" s="139"/>
      <c r="B486" s="139"/>
      <c r="C486" s="138"/>
      <c r="D486" s="140"/>
      <c r="E486" s="84"/>
      <c r="F486" s="84"/>
      <c r="G486" s="84"/>
      <c r="H486" s="139"/>
      <c r="I486" s="84"/>
    </row>
    <row r="487" spans="1:9">
      <c r="A487" s="139"/>
      <c r="B487" s="139"/>
      <c r="C487" s="138"/>
      <c r="D487" s="140"/>
      <c r="E487" s="84"/>
      <c r="F487" s="84"/>
      <c r="G487" s="84"/>
      <c r="H487" s="139"/>
      <c r="I487" s="84"/>
    </row>
    <row r="488" spans="1:9">
      <c r="A488" s="139"/>
      <c r="B488" s="139"/>
      <c r="C488" s="138"/>
      <c r="D488" s="140"/>
      <c r="E488" s="84"/>
      <c r="F488" s="84"/>
      <c r="G488" s="84"/>
      <c r="H488" s="139"/>
      <c r="I488" s="84"/>
    </row>
    <row r="489" spans="1:9">
      <c r="A489" s="139"/>
      <c r="B489" s="139"/>
      <c r="C489" s="138"/>
      <c r="D489" s="140"/>
      <c r="E489" s="84"/>
      <c r="F489" s="84"/>
      <c r="G489" s="84"/>
      <c r="H489" s="139"/>
      <c r="I489" s="84"/>
    </row>
    <row r="490" spans="1:9">
      <c r="A490" s="139"/>
      <c r="B490" s="139"/>
      <c r="C490" s="138"/>
      <c r="D490" s="140"/>
      <c r="E490" s="84"/>
      <c r="F490" s="84"/>
      <c r="G490" s="84"/>
      <c r="H490" s="139"/>
      <c r="I490" s="84"/>
    </row>
    <row r="491" spans="1:9">
      <c r="A491" s="139"/>
      <c r="B491" s="139"/>
      <c r="C491" s="138"/>
      <c r="D491" s="140"/>
      <c r="E491" s="84"/>
      <c r="F491" s="84"/>
      <c r="G491" s="84"/>
      <c r="H491" s="139"/>
      <c r="I491" s="84"/>
    </row>
    <row r="492" spans="1:9">
      <c r="A492" s="139"/>
      <c r="B492" s="139"/>
      <c r="C492" s="138"/>
      <c r="D492" s="140"/>
      <c r="E492" s="84"/>
      <c r="F492" s="84"/>
      <c r="G492" s="84"/>
      <c r="H492" s="139"/>
      <c r="I492" s="84"/>
    </row>
    <row r="493" spans="1:9">
      <c r="A493" s="139"/>
      <c r="B493" s="139"/>
      <c r="C493" s="138"/>
      <c r="D493" s="140"/>
      <c r="E493" s="84"/>
      <c r="F493" s="84"/>
      <c r="G493" s="84"/>
      <c r="H493" s="139"/>
      <c r="I493" s="84"/>
    </row>
    <row r="494" spans="1:9">
      <c r="A494" s="139"/>
      <c r="B494" s="139"/>
      <c r="C494" s="138"/>
      <c r="D494" s="140"/>
      <c r="E494" s="84"/>
      <c r="F494" s="84"/>
      <c r="G494" s="84"/>
      <c r="H494" s="139"/>
      <c r="I494" s="84"/>
    </row>
    <row r="495" spans="1:9">
      <c r="A495" s="139"/>
      <c r="B495" s="139"/>
      <c r="C495" s="138"/>
      <c r="D495" s="140"/>
      <c r="E495" s="84"/>
      <c r="F495" s="84"/>
      <c r="G495" s="84"/>
      <c r="H495" s="139"/>
      <c r="I495" s="84"/>
    </row>
    <row r="496" spans="1:9">
      <c r="A496" s="139"/>
      <c r="B496" s="139"/>
      <c r="C496" s="138"/>
      <c r="D496" s="140"/>
      <c r="E496" s="84"/>
      <c r="F496" s="84"/>
      <c r="G496" s="84"/>
      <c r="H496" s="139"/>
      <c r="I496" s="84"/>
    </row>
    <row r="497" spans="1:9">
      <c r="A497" s="139"/>
      <c r="B497" s="139"/>
      <c r="C497" s="138"/>
      <c r="D497" s="140"/>
      <c r="E497" s="84"/>
      <c r="F497" s="84"/>
      <c r="G497" s="84"/>
      <c r="H497" s="139"/>
      <c r="I497" s="84"/>
    </row>
    <row r="498" spans="1:9">
      <c r="A498" s="139"/>
      <c r="B498" s="139"/>
      <c r="C498" s="138"/>
      <c r="D498" s="140"/>
      <c r="E498" s="84"/>
      <c r="F498" s="84"/>
      <c r="G498" s="84"/>
      <c r="H498" s="139"/>
      <c r="I498" s="84"/>
    </row>
    <row r="499" spans="1:9">
      <c r="A499" s="139"/>
      <c r="B499" s="139"/>
      <c r="C499" s="138"/>
      <c r="D499" s="140"/>
      <c r="E499" s="84"/>
      <c r="F499" s="84"/>
      <c r="G499" s="84"/>
      <c r="H499" s="139"/>
      <c r="I499" s="84"/>
    </row>
    <row r="500" spans="1:9">
      <c r="A500" s="139"/>
      <c r="B500" s="139"/>
      <c r="C500" s="138"/>
      <c r="D500" s="140"/>
      <c r="E500" s="84"/>
      <c r="F500" s="84"/>
      <c r="G500" s="84"/>
      <c r="H500" s="139"/>
      <c r="I500" s="84"/>
    </row>
    <row r="501" spans="1:9">
      <c r="A501" s="139"/>
      <c r="B501" s="139"/>
      <c r="C501" s="138"/>
      <c r="D501" s="140"/>
      <c r="E501" s="84"/>
      <c r="F501" s="84"/>
      <c r="G501" s="84"/>
      <c r="H501" s="139"/>
      <c r="I501" s="84"/>
    </row>
    <row r="502" spans="1:9">
      <c r="A502" s="139"/>
      <c r="B502" s="139"/>
      <c r="C502" s="138"/>
      <c r="D502" s="140"/>
      <c r="E502" s="84"/>
      <c r="F502" s="84"/>
      <c r="G502" s="84"/>
      <c r="H502" s="139"/>
      <c r="I502" s="84"/>
    </row>
    <row r="503" spans="1:9">
      <c r="A503" s="139"/>
      <c r="B503" s="139"/>
      <c r="C503" s="138"/>
      <c r="D503" s="140"/>
      <c r="E503" s="84"/>
      <c r="F503" s="84"/>
      <c r="G503" s="84"/>
      <c r="H503" s="139"/>
      <c r="I503" s="84"/>
    </row>
    <row r="504" spans="1:9">
      <c r="A504" s="139"/>
      <c r="B504" s="139"/>
      <c r="C504" s="138"/>
      <c r="D504" s="140"/>
      <c r="E504" s="84"/>
      <c r="F504" s="84"/>
      <c r="G504" s="84"/>
      <c r="H504" s="139"/>
      <c r="I504" s="84"/>
    </row>
    <row r="505" spans="1:9">
      <c r="A505" s="139"/>
      <c r="B505" s="139"/>
      <c r="C505" s="138"/>
      <c r="D505" s="140"/>
      <c r="E505" s="84"/>
      <c r="F505" s="84"/>
      <c r="G505" s="84"/>
      <c r="H505" s="139"/>
      <c r="I505" s="84"/>
    </row>
    <row r="506" spans="1:9">
      <c r="A506" s="139"/>
      <c r="B506" s="139"/>
      <c r="C506" s="138"/>
      <c r="D506" s="140"/>
      <c r="E506" s="84"/>
      <c r="F506" s="84"/>
      <c r="G506" s="84"/>
      <c r="H506" s="139"/>
      <c r="I506" s="84"/>
    </row>
    <row r="507" spans="1:9">
      <c r="A507" s="139"/>
      <c r="B507" s="139"/>
      <c r="C507" s="138"/>
      <c r="D507" s="140"/>
      <c r="E507" s="84"/>
      <c r="F507" s="84"/>
      <c r="G507" s="84"/>
      <c r="H507" s="139"/>
      <c r="I507" s="84"/>
    </row>
    <row r="508" spans="1:9">
      <c r="A508" s="139"/>
      <c r="B508" s="139"/>
      <c r="C508" s="138"/>
      <c r="D508" s="140"/>
      <c r="E508" s="84"/>
      <c r="F508" s="84"/>
      <c r="G508" s="84"/>
      <c r="H508" s="139"/>
      <c r="I508" s="84"/>
    </row>
    <row r="509" spans="1:9">
      <c r="A509" s="139"/>
      <c r="B509" s="139"/>
      <c r="C509" s="138"/>
      <c r="D509" s="140"/>
      <c r="E509" s="84"/>
      <c r="F509" s="84"/>
      <c r="G509" s="84"/>
      <c r="H509" s="139"/>
      <c r="I509" s="84"/>
    </row>
    <row r="510" spans="1:9">
      <c r="A510" s="139"/>
      <c r="B510" s="139"/>
      <c r="C510" s="138"/>
      <c r="D510" s="140"/>
      <c r="E510" s="84"/>
      <c r="F510" s="84"/>
      <c r="G510" s="84"/>
      <c r="H510" s="139"/>
      <c r="I510" s="84"/>
    </row>
    <row r="511" spans="1:9">
      <c r="A511" s="139"/>
      <c r="B511" s="139"/>
      <c r="C511" s="138"/>
      <c r="D511" s="140"/>
      <c r="E511" s="84"/>
      <c r="F511" s="84"/>
      <c r="G511" s="84"/>
      <c r="H511" s="139"/>
      <c r="I511" s="84"/>
    </row>
    <row r="512" spans="1:9">
      <c r="A512" s="139"/>
      <c r="B512" s="139"/>
      <c r="C512" s="138"/>
      <c r="D512" s="140"/>
      <c r="E512" s="84"/>
      <c r="F512" s="84"/>
      <c r="G512" s="84"/>
      <c r="H512" s="139"/>
      <c r="I512" s="84"/>
    </row>
    <row r="513" spans="1:9">
      <c r="A513" s="139"/>
      <c r="B513" s="139"/>
      <c r="C513" s="138"/>
      <c r="D513" s="140"/>
      <c r="E513" s="84"/>
      <c r="F513" s="84"/>
      <c r="G513" s="84"/>
      <c r="H513" s="139"/>
      <c r="I513" s="84"/>
    </row>
    <row r="514" spans="1:9">
      <c r="A514" s="139"/>
      <c r="B514" s="139"/>
      <c r="C514" s="138"/>
      <c r="D514" s="140"/>
      <c r="E514" s="84"/>
      <c r="F514" s="84"/>
      <c r="G514" s="84"/>
      <c r="H514" s="139"/>
      <c r="I514" s="84"/>
    </row>
    <row r="515" spans="1:9">
      <c r="A515" s="139"/>
      <c r="B515" s="139"/>
      <c r="C515" s="138"/>
      <c r="D515" s="140"/>
      <c r="E515" s="84"/>
      <c r="F515" s="84"/>
      <c r="G515" s="84"/>
      <c r="H515" s="139"/>
      <c r="I515" s="84"/>
    </row>
    <row r="516" spans="1:9">
      <c r="A516" s="139"/>
      <c r="B516" s="139"/>
      <c r="C516" s="138"/>
      <c r="D516" s="140"/>
      <c r="E516" s="84"/>
      <c r="F516" s="84"/>
      <c r="G516" s="84"/>
      <c r="H516" s="139"/>
      <c r="I516" s="84"/>
    </row>
    <row r="517" spans="1:9">
      <c r="A517" s="139"/>
      <c r="B517" s="139"/>
      <c r="C517" s="138"/>
      <c r="D517" s="140"/>
      <c r="E517" s="84"/>
      <c r="F517" s="84"/>
      <c r="G517" s="84"/>
      <c r="H517" s="139"/>
      <c r="I517" s="84"/>
    </row>
    <row r="518" spans="1:9">
      <c r="A518" s="139"/>
      <c r="B518" s="139"/>
      <c r="C518" s="138"/>
      <c r="D518" s="140"/>
      <c r="E518" s="84"/>
      <c r="F518" s="84"/>
      <c r="G518" s="84"/>
      <c r="H518" s="139"/>
      <c r="I518" s="84"/>
    </row>
    <row r="519" spans="1:9">
      <c r="A519" s="139"/>
      <c r="B519" s="139"/>
      <c r="C519" s="138"/>
      <c r="D519" s="140"/>
      <c r="E519" s="84"/>
      <c r="F519" s="84"/>
      <c r="G519" s="84"/>
      <c r="H519" s="139"/>
      <c r="I519" s="84"/>
    </row>
    <row r="520" spans="1:9">
      <c r="A520" s="139"/>
      <c r="B520" s="139"/>
      <c r="C520" s="138"/>
      <c r="D520" s="140"/>
      <c r="E520" s="84"/>
      <c r="F520" s="84"/>
      <c r="G520" s="84"/>
      <c r="H520" s="139"/>
      <c r="I520" s="84"/>
    </row>
    <row r="521" spans="1:9">
      <c r="A521" s="139"/>
      <c r="B521" s="139"/>
      <c r="C521" s="138"/>
      <c r="D521" s="140"/>
      <c r="E521" s="84"/>
      <c r="F521" s="84"/>
      <c r="G521" s="84"/>
      <c r="H521" s="139"/>
      <c r="I521" s="84"/>
    </row>
    <row r="522" spans="1:9">
      <c r="A522" s="139"/>
      <c r="B522" s="139"/>
      <c r="C522" s="138"/>
      <c r="D522" s="140"/>
      <c r="E522" s="84"/>
      <c r="F522" s="84"/>
      <c r="G522" s="84"/>
      <c r="H522" s="139"/>
      <c r="I522" s="84"/>
    </row>
    <row r="523" spans="1:9">
      <c r="A523" s="139"/>
      <c r="B523" s="139"/>
      <c r="C523" s="138"/>
      <c r="D523" s="140"/>
      <c r="E523" s="84"/>
      <c r="F523" s="84"/>
      <c r="G523" s="84"/>
      <c r="H523" s="139"/>
      <c r="I523" s="84"/>
    </row>
    <row r="524" spans="1:9">
      <c r="A524" s="139"/>
      <c r="B524" s="139"/>
      <c r="C524" s="138"/>
      <c r="D524" s="140"/>
      <c r="E524" s="84"/>
      <c r="F524" s="84"/>
      <c r="G524" s="84"/>
      <c r="H524" s="139"/>
      <c r="I524" s="84"/>
    </row>
    <row r="525" spans="1:9">
      <c r="A525" s="139"/>
      <c r="B525" s="139"/>
      <c r="C525" s="138"/>
      <c r="D525" s="140"/>
      <c r="E525" s="84"/>
      <c r="F525" s="84"/>
      <c r="G525" s="84"/>
      <c r="H525" s="139"/>
      <c r="I525" s="84"/>
    </row>
    <row r="526" spans="1:9">
      <c r="A526" s="139"/>
      <c r="B526" s="139"/>
      <c r="C526" s="138"/>
      <c r="D526" s="140"/>
      <c r="E526" s="84"/>
      <c r="F526" s="84"/>
      <c r="G526" s="84"/>
      <c r="H526" s="139"/>
      <c r="I526" s="84"/>
    </row>
    <row r="527" spans="1:9">
      <c r="A527" s="139"/>
      <c r="B527" s="139"/>
      <c r="C527" s="138"/>
      <c r="D527" s="140"/>
      <c r="E527" s="84"/>
      <c r="F527" s="84"/>
      <c r="G527" s="84"/>
      <c r="H527" s="139"/>
      <c r="I527" s="84"/>
    </row>
    <row r="528" spans="1:9">
      <c r="A528" s="139"/>
      <c r="B528" s="139"/>
      <c r="C528" s="138"/>
      <c r="D528" s="140"/>
      <c r="E528" s="84"/>
      <c r="F528" s="84"/>
      <c r="G528" s="84"/>
      <c r="H528" s="139"/>
      <c r="I528" s="84"/>
    </row>
    <row r="529" spans="1:9">
      <c r="A529" s="139"/>
      <c r="B529" s="139"/>
      <c r="C529" s="138"/>
      <c r="D529" s="140"/>
      <c r="E529" s="84"/>
      <c r="F529" s="84"/>
      <c r="G529" s="84"/>
      <c r="H529" s="139"/>
      <c r="I529" s="84"/>
    </row>
    <row r="530" spans="1:9">
      <c r="A530" s="139"/>
      <c r="B530" s="139"/>
      <c r="C530" s="138"/>
      <c r="D530" s="140"/>
      <c r="E530" s="84"/>
      <c r="F530" s="84"/>
      <c r="G530" s="84"/>
      <c r="H530" s="139"/>
      <c r="I530" s="84"/>
    </row>
    <row r="531" spans="1:9">
      <c r="A531" s="139"/>
      <c r="B531" s="139"/>
      <c r="C531" s="138"/>
      <c r="D531" s="140"/>
      <c r="E531" s="84"/>
      <c r="F531" s="84"/>
      <c r="G531" s="84"/>
      <c r="H531" s="139"/>
      <c r="I531" s="84"/>
    </row>
    <row r="532" spans="1:9">
      <c r="A532" s="139"/>
      <c r="B532" s="139"/>
      <c r="C532" s="138"/>
      <c r="D532" s="140"/>
      <c r="E532" s="84"/>
      <c r="F532" s="84"/>
      <c r="G532" s="84"/>
      <c r="H532" s="139"/>
      <c r="I532" s="84"/>
    </row>
    <row r="533" spans="1:9">
      <c r="A533" s="139"/>
      <c r="B533" s="139"/>
      <c r="C533" s="138"/>
      <c r="D533" s="140"/>
      <c r="E533" s="84"/>
      <c r="F533" s="84"/>
      <c r="G533" s="84"/>
      <c r="H533" s="139"/>
      <c r="I533" s="84"/>
    </row>
    <row r="534" spans="1:9">
      <c r="A534" s="139"/>
      <c r="B534" s="139"/>
      <c r="C534" s="138"/>
      <c r="D534" s="140"/>
      <c r="E534" s="84"/>
      <c r="F534" s="84"/>
      <c r="G534" s="84"/>
      <c r="H534" s="139"/>
      <c r="I534" s="84"/>
    </row>
    <row r="535" spans="1:9">
      <c r="A535" s="139"/>
      <c r="B535" s="139"/>
      <c r="C535" s="138"/>
      <c r="D535" s="140"/>
      <c r="E535" s="84"/>
      <c r="F535" s="84"/>
      <c r="G535" s="84"/>
      <c r="H535" s="139"/>
      <c r="I535" s="84"/>
    </row>
    <row r="536" spans="1:9">
      <c r="A536" s="139"/>
      <c r="B536" s="139"/>
      <c r="C536" s="138"/>
      <c r="D536" s="140"/>
      <c r="E536" s="84"/>
      <c r="F536" s="84"/>
      <c r="G536" s="84"/>
      <c r="H536" s="139"/>
      <c r="I536" s="84"/>
    </row>
    <row r="537" spans="1:9">
      <c r="A537" s="139"/>
      <c r="B537" s="139"/>
      <c r="C537" s="138"/>
      <c r="D537" s="140"/>
      <c r="E537" s="84"/>
      <c r="F537" s="84"/>
      <c r="G537" s="84"/>
      <c r="H537" s="139"/>
      <c r="I537" s="84"/>
    </row>
    <row r="538" spans="1:9">
      <c r="A538" s="139"/>
      <c r="B538" s="139"/>
      <c r="C538" s="138"/>
      <c r="D538" s="140"/>
      <c r="E538" s="84"/>
      <c r="F538" s="84"/>
      <c r="G538" s="84"/>
      <c r="H538" s="139"/>
      <c r="I538" s="84"/>
    </row>
    <row r="539" spans="1:9">
      <c r="A539" s="139"/>
      <c r="B539" s="139"/>
      <c r="C539" s="138"/>
      <c r="D539" s="140"/>
      <c r="E539" s="84"/>
      <c r="F539" s="84"/>
      <c r="G539" s="84"/>
      <c r="H539" s="139"/>
      <c r="I539" s="84"/>
    </row>
    <row r="540" spans="1:9">
      <c r="A540" s="139"/>
      <c r="B540" s="139"/>
      <c r="C540" s="138"/>
      <c r="D540" s="140"/>
      <c r="E540" s="84"/>
      <c r="F540" s="84"/>
      <c r="G540" s="84"/>
      <c r="H540" s="139"/>
      <c r="I540" s="84"/>
    </row>
    <row r="541" spans="1:9">
      <c r="A541" s="139"/>
      <c r="B541" s="139"/>
      <c r="C541" s="138"/>
      <c r="D541" s="140"/>
      <c r="E541" s="84"/>
      <c r="F541" s="84"/>
      <c r="G541" s="84"/>
      <c r="H541" s="139"/>
      <c r="I541" s="84"/>
    </row>
    <row r="542" spans="1:9">
      <c r="A542" s="139"/>
      <c r="B542" s="139"/>
      <c r="C542" s="138"/>
      <c r="D542" s="140"/>
      <c r="E542" s="84"/>
      <c r="F542" s="84"/>
      <c r="G542" s="84"/>
      <c r="H542" s="139"/>
      <c r="I542" s="84"/>
    </row>
    <row r="543" spans="1:9">
      <c r="A543" s="139"/>
      <c r="B543" s="139"/>
      <c r="C543" s="138"/>
      <c r="D543" s="140"/>
      <c r="E543" s="84"/>
      <c r="F543" s="84"/>
      <c r="G543" s="84"/>
      <c r="H543" s="139"/>
      <c r="I543" s="84"/>
    </row>
    <row r="544" spans="1:9">
      <c r="A544" s="139"/>
      <c r="B544" s="139"/>
      <c r="C544" s="138"/>
      <c r="D544" s="140"/>
      <c r="E544" s="84"/>
      <c r="F544" s="84"/>
      <c r="G544" s="84"/>
      <c r="H544" s="139"/>
      <c r="I544" s="84"/>
    </row>
    <row r="545" spans="1:9">
      <c r="A545" s="139"/>
      <c r="B545" s="139"/>
      <c r="C545" s="138"/>
      <c r="D545" s="140"/>
      <c r="E545" s="84"/>
      <c r="F545" s="84"/>
      <c r="G545" s="84"/>
      <c r="H545" s="139"/>
      <c r="I545" s="84"/>
    </row>
    <row r="546" spans="1:9">
      <c r="A546" s="139"/>
      <c r="B546" s="139"/>
      <c r="C546" s="138"/>
      <c r="D546" s="140"/>
      <c r="E546" s="84"/>
      <c r="F546" s="84"/>
      <c r="G546" s="84"/>
      <c r="H546" s="139"/>
      <c r="I546" s="84"/>
    </row>
    <row r="547" spans="1:9">
      <c r="A547" s="139"/>
      <c r="B547" s="139"/>
      <c r="C547" s="138"/>
      <c r="D547" s="140"/>
      <c r="E547" s="84"/>
      <c r="F547" s="84"/>
      <c r="G547" s="84"/>
      <c r="H547" s="139"/>
      <c r="I547" s="84"/>
    </row>
    <row r="548" spans="1:9">
      <c r="A548" s="139"/>
      <c r="B548" s="139"/>
      <c r="C548" s="138"/>
      <c r="D548" s="140"/>
      <c r="E548" s="84"/>
      <c r="F548" s="84"/>
      <c r="G548" s="84"/>
      <c r="H548" s="139"/>
      <c r="I548" s="84"/>
    </row>
    <row r="549" spans="1:9">
      <c r="A549" s="139"/>
      <c r="B549" s="139"/>
      <c r="C549" s="138"/>
      <c r="D549" s="140"/>
      <c r="E549" s="84"/>
      <c r="F549" s="84"/>
      <c r="G549" s="84"/>
      <c r="H549" s="139"/>
      <c r="I549" s="84"/>
    </row>
    <row r="550" spans="1:9">
      <c r="A550" s="139"/>
      <c r="B550" s="139"/>
      <c r="C550" s="138"/>
      <c r="D550" s="140"/>
      <c r="E550" s="84"/>
      <c r="F550" s="84"/>
      <c r="G550" s="84"/>
      <c r="H550" s="139"/>
      <c r="I550" s="84"/>
    </row>
    <row r="551" spans="1:9">
      <c r="A551" s="139"/>
      <c r="B551" s="139"/>
      <c r="C551" s="138"/>
      <c r="D551" s="140"/>
      <c r="E551" s="84"/>
      <c r="F551" s="84"/>
      <c r="G551" s="84"/>
      <c r="H551" s="139"/>
      <c r="I551" s="84"/>
    </row>
    <row r="552" spans="1:9">
      <c r="A552" s="139"/>
      <c r="B552" s="139"/>
      <c r="C552" s="138"/>
      <c r="D552" s="140"/>
      <c r="E552" s="84"/>
      <c r="F552" s="84"/>
      <c r="G552" s="84"/>
      <c r="H552" s="139"/>
      <c r="I552" s="84"/>
    </row>
    <row r="553" spans="1:9">
      <c r="A553" s="139"/>
      <c r="B553" s="139"/>
      <c r="C553" s="138"/>
      <c r="D553" s="140"/>
      <c r="E553" s="84"/>
      <c r="F553" s="84"/>
      <c r="G553" s="84"/>
      <c r="H553" s="139"/>
      <c r="I553" s="84"/>
    </row>
    <row r="554" spans="1:9">
      <c r="A554" s="139"/>
      <c r="B554" s="139"/>
      <c r="C554" s="138"/>
      <c r="D554" s="140"/>
      <c r="E554" s="84"/>
      <c r="F554" s="84"/>
      <c r="G554" s="84"/>
      <c r="H554" s="139"/>
      <c r="I554" s="84"/>
    </row>
    <row r="555" spans="1:9">
      <c r="A555" s="139"/>
      <c r="B555" s="139"/>
      <c r="C555" s="138"/>
      <c r="D555" s="140"/>
      <c r="E555" s="84"/>
      <c r="F555" s="84"/>
      <c r="G555" s="84"/>
      <c r="H555" s="139"/>
      <c r="I555" s="84"/>
    </row>
    <row r="556" spans="1:9">
      <c r="A556" s="139"/>
      <c r="B556" s="139"/>
      <c r="C556" s="138"/>
      <c r="D556" s="140"/>
      <c r="E556" s="84"/>
      <c r="F556" s="84"/>
      <c r="G556" s="84"/>
      <c r="H556" s="139"/>
      <c r="I556" s="84"/>
    </row>
    <row r="557" spans="1:9">
      <c r="A557" s="139"/>
      <c r="B557" s="139"/>
      <c r="C557" s="138"/>
      <c r="D557" s="140"/>
      <c r="E557" s="84"/>
      <c r="F557" s="84"/>
      <c r="G557" s="84"/>
      <c r="H557" s="139"/>
      <c r="I557" s="84"/>
    </row>
    <row r="558" spans="1:9">
      <c r="A558" s="139"/>
      <c r="B558" s="139"/>
      <c r="C558" s="138"/>
      <c r="D558" s="140"/>
      <c r="E558" s="84"/>
      <c r="F558" s="84"/>
      <c r="G558" s="84"/>
      <c r="H558" s="139"/>
      <c r="I558" s="84"/>
    </row>
    <row r="559" spans="1:9">
      <c r="A559" s="139"/>
      <c r="B559" s="139"/>
      <c r="C559" s="138"/>
      <c r="D559" s="140"/>
      <c r="E559" s="84"/>
      <c r="F559" s="84"/>
      <c r="G559" s="84"/>
      <c r="H559" s="139"/>
      <c r="I559" s="84"/>
    </row>
    <row r="560" spans="1:9">
      <c r="A560" s="139"/>
      <c r="B560" s="139"/>
      <c r="C560" s="138"/>
      <c r="D560" s="140"/>
      <c r="E560" s="84"/>
      <c r="F560" s="84"/>
      <c r="G560" s="84"/>
      <c r="H560" s="139"/>
      <c r="I560" s="84"/>
    </row>
    <row r="561" spans="1:9">
      <c r="A561" s="139"/>
      <c r="B561" s="139"/>
      <c r="C561" s="138"/>
      <c r="D561" s="140"/>
      <c r="E561" s="84"/>
      <c r="F561" s="84"/>
      <c r="G561" s="84"/>
      <c r="H561" s="139"/>
      <c r="I561" s="84"/>
    </row>
    <row r="562" spans="1:9">
      <c r="A562" s="139"/>
      <c r="B562" s="139"/>
      <c r="C562" s="138"/>
      <c r="D562" s="140"/>
      <c r="E562" s="84"/>
      <c r="F562" s="84"/>
      <c r="G562" s="84"/>
      <c r="H562" s="139"/>
      <c r="I562" s="84"/>
    </row>
    <row r="563" spans="1:9">
      <c r="A563" s="139"/>
      <c r="B563" s="139"/>
      <c r="C563" s="138"/>
      <c r="D563" s="140"/>
      <c r="E563" s="84"/>
      <c r="F563" s="84"/>
      <c r="G563" s="84"/>
      <c r="H563" s="139"/>
      <c r="I563" s="84"/>
    </row>
    <row r="564" spans="1:9">
      <c r="A564" s="139"/>
      <c r="B564" s="139"/>
      <c r="C564" s="138"/>
      <c r="D564" s="140"/>
      <c r="E564" s="84"/>
      <c r="F564" s="84"/>
      <c r="G564" s="84"/>
      <c r="H564" s="139"/>
      <c r="I564" s="84"/>
    </row>
    <row r="565" spans="1:9">
      <c r="A565" s="139"/>
      <c r="B565" s="139"/>
      <c r="C565" s="138"/>
      <c r="D565" s="140"/>
      <c r="E565" s="84"/>
      <c r="F565" s="84"/>
      <c r="G565" s="84"/>
      <c r="H565" s="139"/>
      <c r="I565" s="84"/>
    </row>
    <row r="566" spans="1:9">
      <c r="A566" s="139"/>
      <c r="B566" s="139"/>
      <c r="C566" s="138"/>
      <c r="D566" s="140"/>
      <c r="E566" s="84"/>
      <c r="F566" s="84"/>
      <c r="G566" s="84"/>
      <c r="H566" s="139"/>
      <c r="I566" s="84"/>
    </row>
    <row r="567" spans="1:9">
      <c r="A567" s="139"/>
      <c r="B567" s="139"/>
      <c r="C567" s="138"/>
      <c r="D567" s="140"/>
      <c r="E567" s="84"/>
      <c r="F567" s="84"/>
      <c r="G567" s="84"/>
      <c r="H567" s="139"/>
      <c r="I567" s="84"/>
    </row>
    <row r="568" spans="1:9">
      <c r="A568" s="139"/>
      <c r="B568" s="139"/>
      <c r="C568" s="138"/>
      <c r="D568" s="140"/>
      <c r="E568" s="84"/>
      <c r="F568" s="84"/>
      <c r="G568" s="84"/>
      <c r="H568" s="139"/>
      <c r="I568" s="84"/>
    </row>
    <row r="569" spans="1:9">
      <c r="A569" s="139"/>
      <c r="B569" s="139"/>
      <c r="C569" s="138"/>
      <c r="D569" s="140"/>
      <c r="E569" s="84"/>
      <c r="F569" s="84"/>
      <c r="G569" s="84"/>
      <c r="H569" s="139"/>
      <c r="I569" s="84"/>
    </row>
    <row r="570" spans="1:9">
      <c r="A570" s="139"/>
      <c r="B570" s="139"/>
      <c r="C570" s="138"/>
      <c r="D570" s="140"/>
      <c r="E570" s="84"/>
      <c r="F570" s="84"/>
      <c r="G570" s="84"/>
      <c r="H570" s="139"/>
      <c r="I570" s="84"/>
    </row>
    <row r="571" spans="1:9">
      <c r="A571" s="139"/>
      <c r="B571" s="139"/>
      <c r="C571" s="138"/>
      <c r="D571" s="140"/>
      <c r="E571" s="84"/>
      <c r="F571" s="84"/>
      <c r="G571" s="84"/>
      <c r="H571" s="139"/>
      <c r="I571" s="84"/>
    </row>
    <row r="572" spans="1:9">
      <c r="A572" s="139"/>
      <c r="B572" s="139"/>
      <c r="C572" s="138"/>
      <c r="D572" s="140"/>
      <c r="E572" s="84"/>
      <c r="F572" s="84"/>
      <c r="G572" s="84"/>
      <c r="H572" s="139"/>
      <c r="I572" s="84"/>
    </row>
    <row r="573" spans="1:9">
      <c r="A573" s="139"/>
      <c r="B573" s="139"/>
      <c r="C573" s="138"/>
      <c r="D573" s="140"/>
      <c r="E573" s="84"/>
      <c r="F573" s="84"/>
      <c r="G573" s="84"/>
      <c r="H573" s="139"/>
      <c r="I573" s="84"/>
    </row>
    <row r="574" spans="1:9">
      <c r="A574" s="139"/>
      <c r="B574" s="139"/>
      <c r="C574" s="138"/>
      <c r="D574" s="140"/>
      <c r="E574" s="84"/>
      <c r="F574" s="84"/>
      <c r="G574" s="84"/>
      <c r="H574" s="139"/>
      <c r="I574" s="84"/>
    </row>
    <row r="575" spans="1:9">
      <c r="A575" s="139"/>
      <c r="B575" s="139"/>
      <c r="C575" s="138"/>
      <c r="D575" s="140"/>
      <c r="E575" s="84"/>
      <c r="F575" s="84"/>
      <c r="G575" s="84"/>
      <c r="H575" s="139"/>
      <c r="I575" s="84"/>
    </row>
    <row r="576" spans="1:9">
      <c r="A576" s="139"/>
      <c r="B576" s="139"/>
      <c r="C576" s="138"/>
      <c r="D576" s="140"/>
      <c r="E576" s="84"/>
      <c r="F576" s="84"/>
      <c r="G576" s="84"/>
      <c r="H576" s="139"/>
      <c r="I576" s="84"/>
    </row>
    <row r="577" spans="1:9">
      <c r="A577" s="139"/>
      <c r="B577" s="139"/>
      <c r="C577" s="138"/>
      <c r="D577" s="140"/>
      <c r="E577" s="84"/>
      <c r="F577" s="84"/>
      <c r="G577" s="84"/>
      <c r="H577" s="139"/>
      <c r="I577" s="84"/>
    </row>
    <row r="578" spans="1:9">
      <c r="A578" s="139"/>
      <c r="B578" s="139"/>
      <c r="C578" s="138"/>
      <c r="D578" s="140"/>
      <c r="E578" s="84"/>
      <c r="F578" s="84"/>
      <c r="G578" s="84"/>
      <c r="H578" s="139"/>
      <c r="I578" s="84"/>
    </row>
    <row r="579" spans="1:9">
      <c r="A579" s="139"/>
      <c r="B579" s="139"/>
      <c r="C579" s="138"/>
      <c r="D579" s="140"/>
      <c r="E579" s="84"/>
      <c r="F579" s="84"/>
      <c r="G579" s="84"/>
      <c r="H579" s="139"/>
      <c r="I579" s="84"/>
    </row>
    <row r="580" spans="1:9">
      <c r="A580" s="139"/>
      <c r="B580" s="139"/>
      <c r="C580" s="138"/>
      <c r="D580" s="140"/>
      <c r="E580" s="84"/>
      <c r="F580" s="84"/>
      <c r="G580" s="84"/>
      <c r="H580" s="139"/>
      <c r="I580" s="84"/>
    </row>
    <row r="581" spans="1:9">
      <c r="A581" s="139"/>
      <c r="B581" s="139"/>
      <c r="C581" s="138"/>
      <c r="D581" s="140"/>
      <c r="E581" s="84"/>
      <c r="F581" s="84"/>
      <c r="G581" s="84"/>
      <c r="H581" s="139"/>
      <c r="I581" s="84"/>
    </row>
    <row r="582" spans="1:9">
      <c r="A582" s="139"/>
      <c r="B582" s="139"/>
      <c r="C582" s="138"/>
      <c r="D582" s="140"/>
      <c r="E582" s="84"/>
      <c r="F582" s="84"/>
      <c r="G582" s="84"/>
      <c r="H582" s="139"/>
      <c r="I582" s="84"/>
    </row>
    <row r="583" spans="1:9">
      <c r="A583" s="139"/>
      <c r="B583" s="139"/>
      <c r="C583" s="138"/>
      <c r="D583" s="140"/>
      <c r="E583" s="84"/>
      <c r="F583" s="84"/>
      <c r="G583" s="84"/>
      <c r="H583" s="139"/>
      <c r="I583" s="84"/>
    </row>
    <row r="584" spans="1:9">
      <c r="A584" s="139"/>
      <c r="B584" s="139"/>
      <c r="C584" s="138"/>
      <c r="D584" s="140"/>
      <c r="E584" s="84"/>
      <c r="F584" s="84"/>
      <c r="G584" s="84"/>
      <c r="H584" s="139"/>
      <c r="I584" s="84"/>
    </row>
    <row r="585" spans="1:9">
      <c r="A585" s="139"/>
      <c r="B585" s="139"/>
      <c r="C585" s="138"/>
      <c r="D585" s="140"/>
      <c r="E585" s="84"/>
      <c r="F585" s="84"/>
      <c r="G585" s="84"/>
      <c r="H585" s="139"/>
      <c r="I585" s="84"/>
    </row>
    <row r="586" spans="1:9">
      <c r="A586" s="139"/>
      <c r="B586" s="139"/>
      <c r="C586" s="138"/>
      <c r="D586" s="140"/>
      <c r="E586" s="84"/>
      <c r="F586" s="84"/>
      <c r="G586" s="84"/>
      <c r="H586" s="139"/>
      <c r="I586" s="84"/>
    </row>
    <row r="587" spans="1:9">
      <c r="A587" s="139"/>
      <c r="B587" s="139"/>
      <c r="C587" s="138"/>
      <c r="D587" s="140"/>
      <c r="E587" s="84"/>
      <c r="F587" s="84"/>
      <c r="G587" s="84"/>
      <c r="H587" s="139"/>
      <c r="I587" s="84"/>
    </row>
    <row r="588" spans="1:9">
      <c r="A588" s="139"/>
      <c r="B588" s="139"/>
      <c r="C588" s="138"/>
      <c r="D588" s="140"/>
      <c r="E588" s="84"/>
      <c r="F588" s="84"/>
      <c r="G588" s="84"/>
      <c r="H588" s="139"/>
      <c r="I588" s="84"/>
    </row>
    <row r="589" spans="1:9">
      <c r="A589" s="139"/>
      <c r="B589" s="139"/>
      <c r="C589" s="138"/>
      <c r="D589" s="140"/>
      <c r="E589" s="84"/>
      <c r="F589" s="84"/>
      <c r="G589" s="84"/>
      <c r="H589" s="139"/>
      <c r="I589" s="84"/>
    </row>
    <row r="590" spans="1:9">
      <c r="A590" s="139"/>
      <c r="B590" s="139"/>
      <c r="C590" s="138"/>
      <c r="D590" s="140"/>
      <c r="E590" s="84"/>
      <c r="F590" s="84"/>
      <c r="G590" s="84"/>
      <c r="H590" s="139"/>
      <c r="I590" s="84"/>
    </row>
    <row r="591" spans="1:9">
      <c r="A591" s="139"/>
      <c r="B591" s="139"/>
      <c r="C591" s="138"/>
      <c r="D591" s="140"/>
      <c r="E591" s="84"/>
      <c r="F591" s="84"/>
      <c r="G591" s="84"/>
      <c r="H591" s="139"/>
      <c r="I591" s="84"/>
    </row>
    <row r="592" spans="1:9">
      <c r="A592" s="139"/>
      <c r="B592" s="139"/>
      <c r="C592" s="138"/>
      <c r="D592" s="140"/>
      <c r="E592" s="84"/>
      <c r="F592" s="84"/>
      <c r="G592" s="84"/>
      <c r="H592" s="139"/>
      <c r="I592" s="84"/>
    </row>
    <row r="593" spans="1:9">
      <c r="A593" s="139"/>
      <c r="B593" s="139"/>
      <c r="C593" s="138"/>
      <c r="D593" s="140"/>
      <c r="E593" s="84"/>
      <c r="F593" s="84"/>
      <c r="G593" s="84"/>
      <c r="H593" s="139"/>
      <c r="I593" s="84"/>
    </row>
    <row r="594" spans="1:9">
      <c r="A594" s="139"/>
      <c r="B594" s="139"/>
      <c r="C594" s="138"/>
      <c r="D594" s="140"/>
      <c r="E594" s="84"/>
      <c r="F594" s="84"/>
      <c r="G594" s="84"/>
      <c r="H594" s="139"/>
      <c r="I594" s="84"/>
    </row>
    <row r="595" spans="1:9">
      <c r="A595" s="139"/>
      <c r="B595" s="139"/>
      <c r="C595" s="138"/>
      <c r="D595" s="140"/>
      <c r="E595" s="84"/>
      <c r="F595" s="84"/>
      <c r="G595" s="84"/>
      <c r="H595" s="139"/>
      <c r="I595" s="84"/>
    </row>
    <row r="596" spans="1:9">
      <c r="A596" s="139"/>
      <c r="B596" s="139"/>
      <c r="C596" s="138"/>
      <c r="D596" s="140"/>
      <c r="E596" s="84"/>
      <c r="F596" s="84"/>
      <c r="G596" s="84"/>
      <c r="H596" s="139"/>
      <c r="I596" s="84"/>
    </row>
    <row r="597" spans="1:9">
      <c r="A597" s="139"/>
      <c r="B597" s="139"/>
      <c r="C597" s="138"/>
      <c r="D597" s="140"/>
      <c r="E597" s="84"/>
      <c r="F597" s="84"/>
      <c r="G597" s="84"/>
      <c r="H597" s="139"/>
      <c r="I597" s="84"/>
    </row>
    <row r="598" spans="1:9">
      <c r="A598" s="139"/>
      <c r="B598" s="139"/>
      <c r="C598" s="138"/>
      <c r="D598" s="140"/>
      <c r="E598" s="84"/>
      <c r="F598" s="84"/>
      <c r="G598" s="84"/>
      <c r="H598" s="139"/>
      <c r="I598" s="84"/>
    </row>
    <row r="599" spans="1:9">
      <c r="A599" s="139"/>
      <c r="B599" s="139"/>
      <c r="C599" s="138"/>
      <c r="D599" s="140"/>
      <c r="E599" s="84"/>
      <c r="F599" s="84"/>
      <c r="G599" s="84"/>
      <c r="H599" s="139"/>
      <c r="I599" s="84"/>
    </row>
    <row r="600" spans="1:9">
      <c r="A600" s="139"/>
      <c r="B600" s="139"/>
      <c r="C600" s="138"/>
      <c r="D600" s="140"/>
      <c r="E600" s="84"/>
      <c r="F600" s="84"/>
      <c r="G600" s="84"/>
      <c r="H600" s="139"/>
      <c r="I600" s="84"/>
    </row>
    <row r="601" spans="1:9">
      <c r="A601" s="139"/>
      <c r="B601" s="139"/>
      <c r="C601" s="138"/>
      <c r="D601" s="140"/>
      <c r="E601" s="84"/>
      <c r="F601" s="84"/>
      <c r="G601" s="84"/>
      <c r="H601" s="139"/>
      <c r="I601" s="84"/>
    </row>
    <row r="602" spans="1:9">
      <c r="A602" s="139"/>
      <c r="B602" s="139"/>
      <c r="C602" s="138"/>
      <c r="D602" s="140"/>
      <c r="E602" s="84"/>
      <c r="F602" s="84"/>
      <c r="G602" s="84"/>
      <c r="H602" s="139"/>
      <c r="I602" s="84"/>
    </row>
    <row r="603" spans="1:9">
      <c r="A603" s="139"/>
      <c r="B603" s="139"/>
      <c r="C603" s="138"/>
      <c r="D603" s="140"/>
      <c r="E603" s="84"/>
      <c r="F603" s="84"/>
      <c r="G603" s="84"/>
      <c r="H603" s="139"/>
      <c r="I603" s="84"/>
    </row>
    <row r="604" spans="1:9">
      <c r="A604" s="139"/>
      <c r="B604" s="139"/>
      <c r="C604" s="138"/>
      <c r="D604" s="140"/>
      <c r="E604" s="84"/>
      <c r="F604" s="84"/>
      <c r="G604" s="84"/>
      <c r="H604" s="139"/>
      <c r="I604" s="84"/>
    </row>
    <row r="605" spans="1:9">
      <c r="A605" s="139"/>
      <c r="B605" s="139"/>
      <c r="C605" s="138"/>
      <c r="D605" s="140"/>
      <c r="E605" s="84"/>
      <c r="F605" s="84"/>
      <c r="G605" s="84"/>
      <c r="H605" s="139"/>
      <c r="I605" s="84"/>
    </row>
    <row r="606" spans="1:9">
      <c r="A606" s="139"/>
      <c r="B606" s="139"/>
      <c r="C606" s="138"/>
      <c r="D606" s="140"/>
      <c r="E606" s="84"/>
      <c r="F606" s="84"/>
      <c r="G606" s="84"/>
      <c r="H606" s="139"/>
      <c r="I606" s="84"/>
    </row>
    <row r="607" spans="1:9">
      <c r="A607" s="139"/>
      <c r="B607" s="139"/>
      <c r="C607" s="138"/>
      <c r="D607" s="140"/>
      <c r="E607" s="84"/>
      <c r="F607" s="84"/>
      <c r="G607" s="84"/>
      <c r="H607" s="139"/>
      <c r="I607" s="84"/>
    </row>
    <row r="608" spans="1:9">
      <c r="A608" s="139"/>
      <c r="B608" s="139"/>
      <c r="C608" s="138"/>
      <c r="D608" s="140"/>
      <c r="E608" s="84"/>
      <c r="F608" s="84"/>
      <c r="G608" s="84"/>
      <c r="H608" s="139"/>
      <c r="I608" s="84"/>
    </row>
    <row r="609" spans="1:9">
      <c r="A609" s="139"/>
      <c r="B609" s="139"/>
      <c r="C609" s="138"/>
      <c r="D609" s="140"/>
      <c r="E609" s="84"/>
      <c r="F609" s="84"/>
      <c r="G609" s="84"/>
      <c r="H609" s="139"/>
      <c r="I609" s="84"/>
    </row>
    <row r="610" spans="1:9">
      <c r="A610" s="139"/>
      <c r="B610" s="139"/>
      <c r="C610" s="138"/>
      <c r="D610" s="140"/>
      <c r="E610" s="84"/>
      <c r="F610" s="84"/>
      <c r="G610" s="84"/>
      <c r="H610" s="139"/>
      <c r="I610" s="84"/>
    </row>
    <row r="611" spans="1:9">
      <c r="A611" s="139"/>
      <c r="B611" s="139"/>
      <c r="C611" s="138"/>
      <c r="D611" s="140"/>
      <c r="E611" s="84"/>
      <c r="F611" s="84"/>
      <c r="G611" s="84"/>
      <c r="H611" s="139"/>
      <c r="I611" s="84"/>
    </row>
    <row r="612" spans="1:9">
      <c r="A612" s="139"/>
      <c r="B612" s="139"/>
      <c r="C612" s="138"/>
      <c r="D612" s="140"/>
      <c r="E612" s="84"/>
      <c r="F612" s="84"/>
      <c r="G612" s="84"/>
      <c r="H612" s="139"/>
      <c r="I612" s="84"/>
    </row>
    <row r="613" spans="1:9">
      <c r="A613" s="139"/>
      <c r="B613" s="139"/>
      <c r="C613" s="138"/>
      <c r="D613" s="140"/>
      <c r="E613" s="84"/>
      <c r="F613" s="84"/>
      <c r="G613" s="84"/>
      <c r="H613" s="139"/>
      <c r="I613" s="84"/>
    </row>
    <row r="614" spans="1:9">
      <c r="A614" s="139"/>
      <c r="B614" s="139"/>
      <c r="C614" s="138"/>
      <c r="D614" s="140"/>
      <c r="E614" s="84"/>
      <c r="F614" s="84"/>
      <c r="G614" s="84"/>
      <c r="H614" s="139"/>
      <c r="I614" s="84"/>
    </row>
    <row r="615" spans="1:9">
      <c r="A615" s="139"/>
      <c r="B615" s="139"/>
      <c r="C615" s="138"/>
      <c r="D615" s="140"/>
      <c r="E615" s="84"/>
      <c r="F615" s="84"/>
      <c r="G615" s="84"/>
      <c r="H615" s="139"/>
      <c r="I615" s="84"/>
    </row>
    <row r="616" spans="1:9">
      <c r="A616" s="139"/>
      <c r="B616" s="139"/>
      <c r="C616" s="138"/>
      <c r="D616" s="140"/>
      <c r="E616" s="84"/>
      <c r="F616" s="84"/>
      <c r="G616" s="84"/>
      <c r="H616" s="139"/>
      <c r="I616" s="84"/>
    </row>
    <row r="617" spans="1:9">
      <c r="A617" s="139"/>
      <c r="B617" s="139"/>
      <c r="C617" s="138"/>
      <c r="D617" s="140"/>
      <c r="E617" s="84"/>
      <c r="F617" s="84"/>
      <c r="G617" s="84"/>
      <c r="H617" s="139"/>
      <c r="I617" s="84"/>
    </row>
    <row r="618" spans="1:9">
      <c r="A618" s="139"/>
      <c r="B618" s="139"/>
      <c r="C618" s="138"/>
      <c r="D618" s="140"/>
      <c r="E618" s="84"/>
      <c r="F618" s="84"/>
      <c r="G618" s="84"/>
      <c r="H618" s="139"/>
      <c r="I618" s="84"/>
    </row>
    <row r="619" spans="1:9">
      <c r="A619" s="139"/>
      <c r="B619" s="139"/>
      <c r="C619" s="138"/>
      <c r="D619" s="140"/>
      <c r="E619" s="84"/>
      <c r="F619" s="84"/>
      <c r="G619" s="84"/>
      <c r="H619" s="139"/>
      <c r="I619" s="84"/>
    </row>
    <row r="620" spans="1:9">
      <c r="A620" s="139"/>
      <c r="B620" s="139"/>
      <c r="C620" s="138"/>
      <c r="D620" s="140"/>
      <c r="E620" s="84"/>
      <c r="F620" s="84"/>
      <c r="G620" s="84"/>
      <c r="H620" s="139"/>
      <c r="I620" s="84"/>
    </row>
    <row r="621" spans="1:9">
      <c r="A621" s="139"/>
      <c r="B621" s="139"/>
      <c r="C621" s="138"/>
      <c r="D621" s="140"/>
      <c r="E621" s="84"/>
      <c r="F621" s="84"/>
      <c r="G621" s="84"/>
      <c r="H621" s="139"/>
      <c r="I621" s="84"/>
    </row>
    <row r="622" spans="1:9">
      <c r="A622" s="139"/>
      <c r="B622" s="139"/>
      <c r="C622" s="138"/>
      <c r="D622" s="140"/>
      <c r="E622" s="84"/>
      <c r="F622" s="84"/>
      <c r="G622" s="84"/>
      <c r="H622" s="139"/>
      <c r="I622" s="84"/>
    </row>
    <row r="623" spans="1:9">
      <c r="A623" s="139"/>
      <c r="B623" s="139"/>
      <c r="C623" s="138"/>
      <c r="D623" s="140"/>
      <c r="E623" s="84"/>
      <c r="F623" s="84"/>
      <c r="G623" s="84"/>
      <c r="H623" s="139"/>
      <c r="I623" s="84"/>
    </row>
    <row r="624" spans="1:9">
      <c r="A624" s="139"/>
      <c r="B624" s="139"/>
      <c r="C624" s="138"/>
      <c r="D624" s="140"/>
      <c r="E624" s="84"/>
      <c r="F624" s="84"/>
      <c r="G624" s="84"/>
      <c r="H624" s="139"/>
      <c r="I624" s="84"/>
    </row>
    <row r="625" spans="1:9">
      <c r="A625" s="139"/>
      <c r="B625" s="139"/>
      <c r="C625" s="138"/>
      <c r="D625" s="140"/>
      <c r="E625" s="84"/>
      <c r="F625" s="84"/>
      <c r="G625" s="84"/>
      <c r="H625" s="139"/>
      <c r="I625" s="84"/>
    </row>
    <row r="626" spans="1:9">
      <c r="A626" s="139"/>
      <c r="B626" s="139"/>
      <c r="C626" s="138"/>
      <c r="D626" s="140"/>
      <c r="E626" s="84"/>
      <c r="F626" s="84"/>
      <c r="G626" s="84"/>
      <c r="H626" s="139"/>
      <c r="I626" s="84"/>
    </row>
    <row r="627" spans="1:9">
      <c r="A627" s="139"/>
      <c r="B627" s="139"/>
      <c r="C627" s="138"/>
      <c r="D627" s="140"/>
      <c r="E627" s="84"/>
      <c r="F627" s="84"/>
      <c r="G627" s="84"/>
      <c r="H627" s="139"/>
      <c r="I627" s="84"/>
    </row>
    <row r="628" spans="1:9">
      <c r="A628" s="139"/>
      <c r="B628" s="139"/>
      <c r="C628" s="138"/>
      <c r="D628" s="140"/>
      <c r="E628" s="84"/>
      <c r="F628" s="84"/>
      <c r="G628" s="84"/>
      <c r="H628" s="139"/>
      <c r="I628" s="84"/>
    </row>
    <row r="629" spans="1:9">
      <c r="A629" s="139"/>
      <c r="B629" s="139"/>
      <c r="C629" s="138"/>
      <c r="D629" s="140"/>
      <c r="E629" s="84"/>
      <c r="F629" s="84"/>
      <c r="G629" s="84"/>
      <c r="H629" s="139"/>
      <c r="I629" s="84"/>
    </row>
    <row r="630" spans="1:9">
      <c r="A630" s="139"/>
      <c r="B630" s="139"/>
      <c r="C630" s="138"/>
      <c r="D630" s="140"/>
      <c r="E630" s="84"/>
      <c r="F630" s="84"/>
      <c r="G630" s="84"/>
      <c r="H630" s="139"/>
      <c r="I630" s="84"/>
    </row>
    <row r="631" spans="1:9">
      <c r="A631" s="139"/>
      <c r="B631" s="139"/>
      <c r="C631" s="138"/>
      <c r="D631" s="140"/>
      <c r="E631" s="84"/>
      <c r="F631" s="84"/>
      <c r="G631" s="84"/>
      <c r="H631" s="139"/>
      <c r="I631" s="84"/>
    </row>
    <row r="632" spans="1:9">
      <c r="A632" s="139"/>
      <c r="B632" s="139"/>
      <c r="C632" s="138"/>
      <c r="D632" s="140"/>
      <c r="E632" s="84"/>
      <c r="F632" s="84"/>
      <c r="G632" s="84"/>
      <c r="H632" s="139"/>
      <c r="I632" s="84"/>
    </row>
    <row r="633" spans="1:9">
      <c r="A633" s="139"/>
      <c r="B633" s="139"/>
      <c r="C633" s="138"/>
      <c r="D633" s="140"/>
      <c r="E633" s="84"/>
      <c r="F633" s="84"/>
      <c r="G633" s="84"/>
      <c r="H633" s="139"/>
      <c r="I633" s="84"/>
    </row>
    <row r="634" spans="1:9">
      <c r="A634" s="139"/>
      <c r="B634" s="139"/>
      <c r="C634" s="138"/>
      <c r="D634" s="140"/>
      <c r="E634" s="84"/>
      <c r="F634" s="84"/>
      <c r="G634" s="84"/>
      <c r="H634" s="139"/>
      <c r="I634" s="84"/>
    </row>
    <row r="635" spans="1:9">
      <c r="A635" s="139"/>
      <c r="B635" s="139"/>
      <c r="C635" s="138"/>
      <c r="D635" s="140"/>
      <c r="E635" s="84"/>
      <c r="F635" s="84"/>
      <c r="G635" s="84"/>
      <c r="H635" s="139"/>
      <c r="I635" s="84"/>
    </row>
    <row r="636" spans="1:9">
      <c r="A636" s="139"/>
      <c r="B636" s="139"/>
      <c r="C636" s="138"/>
      <c r="D636" s="140"/>
      <c r="E636" s="84"/>
      <c r="F636" s="84"/>
      <c r="G636" s="84"/>
      <c r="H636" s="139"/>
      <c r="I636" s="84"/>
    </row>
    <row r="637" spans="1:9">
      <c r="A637" s="139"/>
      <c r="B637" s="139"/>
      <c r="C637" s="138"/>
      <c r="D637" s="140"/>
      <c r="E637" s="84"/>
      <c r="F637" s="84"/>
      <c r="G637" s="84"/>
      <c r="H637" s="139"/>
      <c r="I637" s="84"/>
    </row>
    <row r="638" spans="1:9">
      <c r="A638" s="139"/>
      <c r="B638" s="139"/>
      <c r="C638" s="138"/>
      <c r="D638" s="140"/>
      <c r="E638" s="84"/>
      <c r="F638" s="84"/>
      <c r="G638" s="84"/>
      <c r="H638" s="139"/>
      <c r="I638" s="84"/>
    </row>
    <row r="639" spans="1:9">
      <c r="A639" s="139"/>
      <c r="B639" s="139"/>
      <c r="C639" s="138"/>
      <c r="D639" s="140"/>
      <c r="E639" s="84"/>
      <c r="F639" s="84"/>
      <c r="G639" s="84"/>
      <c r="H639" s="139"/>
      <c r="I639" s="84"/>
    </row>
    <row r="640" spans="1:9">
      <c r="A640" s="139"/>
      <c r="B640" s="139"/>
      <c r="C640" s="138"/>
      <c r="D640" s="140"/>
      <c r="E640" s="84"/>
      <c r="F640" s="84"/>
      <c r="G640" s="84"/>
      <c r="H640" s="139"/>
      <c r="I640" s="84"/>
    </row>
    <row r="641" spans="1:9">
      <c r="A641" s="139"/>
      <c r="B641" s="139"/>
      <c r="C641" s="138"/>
      <c r="D641" s="140"/>
      <c r="E641" s="84"/>
      <c r="F641" s="84"/>
      <c r="G641" s="84"/>
      <c r="H641" s="139"/>
      <c r="I641" s="84"/>
    </row>
    <row r="642" spans="1:9">
      <c r="A642" s="139"/>
      <c r="B642" s="139"/>
      <c r="C642" s="138"/>
      <c r="D642" s="140"/>
      <c r="E642" s="84"/>
      <c r="F642" s="84"/>
      <c r="G642" s="84"/>
      <c r="H642" s="139"/>
      <c r="I642" s="84"/>
    </row>
    <row r="643" spans="1:9">
      <c r="A643" s="139"/>
      <c r="B643" s="139"/>
      <c r="C643" s="138"/>
      <c r="D643" s="140"/>
      <c r="E643" s="84"/>
      <c r="F643" s="84"/>
      <c r="G643" s="84"/>
      <c r="H643" s="139"/>
      <c r="I643" s="84"/>
    </row>
    <row r="644" spans="1:9">
      <c r="A644" s="139"/>
      <c r="B644" s="139"/>
      <c r="C644" s="138"/>
      <c r="D644" s="140"/>
      <c r="E644" s="84"/>
      <c r="F644" s="84"/>
      <c r="G644" s="84"/>
      <c r="H644" s="139"/>
      <c r="I644" s="84"/>
    </row>
    <row r="645" spans="1:9">
      <c r="A645" s="139"/>
      <c r="B645" s="139"/>
      <c r="C645" s="138"/>
      <c r="D645" s="140"/>
      <c r="E645" s="84"/>
      <c r="F645" s="84"/>
      <c r="G645" s="84"/>
      <c r="H645" s="139"/>
      <c r="I645" s="84"/>
    </row>
    <row r="646" spans="1:9">
      <c r="A646" s="139"/>
      <c r="B646" s="139"/>
      <c r="C646" s="138"/>
      <c r="D646" s="140"/>
      <c r="E646" s="84"/>
      <c r="F646" s="84"/>
      <c r="G646" s="84"/>
      <c r="H646" s="139"/>
      <c r="I646" s="84"/>
    </row>
    <row r="647" spans="1:9">
      <c r="A647" s="139"/>
      <c r="B647" s="139"/>
      <c r="C647" s="138"/>
      <c r="D647" s="140"/>
      <c r="E647" s="84"/>
      <c r="F647" s="84"/>
      <c r="G647" s="84"/>
      <c r="H647" s="139"/>
      <c r="I647" s="84"/>
    </row>
    <row r="648" spans="1:9">
      <c r="A648" s="139"/>
      <c r="B648" s="139"/>
      <c r="C648" s="138"/>
      <c r="D648" s="140"/>
      <c r="E648" s="84"/>
      <c r="F648" s="84"/>
      <c r="G648" s="84"/>
      <c r="H648" s="139"/>
      <c r="I648" s="84"/>
    </row>
    <row r="649" spans="1:9">
      <c r="A649" s="139"/>
      <c r="B649" s="139"/>
      <c r="C649" s="138"/>
      <c r="D649" s="140"/>
      <c r="E649" s="84"/>
      <c r="F649" s="84"/>
      <c r="G649" s="84"/>
      <c r="H649" s="139"/>
      <c r="I649" s="84"/>
    </row>
    <row r="650" spans="1:9">
      <c r="A650" s="139"/>
      <c r="B650" s="139"/>
      <c r="C650" s="138"/>
      <c r="D650" s="140"/>
      <c r="E650" s="84"/>
      <c r="F650" s="84"/>
      <c r="G650" s="84"/>
      <c r="H650" s="139"/>
      <c r="I650" s="84"/>
    </row>
    <row r="651" spans="1:9">
      <c r="A651" s="139"/>
      <c r="B651" s="139"/>
      <c r="C651" s="138"/>
      <c r="D651" s="140"/>
      <c r="E651" s="84"/>
      <c r="F651" s="84"/>
      <c r="G651" s="84"/>
      <c r="H651" s="139"/>
      <c r="I651" s="84"/>
    </row>
    <row r="652" spans="1:9">
      <c r="A652" s="139"/>
      <c r="B652" s="139"/>
      <c r="C652" s="138"/>
      <c r="D652" s="140"/>
      <c r="E652" s="84"/>
      <c r="F652" s="84"/>
      <c r="G652" s="84"/>
      <c r="H652" s="139"/>
      <c r="I652" s="84"/>
    </row>
    <row r="653" spans="1:9">
      <c r="A653" s="139"/>
      <c r="B653" s="139"/>
      <c r="C653" s="138"/>
      <c r="D653" s="140"/>
      <c r="E653" s="84"/>
      <c r="F653" s="84"/>
      <c r="G653" s="84"/>
      <c r="H653" s="139"/>
      <c r="I653" s="84"/>
    </row>
    <row r="654" spans="1:9">
      <c r="A654" s="139"/>
      <c r="B654" s="139"/>
      <c r="C654" s="138"/>
      <c r="D654" s="140"/>
      <c r="E654" s="84"/>
      <c r="F654" s="84"/>
      <c r="G654" s="84"/>
      <c r="H654" s="139"/>
      <c r="I654" s="84"/>
    </row>
    <row r="655" spans="1:9">
      <c r="A655" s="139"/>
      <c r="B655" s="139"/>
      <c r="C655" s="138"/>
      <c r="D655" s="140"/>
      <c r="E655" s="84"/>
      <c r="F655" s="84"/>
      <c r="G655" s="84"/>
      <c r="H655" s="139"/>
      <c r="I655" s="84"/>
    </row>
    <row r="656" spans="1:9">
      <c r="A656" s="139"/>
      <c r="B656" s="139"/>
      <c r="C656" s="138"/>
      <c r="D656" s="140"/>
      <c r="E656" s="84"/>
      <c r="F656" s="84"/>
      <c r="G656" s="84"/>
      <c r="H656" s="139"/>
      <c r="I656" s="84"/>
    </row>
    <row r="657" spans="1:9">
      <c r="A657" s="139"/>
      <c r="B657" s="139"/>
      <c r="C657" s="138"/>
      <c r="D657" s="140"/>
      <c r="E657" s="84"/>
      <c r="F657" s="84"/>
      <c r="G657" s="84"/>
      <c r="H657" s="139"/>
      <c r="I657" s="84"/>
    </row>
    <row r="658" spans="1:9">
      <c r="A658" s="139"/>
      <c r="B658" s="139"/>
      <c r="C658" s="138"/>
      <c r="D658" s="140"/>
      <c r="E658" s="84"/>
      <c r="F658" s="84"/>
      <c r="G658" s="84"/>
      <c r="H658" s="139"/>
      <c r="I658" s="84"/>
    </row>
    <row r="659" spans="1:9">
      <c r="A659" s="139"/>
      <c r="B659" s="139"/>
      <c r="C659" s="138"/>
      <c r="D659" s="140"/>
      <c r="E659" s="84"/>
      <c r="F659" s="84"/>
      <c r="G659" s="84"/>
      <c r="H659" s="139"/>
      <c r="I659" s="84"/>
    </row>
    <row r="660" spans="1:9">
      <c r="A660" s="139"/>
      <c r="B660" s="139"/>
      <c r="C660" s="138"/>
      <c r="D660" s="140"/>
      <c r="E660" s="84"/>
      <c r="F660" s="84"/>
      <c r="G660" s="84"/>
      <c r="H660" s="139"/>
      <c r="I660" s="84"/>
    </row>
    <row r="661" spans="1:9">
      <c r="A661" s="139"/>
      <c r="B661" s="139"/>
      <c r="C661" s="138"/>
      <c r="D661" s="140"/>
      <c r="E661" s="84"/>
      <c r="F661" s="84"/>
      <c r="G661" s="84"/>
      <c r="H661" s="139"/>
      <c r="I661" s="84"/>
    </row>
    <row r="662" spans="1:9">
      <c r="A662" s="139"/>
      <c r="B662" s="139"/>
      <c r="C662" s="138"/>
      <c r="D662" s="140"/>
      <c r="E662" s="84"/>
      <c r="F662" s="84"/>
      <c r="G662" s="84"/>
      <c r="H662" s="139"/>
      <c r="I662" s="84"/>
    </row>
    <row r="663" spans="1:9">
      <c r="A663" s="139"/>
      <c r="B663" s="139"/>
      <c r="C663" s="138"/>
      <c r="D663" s="140"/>
      <c r="E663" s="84"/>
      <c r="F663" s="84"/>
      <c r="G663" s="84"/>
      <c r="H663" s="139"/>
      <c r="I663" s="84"/>
    </row>
    <row r="664" spans="1:9">
      <c r="A664" s="139"/>
      <c r="B664" s="139"/>
      <c r="C664" s="138"/>
      <c r="D664" s="140"/>
      <c r="E664" s="84"/>
      <c r="F664" s="84"/>
      <c r="G664" s="84"/>
      <c r="H664" s="139"/>
      <c r="I664" s="84"/>
    </row>
    <row r="665" spans="1:9">
      <c r="A665" s="139"/>
      <c r="B665" s="139"/>
      <c r="C665" s="138"/>
      <c r="D665" s="140"/>
      <c r="E665" s="84"/>
      <c r="F665" s="84"/>
      <c r="G665" s="84"/>
      <c r="H665" s="139"/>
      <c r="I665" s="84"/>
    </row>
    <row r="666" spans="1:9">
      <c r="A666" s="139"/>
      <c r="B666" s="139"/>
      <c r="C666" s="138"/>
      <c r="D666" s="140"/>
      <c r="E666" s="84"/>
      <c r="F666" s="84"/>
      <c r="G666" s="84"/>
      <c r="H666" s="139"/>
      <c r="I666" s="84"/>
    </row>
    <row r="667" spans="1:9">
      <c r="A667" s="139"/>
      <c r="B667" s="139"/>
      <c r="C667" s="138"/>
      <c r="D667" s="140"/>
      <c r="E667" s="84"/>
      <c r="F667" s="84"/>
      <c r="G667" s="84"/>
      <c r="H667" s="139"/>
      <c r="I667" s="84"/>
    </row>
    <row r="668" spans="1:9">
      <c r="A668" s="139"/>
      <c r="B668" s="139"/>
      <c r="C668" s="138"/>
      <c r="D668" s="140"/>
      <c r="E668" s="84"/>
      <c r="F668" s="84"/>
      <c r="G668" s="84"/>
      <c r="H668" s="139"/>
      <c r="I668" s="84"/>
    </row>
    <row r="669" spans="1:9">
      <c r="A669" s="139"/>
      <c r="B669" s="139"/>
      <c r="C669" s="138"/>
      <c r="D669" s="140"/>
      <c r="E669" s="84"/>
      <c r="F669" s="84"/>
      <c r="G669" s="84"/>
      <c r="H669" s="139"/>
      <c r="I669" s="84"/>
    </row>
    <row r="670" spans="1:9">
      <c r="A670" s="139"/>
      <c r="B670" s="139"/>
      <c r="C670" s="138"/>
      <c r="D670" s="140"/>
      <c r="E670" s="84"/>
      <c r="F670" s="84"/>
      <c r="G670" s="84"/>
      <c r="H670" s="139"/>
      <c r="I670" s="84"/>
    </row>
    <row r="671" spans="1:9">
      <c r="A671" s="139"/>
      <c r="B671" s="139"/>
      <c r="C671" s="138"/>
      <c r="D671" s="140"/>
      <c r="E671" s="84"/>
      <c r="F671" s="84"/>
      <c r="G671" s="84"/>
      <c r="H671" s="139"/>
      <c r="I671" s="84"/>
    </row>
    <row r="672" spans="1:9">
      <c r="A672" s="139"/>
      <c r="B672" s="139"/>
      <c r="C672" s="138"/>
      <c r="D672" s="140"/>
      <c r="E672" s="84"/>
      <c r="F672" s="84"/>
      <c r="G672" s="84"/>
      <c r="H672" s="139"/>
      <c r="I672" s="84"/>
    </row>
    <row r="673" spans="1:9">
      <c r="A673" s="139"/>
      <c r="B673" s="139"/>
      <c r="C673" s="138"/>
      <c r="D673" s="140"/>
      <c r="E673" s="84"/>
      <c r="F673" s="84"/>
      <c r="G673" s="84"/>
      <c r="H673" s="139"/>
      <c r="I673" s="84"/>
    </row>
    <row r="674" spans="1:9">
      <c r="A674" s="139"/>
      <c r="B674" s="139"/>
      <c r="C674" s="138"/>
      <c r="D674" s="140"/>
      <c r="E674" s="84"/>
      <c r="F674" s="84"/>
      <c r="G674" s="84"/>
      <c r="H674" s="139"/>
      <c r="I674" s="84"/>
    </row>
    <row r="675" spans="1:9">
      <c r="A675" s="139"/>
      <c r="B675" s="139"/>
      <c r="C675" s="138"/>
      <c r="D675" s="140"/>
      <c r="E675" s="84"/>
      <c r="F675" s="84"/>
      <c r="G675" s="84"/>
      <c r="H675" s="139"/>
      <c r="I675" s="84"/>
    </row>
    <row r="676" spans="1:9">
      <c r="A676" s="139"/>
      <c r="B676" s="139"/>
      <c r="C676" s="138"/>
      <c r="D676" s="140"/>
      <c r="E676" s="84"/>
      <c r="F676" s="84"/>
      <c r="G676" s="84"/>
      <c r="H676" s="139"/>
      <c r="I676" s="84"/>
    </row>
    <row r="677" spans="1:9">
      <c r="A677" s="139"/>
      <c r="B677" s="139"/>
      <c r="C677" s="138"/>
      <c r="D677" s="140"/>
      <c r="E677" s="84"/>
      <c r="F677" s="84"/>
      <c r="G677" s="84"/>
      <c r="H677" s="139"/>
      <c r="I677" s="84"/>
    </row>
    <row r="678" spans="1:9">
      <c r="A678" s="139"/>
      <c r="B678" s="139"/>
      <c r="C678" s="138"/>
      <c r="D678" s="140"/>
      <c r="E678" s="84"/>
      <c r="F678" s="84"/>
      <c r="G678" s="84"/>
      <c r="H678" s="139"/>
      <c r="I678" s="84"/>
    </row>
    <row r="679" spans="1:9">
      <c r="A679" s="139"/>
      <c r="B679" s="139"/>
      <c r="C679" s="138"/>
      <c r="D679" s="140"/>
      <c r="E679" s="84"/>
      <c r="F679" s="84"/>
      <c r="G679" s="84"/>
      <c r="H679" s="139"/>
      <c r="I679" s="84"/>
    </row>
    <row r="680" spans="1:9">
      <c r="A680" s="139"/>
      <c r="B680" s="139"/>
      <c r="C680" s="138"/>
      <c r="D680" s="140"/>
      <c r="E680" s="84"/>
      <c r="F680" s="84"/>
      <c r="G680" s="84"/>
      <c r="H680" s="139"/>
      <c r="I680" s="84"/>
    </row>
    <row r="681" spans="1:9">
      <c r="A681" s="139"/>
      <c r="B681" s="139"/>
      <c r="C681" s="138"/>
      <c r="D681" s="140"/>
      <c r="E681" s="84"/>
      <c r="F681" s="84"/>
      <c r="G681" s="84"/>
      <c r="H681" s="139"/>
      <c r="I681" s="84"/>
    </row>
    <row r="682" spans="1:9">
      <c r="A682" s="139"/>
      <c r="B682" s="139"/>
      <c r="C682" s="138"/>
      <c r="D682" s="140"/>
      <c r="E682" s="84"/>
      <c r="F682" s="84"/>
      <c r="G682" s="84"/>
      <c r="H682" s="139"/>
      <c r="I682" s="84"/>
    </row>
    <row r="683" spans="1:9">
      <c r="A683" s="139"/>
      <c r="B683" s="139"/>
      <c r="C683" s="138"/>
      <c r="D683" s="140"/>
      <c r="E683" s="84"/>
      <c r="F683" s="84"/>
      <c r="G683" s="84"/>
      <c r="H683" s="139"/>
      <c r="I683" s="84"/>
    </row>
    <row r="684" spans="1:9">
      <c r="A684" s="139"/>
      <c r="B684" s="139"/>
      <c r="C684" s="138"/>
      <c r="D684" s="140"/>
      <c r="E684" s="84"/>
      <c r="F684" s="84"/>
      <c r="G684" s="84"/>
      <c r="H684" s="139"/>
      <c r="I684" s="84"/>
    </row>
    <row r="685" spans="1:9">
      <c r="A685" s="139"/>
      <c r="B685" s="139"/>
      <c r="C685" s="138"/>
      <c r="D685" s="140"/>
      <c r="E685" s="84"/>
      <c r="F685" s="84"/>
      <c r="G685" s="84"/>
      <c r="H685" s="139"/>
      <c r="I685" s="84"/>
    </row>
    <row r="686" spans="1:9">
      <c r="A686" s="139"/>
      <c r="B686" s="139"/>
      <c r="C686" s="138"/>
      <c r="D686" s="140"/>
      <c r="E686" s="84"/>
      <c r="F686" s="84"/>
      <c r="G686" s="84"/>
      <c r="H686" s="139"/>
      <c r="I686" s="84"/>
    </row>
    <row r="687" spans="1:9">
      <c r="A687" s="139"/>
      <c r="B687" s="139"/>
      <c r="C687" s="138"/>
      <c r="D687" s="140"/>
      <c r="E687" s="84"/>
      <c r="F687" s="84"/>
      <c r="G687" s="84"/>
      <c r="H687" s="139"/>
      <c r="I687" s="84"/>
    </row>
    <row r="688" spans="1:9">
      <c r="A688" s="139"/>
      <c r="B688" s="139"/>
      <c r="C688" s="138"/>
      <c r="D688" s="140"/>
      <c r="E688" s="84"/>
      <c r="F688" s="84"/>
      <c r="G688" s="84"/>
      <c r="H688" s="139"/>
      <c r="I688" s="84"/>
    </row>
    <row r="689" spans="1:9">
      <c r="A689" s="139"/>
      <c r="B689" s="139"/>
      <c r="C689" s="138"/>
      <c r="D689" s="140"/>
      <c r="E689" s="84"/>
      <c r="F689" s="84"/>
      <c r="G689" s="84"/>
      <c r="H689" s="139"/>
      <c r="I689" s="84"/>
    </row>
    <row r="690" spans="1:9">
      <c r="A690" s="139"/>
      <c r="B690" s="139"/>
      <c r="C690" s="138"/>
      <c r="D690" s="140"/>
      <c r="E690" s="84"/>
      <c r="F690" s="84"/>
      <c r="G690" s="84"/>
      <c r="H690" s="139"/>
      <c r="I690" s="84"/>
    </row>
    <row r="691" spans="1:9">
      <c r="A691" s="139"/>
      <c r="B691" s="139"/>
      <c r="C691" s="138"/>
      <c r="D691" s="140"/>
      <c r="E691" s="84"/>
      <c r="F691" s="84"/>
      <c r="G691" s="84"/>
      <c r="H691" s="139"/>
      <c r="I691" s="84"/>
    </row>
    <row r="692" spans="1:9">
      <c r="A692" s="139"/>
      <c r="B692" s="139"/>
      <c r="C692" s="138"/>
      <c r="D692" s="140"/>
      <c r="E692" s="84"/>
      <c r="F692" s="84"/>
      <c r="G692" s="84"/>
      <c r="H692" s="139"/>
      <c r="I692" s="84"/>
    </row>
    <row r="693" spans="1:9">
      <c r="A693" s="139"/>
      <c r="B693" s="139"/>
      <c r="C693" s="138"/>
      <c r="D693" s="140"/>
      <c r="E693" s="84"/>
      <c r="F693" s="84"/>
      <c r="G693" s="84"/>
      <c r="H693" s="139"/>
      <c r="I693" s="84"/>
    </row>
    <row r="694" spans="1:9">
      <c r="A694" s="139"/>
      <c r="B694" s="139"/>
      <c r="C694" s="138"/>
      <c r="D694" s="140"/>
      <c r="E694" s="84"/>
      <c r="F694" s="84"/>
      <c r="G694" s="84"/>
      <c r="H694" s="139"/>
      <c r="I694" s="84"/>
    </row>
    <row r="695" spans="1:9">
      <c r="A695" s="139"/>
      <c r="B695" s="139"/>
      <c r="C695" s="138"/>
      <c r="D695" s="140"/>
      <c r="E695" s="84"/>
      <c r="F695" s="84"/>
      <c r="G695" s="84"/>
      <c r="H695" s="139"/>
      <c r="I695" s="84"/>
    </row>
    <row r="696" spans="1:9">
      <c r="A696" s="139"/>
      <c r="B696" s="139"/>
      <c r="C696" s="138"/>
      <c r="D696" s="140"/>
      <c r="E696" s="84"/>
      <c r="F696" s="84"/>
      <c r="G696" s="84"/>
      <c r="H696" s="139"/>
      <c r="I696" s="84"/>
    </row>
    <row r="697" spans="1:9">
      <c r="A697" s="139"/>
      <c r="B697" s="139"/>
      <c r="C697" s="138"/>
      <c r="D697" s="140"/>
      <c r="E697" s="84"/>
      <c r="F697" s="84"/>
      <c r="G697" s="84"/>
      <c r="H697" s="139"/>
      <c r="I697" s="84"/>
    </row>
    <row r="698" spans="1:9">
      <c r="A698" s="139"/>
      <c r="B698" s="139"/>
      <c r="C698" s="138"/>
      <c r="D698" s="140"/>
      <c r="E698" s="84"/>
      <c r="F698" s="84"/>
      <c r="G698" s="84"/>
      <c r="H698" s="139"/>
      <c r="I698" s="84"/>
    </row>
    <row r="699" spans="1:9">
      <c r="A699" s="139"/>
      <c r="B699" s="139"/>
      <c r="C699" s="138"/>
      <c r="D699" s="140"/>
      <c r="E699" s="84"/>
      <c r="F699" s="84"/>
      <c r="G699" s="84"/>
      <c r="H699" s="139"/>
      <c r="I699" s="84"/>
    </row>
    <row r="700" spans="1:9">
      <c r="A700" s="139"/>
      <c r="B700" s="139"/>
      <c r="C700" s="138"/>
      <c r="D700" s="140"/>
      <c r="E700" s="84"/>
      <c r="F700" s="84"/>
      <c r="G700" s="84"/>
      <c r="H700" s="139"/>
      <c r="I700" s="84"/>
    </row>
    <row r="701" spans="1:9">
      <c r="A701" s="139"/>
      <c r="B701" s="139"/>
      <c r="C701" s="138"/>
      <c r="D701" s="140"/>
      <c r="E701" s="84"/>
      <c r="F701" s="84"/>
      <c r="G701" s="84"/>
      <c r="H701" s="139"/>
      <c r="I701" s="84"/>
    </row>
    <row r="702" spans="1:9">
      <c r="A702" s="139"/>
      <c r="B702" s="139"/>
      <c r="C702" s="138"/>
      <c r="D702" s="140"/>
      <c r="E702" s="84"/>
      <c r="F702" s="84"/>
      <c r="G702" s="84"/>
      <c r="H702" s="139"/>
      <c r="I702" s="84"/>
    </row>
    <row r="703" spans="1:9">
      <c r="A703" s="139"/>
      <c r="B703" s="139"/>
      <c r="C703" s="138"/>
      <c r="D703" s="140"/>
      <c r="E703" s="84"/>
      <c r="F703" s="84"/>
      <c r="G703" s="84"/>
      <c r="H703" s="139"/>
      <c r="I703" s="84"/>
    </row>
    <row r="704" spans="1:9">
      <c r="A704" s="139"/>
      <c r="B704" s="139"/>
      <c r="C704" s="138"/>
      <c r="D704" s="140"/>
      <c r="E704" s="84"/>
      <c r="F704" s="84"/>
      <c r="G704" s="84"/>
      <c r="H704" s="139"/>
      <c r="I704" s="84"/>
    </row>
    <row r="705" spans="1:9">
      <c r="A705" s="139"/>
      <c r="B705" s="139"/>
      <c r="C705" s="138"/>
      <c r="D705" s="140"/>
      <c r="E705" s="84"/>
      <c r="F705" s="84"/>
      <c r="G705" s="84"/>
      <c r="H705" s="139"/>
      <c r="I705" s="84"/>
    </row>
    <row r="706" spans="1:9">
      <c r="A706" s="139"/>
      <c r="B706" s="139"/>
      <c r="C706" s="138"/>
      <c r="D706" s="140"/>
      <c r="E706" s="84"/>
      <c r="F706" s="84"/>
      <c r="G706" s="84"/>
      <c r="H706" s="139"/>
      <c r="I706" s="84"/>
    </row>
    <row r="707" spans="1:9">
      <c r="A707" s="139"/>
      <c r="B707" s="139"/>
      <c r="C707" s="138"/>
      <c r="D707" s="140"/>
      <c r="E707" s="84"/>
      <c r="F707" s="84"/>
      <c r="G707" s="84"/>
      <c r="H707" s="139"/>
      <c r="I707" s="84"/>
    </row>
    <row r="708" spans="1:9">
      <c r="A708" s="139"/>
      <c r="B708" s="139"/>
      <c r="C708" s="138"/>
      <c r="D708" s="140"/>
      <c r="E708" s="84"/>
      <c r="F708" s="84"/>
      <c r="G708" s="84"/>
      <c r="H708" s="139"/>
      <c r="I708" s="84"/>
    </row>
    <row r="709" spans="1:9">
      <c r="A709" s="139"/>
      <c r="B709" s="139"/>
      <c r="C709" s="138"/>
      <c r="D709" s="140"/>
      <c r="E709" s="84"/>
      <c r="F709" s="84"/>
      <c r="G709" s="84"/>
      <c r="H709" s="139"/>
      <c r="I709" s="84"/>
    </row>
    <row r="710" spans="1:9">
      <c r="A710" s="139"/>
      <c r="B710" s="139"/>
      <c r="C710" s="138"/>
      <c r="D710" s="140"/>
      <c r="E710" s="84"/>
      <c r="F710" s="84"/>
      <c r="G710" s="84"/>
      <c r="H710" s="139"/>
      <c r="I710" s="84"/>
    </row>
    <row r="711" spans="1:9">
      <c r="A711" s="139"/>
      <c r="B711" s="139"/>
      <c r="C711" s="138"/>
      <c r="D711" s="140"/>
      <c r="E711" s="84"/>
      <c r="F711" s="84"/>
      <c r="G711" s="84"/>
      <c r="H711" s="139"/>
      <c r="I711" s="84"/>
    </row>
    <row r="712" spans="1:9">
      <c r="A712" s="139"/>
      <c r="B712" s="139"/>
      <c r="C712" s="138"/>
      <c r="D712" s="140"/>
      <c r="E712" s="84"/>
      <c r="F712" s="84"/>
      <c r="G712" s="84"/>
      <c r="H712" s="139"/>
      <c r="I712" s="84"/>
    </row>
    <row r="713" spans="1:9">
      <c r="A713" s="139"/>
      <c r="B713" s="139"/>
      <c r="C713" s="138"/>
      <c r="D713" s="140"/>
      <c r="E713" s="84"/>
      <c r="F713" s="84"/>
      <c r="G713" s="84"/>
      <c r="H713" s="139"/>
      <c r="I713" s="84"/>
    </row>
    <row r="714" spans="1:9">
      <c r="A714" s="139"/>
      <c r="B714" s="139"/>
      <c r="C714" s="138"/>
      <c r="D714" s="140"/>
      <c r="E714" s="84"/>
      <c r="F714" s="84"/>
      <c r="G714" s="84"/>
      <c r="H714" s="139"/>
      <c r="I714" s="84"/>
    </row>
    <row r="715" spans="1:9">
      <c r="A715" s="139"/>
      <c r="B715" s="139"/>
      <c r="C715" s="138"/>
      <c r="D715" s="140"/>
      <c r="E715" s="84"/>
      <c r="F715" s="84"/>
      <c r="G715" s="84"/>
      <c r="H715" s="139"/>
      <c r="I715" s="84"/>
    </row>
    <row r="716" spans="1:9">
      <c r="A716" s="139"/>
      <c r="B716" s="139"/>
      <c r="C716" s="138"/>
      <c r="D716" s="140"/>
      <c r="E716" s="84"/>
      <c r="F716" s="84"/>
      <c r="G716" s="84"/>
      <c r="H716" s="139"/>
      <c r="I716" s="84"/>
    </row>
    <row r="717" spans="1:9">
      <c r="A717" s="139"/>
      <c r="B717" s="139"/>
      <c r="C717" s="138"/>
      <c r="D717" s="140"/>
      <c r="E717" s="84"/>
      <c r="F717" s="84"/>
      <c r="G717" s="84"/>
      <c r="H717" s="139"/>
      <c r="I717" s="84"/>
    </row>
    <row r="718" spans="1:9">
      <c r="A718" s="139"/>
      <c r="B718" s="139"/>
      <c r="C718" s="138"/>
      <c r="D718" s="140"/>
      <c r="E718" s="84"/>
      <c r="F718" s="84"/>
      <c r="G718" s="84"/>
      <c r="H718" s="139"/>
      <c r="I718" s="84"/>
    </row>
    <row r="719" spans="1:9">
      <c r="A719" s="139"/>
      <c r="B719" s="139"/>
      <c r="C719" s="138"/>
      <c r="D719" s="140"/>
      <c r="E719" s="84"/>
      <c r="F719" s="84"/>
      <c r="G719" s="84"/>
      <c r="H719" s="139"/>
      <c r="I719" s="84"/>
    </row>
    <row r="720" spans="1:9">
      <c r="A720" s="139"/>
      <c r="B720" s="139"/>
      <c r="C720" s="138"/>
      <c r="D720" s="140"/>
      <c r="E720" s="84"/>
      <c r="F720" s="84"/>
      <c r="G720" s="84"/>
      <c r="H720" s="139"/>
      <c r="I720" s="84"/>
    </row>
    <row r="721" spans="1:9">
      <c r="A721" s="139"/>
      <c r="B721" s="139"/>
      <c r="C721" s="138"/>
      <c r="D721" s="140"/>
      <c r="E721" s="84"/>
      <c r="F721" s="84"/>
      <c r="G721" s="84"/>
      <c r="H721" s="139"/>
      <c r="I721" s="84"/>
    </row>
    <row r="722" spans="1:9">
      <c r="A722" s="139"/>
      <c r="B722" s="139"/>
      <c r="C722" s="138"/>
      <c r="D722" s="140"/>
      <c r="E722" s="84"/>
      <c r="F722" s="84"/>
      <c r="G722" s="84"/>
      <c r="H722" s="139"/>
      <c r="I722" s="84"/>
    </row>
    <row r="723" spans="1:9">
      <c r="A723" s="139"/>
      <c r="B723" s="139"/>
      <c r="C723" s="138"/>
      <c r="D723" s="140"/>
      <c r="E723" s="84"/>
      <c r="F723" s="84"/>
      <c r="G723" s="84"/>
      <c r="H723" s="139"/>
      <c r="I723" s="84"/>
    </row>
    <row r="724" spans="1:9">
      <c r="A724" s="139"/>
      <c r="B724" s="139"/>
      <c r="C724" s="138"/>
      <c r="D724" s="140"/>
      <c r="E724" s="84"/>
      <c r="F724" s="84"/>
      <c r="G724" s="84"/>
      <c r="H724" s="139"/>
      <c r="I724" s="84"/>
    </row>
    <row r="725" spans="1:9">
      <c r="A725" s="139"/>
      <c r="B725" s="139"/>
      <c r="C725" s="138"/>
      <c r="D725" s="140"/>
      <c r="E725" s="84"/>
      <c r="F725" s="84"/>
      <c r="G725" s="84"/>
      <c r="H725" s="139"/>
      <c r="I725" s="84"/>
    </row>
    <row r="726" spans="1:9">
      <c r="A726" s="139"/>
      <c r="B726" s="139"/>
      <c r="C726" s="138"/>
      <c r="D726" s="140"/>
      <c r="E726" s="84"/>
      <c r="F726" s="84"/>
      <c r="G726" s="84"/>
      <c r="H726" s="139"/>
      <c r="I726" s="84"/>
    </row>
    <row r="727" spans="1:9">
      <c r="A727" s="139"/>
      <c r="B727" s="139"/>
      <c r="C727" s="138"/>
      <c r="D727" s="140"/>
      <c r="E727" s="84"/>
      <c r="F727" s="84"/>
      <c r="G727" s="84"/>
      <c r="H727" s="139"/>
      <c r="I727" s="84"/>
    </row>
    <row r="728" spans="1:9">
      <c r="A728" s="139"/>
      <c r="B728" s="139"/>
      <c r="C728" s="138"/>
      <c r="D728" s="140"/>
      <c r="E728" s="84"/>
      <c r="F728" s="84"/>
      <c r="G728" s="84"/>
      <c r="H728" s="139"/>
      <c r="I728" s="84"/>
    </row>
    <row r="729" spans="1:9">
      <c r="A729" s="139"/>
      <c r="B729" s="139"/>
      <c r="C729" s="138"/>
      <c r="D729" s="140"/>
      <c r="E729" s="84"/>
      <c r="F729" s="84"/>
      <c r="G729" s="84"/>
      <c r="H729" s="139"/>
      <c r="I729" s="84"/>
    </row>
    <row r="730" spans="1:9">
      <c r="A730" s="139"/>
      <c r="B730" s="139"/>
      <c r="C730" s="138"/>
      <c r="D730" s="140"/>
      <c r="E730" s="84"/>
      <c r="F730" s="84"/>
      <c r="G730" s="84"/>
      <c r="H730" s="139"/>
      <c r="I730" s="84"/>
    </row>
    <row r="731" spans="1:9">
      <c r="A731" s="139"/>
      <c r="B731" s="139"/>
      <c r="C731" s="138"/>
      <c r="D731" s="140"/>
      <c r="E731" s="84"/>
      <c r="F731" s="84"/>
      <c r="G731" s="84"/>
      <c r="H731" s="139"/>
      <c r="I731" s="84"/>
    </row>
    <row r="732" spans="1:9">
      <c r="A732" s="139"/>
      <c r="B732" s="139"/>
      <c r="C732" s="138"/>
      <c r="D732" s="140"/>
      <c r="E732" s="84"/>
      <c r="F732" s="84"/>
      <c r="G732" s="84"/>
      <c r="H732" s="139"/>
      <c r="I732" s="84"/>
    </row>
    <row r="733" spans="1:9">
      <c r="A733" s="139"/>
      <c r="B733" s="139"/>
      <c r="C733" s="138"/>
      <c r="D733" s="140"/>
      <c r="E733" s="84"/>
      <c r="F733" s="84"/>
      <c r="G733" s="84"/>
      <c r="H733" s="139"/>
      <c r="I733" s="84"/>
    </row>
    <row r="734" spans="1:9">
      <c r="A734" s="139"/>
      <c r="B734" s="139"/>
      <c r="C734" s="138"/>
      <c r="D734" s="140"/>
      <c r="E734" s="84"/>
      <c r="F734" s="84"/>
      <c r="G734" s="84"/>
      <c r="H734" s="139"/>
      <c r="I734" s="84"/>
    </row>
    <row r="735" spans="1:9">
      <c r="A735" s="139"/>
      <c r="B735" s="139"/>
      <c r="C735" s="138"/>
      <c r="D735" s="140"/>
      <c r="E735" s="84"/>
      <c r="F735" s="84"/>
      <c r="G735" s="84"/>
      <c r="H735" s="139"/>
      <c r="I735" s="84"/>
    </row>
    <row r="736" spans="1:9">
      <c r="A736" s="139"/>
      <c r="B736" s="139"/>
      <c r="C736" s="138"/>
      <c r="D736" s="140"/>
      <c r="E736" s="84"/>
      <c r="F736" s="84"/>
      <c r="G736" s="84"/>
      <c r="H736" s="139"/>
      <c r="I736" s="84"/>
    </row>
    <row r="737" spans="1:9">
      <c r="A737" s="139"/>
      <c r="B737" s="139"/>
      <c r="C737" s="138"/>
      <c r="D737" s="140"/>
      <c r="E737" s="84"/>
      <c r="F737" s="84"/>
      <c r="G737" s="84"/>
      <c r="H737" s="139"/>
      <c r="I737" s="84"/>
    </row>
    <row r="738" spans="1:9">
      <c r="A738" s="139"/>
      <c r="B738" s="139"/>
      <c r="C738" s="138"/>
      <c r="D738" s="140"/>
      <c r="E738" s="84"/>
      <c r="F738" s="84"/>
      <c r="G738" s="84"/>
      <c r="H738" s="139"/>
      <c r="I738" s="84"/>
    </row>
    <row r="739" spans="1:9">
      <c r="A739" s="139"/>
      <c r="B739" s="139"/>
      <c r="C739" s="138"/>
      <c r="D739" s="140"/>
      <c r="E739" s="84"/>
      <c r="F739" s="84"/>
      <c r="G739" s="84"/>
      <c r="H739" s="139"/>
      <c r="I739" s="84"/>
    </row>
    <row r="740" spans="1:9">
      <c r="A740" s="139"/>
      <c r="B740" s="139"/>
      <c r="C740" s="138"/>
      <c r="D740" s="140"/>
      <c r="E740" s="84"/>
      <c r="F740" s="84"/>
      <c r="G740" s="84"/>
      <c r="H740" s="139"/>
      <c r="I740" s="84"/>
    </row>
    <row r="741" spans="1:9">
      <c r="A741" s="139"/>
      <c r="B741" s="139"/>
      <c r="C741" s="138"/>
      <c r="D741" s="140"/>
      <c r="E741" s="84"/>
      <c r="F741" s="84"/>
      <c r="G741" s="84"/>
      <c r="H741" s="139"/>
      <c r="I741" s="84"/>
    </row>
    <row r="742" spans="1:9">
      <c r="A742" s="139"/>
      <c r="B742" s="139"/>
      <c r="C742" s="138"/>
      <c r="D742" s="140"/>
      <c r="E742" s="84"/>
      <c r="F742" s="84"/>
      <c r="G742" s="84"/>
      <c r="H742" s="139"/>
      <c r="I742" s="84"/>
    </row>
    <row r="743" spans="1:9">
      <c r="A743" s="139"/>
      <c r="B743" s="139"/>
      <c r="C743" s="138"/>
      <c r="D743" s="140"/>
      <c r="E743" s="84"/>
      <c r="F743" s="84"/>
      <c r="G743" s="84"/>
      <c r="H743" s="139"/>
      <c r="I743" s="84"/>
    </row>
    <row r="744" spans="1:9">
      <c r="A744" s="139"/>
      <c r="B744" s="139"/>
      <c r="C744" s="138"/>
      <c r="D744" s="140"/>
      <c r="E744" s="84"/>
      <c r="F744" s="84"/>
      <c r="G744" s="84"/>
      <c r="H744" s="139"/>
      <c r="I744" s="84"/>
    </row>
    <row r="745" spans="1:9">
      <c r="A745" s="139"/>
      <c r="B745" s="139"/>
      <c r="C745" s="138"/>
      <c r="D745" s="140"/>
      <c r="E745" s="84"/>
      <c r="F745" s="84"/>
      <c r="G745" s="84"/>
      <c r="H745" s="139"/>
      <c r="I745" s="84"/>
    </row>
    <row r="746" spans="1:9">
      <c r="A746" s="139"/>
      <c r="B746" s="139"/>
      <c r="C746" s="138"/>
      <c r="D746" s="140"/>
      <c r="E746" s="84"/>
      <c r="F746" s="84"/>
      <c r="G746" s="84"/>
      <c r="H746" s="139"/>
      <c r="I746" s="84"/>
    </row>
    <row r="747" spans="1:9">
      <c r="A747" s="139"/>
      <c r="B747" s="139"/>
      <c r="C747" s="138"/>
      <c r="D747" s="140"/>
      <c r="E747" s="84"/>
      <c r="F747" s="84"/>
      <c r="G747" s="84"/>
      <c r="H747" s="139"/>
      <c r="I747" s="84"/>
    </row>
    <row r="748" spans="1:9">
      <c r="A748" s="139"/>
      <c r="B748" s="139"/>
      <c r="C748" s="138"/>
      <c r="D748" s="140"/>
      <c r="E748" s="84"/>
      <c r="F748" s="84"/>
      <c r="G748" s="84"/>
      <c r="H748" s="139"/>
      <c r="I748" s="84"/>
    </row>
    <row r="749" spans="1:9">
      <c r="A749" s="139"/>
      <c r="B749" s="139"/>
      <c r="C749" s="138"/>
      <c r="D749" s="140"/>
      <c r="E749" s="84"/>
      <c r="F749" s="84"/>
      <c r="G749" s="84"/>
      <c r="H749" s="139"/>
      <c r="I749" s="84"/>
    </row>
    <row r="750" spans="1:9">
      <c r="A750" s="139"/>
      <c r="B750" s="139"/>
      <c r="C750" s="138"/>
      <c r="D750" s="140"/>
      <c r="E750" s="84"/>
      <c r="F750" s="84"/>
      <c r="G750" s="84"/>
      <c r="H750" s="139"/>
      <c r="I750" s="84"/>
    </row>
    <row r="751" spans="1:9">
      <c r="A751" s="139"/>
      <c r="B751" s="139"/>
      <c r="C751" s="138"/>
      <c r="D751" s="140"/>
      <c r="E751" s="84"/>
      <c r="F751" s="84"/>
      <c r="G751" s="84"/>
      <c r="H751" s="139"/>
      <c r="I751" s="84"/>
    </row>
    <row r="752" spans="1:9">
      <c r="A752" s="139"/>
      <c r="B752" s="139"/>
      <c r="C752" s="138"/>
      <c r="D752" s="140"/>
      <c r="E752" s="84"/>
      <c r="F752" s="84"/>
      <c r="G752" s="84"/>
      <c r="H752" s="139"/>
      <c r="I752" s="84"/>
    </row>
    <row r="753" spans="1:9">
      <c r="A753" s="139"/>
      <c r="B753" s="139"/>
      <c r="C753" s="138"/>
      <c r="D753" s="140"/>
      <c r="E753" s="84"/>
      <c r="F753" s="84"/>
      <c r="G753" s="84"/>
      <c r="H753" s="139"/>
      <c r="I753" s="84"/>
    </row>
    <row r="754" spans="1:9">
      <c r="A754" s="139"/>
      <c r="B754" s="139"/>
      <c r="C754" s="138"/>
      <c r="D754" s="140"/>
      <c r="E754" s="84"/>
      <c r="F754" s="84"/>
      <c r="G754" s="84"/>
      <c r="H754" s="139"/>
      <c r="I754" s="84"/>
    </row>
    <row r="755" spans="1:9">
      <c r="A755" s="139"/>
      <c r="B755" s="139"/>
      <c r="C755" s="138"/>
      <c r="D755" s="140"/>
      <c r="E755" s="84"/>
      <c r="F755" s="84"/>
      <c r="G755" s="84"/>
      <c r="H755" s="139"/>
      <c r="I755" s="84"/>
    </row>
    <row r="756" spans="1:9">
      <c r="A756" s="139"/>
      <c r="B756" s="139"/>
      <c r="C756" s="138"/>
      <c r="D756" s="140"/>
      <c r="E756" s="84"/>
      <c r="F756" s="84"/>
      <c r="G756" s="84"/>
      <c r="H756" s="139"/>
      <c r="I756" s="84"/>
    </row>
    <row r="757" spans="1:9">
      <c r="A757" s="139"/>
      <c r="B757" s="139"/>
      <c r="C757" s="138"/>
      <c r="D757" s="140"/>
      <c r="E757" s="84"/>
      <c r="F757" s="84"/>
      <c r="G757" s="84"/>
      <c r="H757" s="139"/>
      <c r="I757" s="84"/>
    </row>
    <row r="758" spans="1:9">
      <c r="A758" s="139"/>
      <c r="B758" s="139"/>
      <c r="C758" s="138"/>
      <c r="D758" s="140"/>
      <c r="E758" s="84"/>
      <c r="F758" s="84"/>
      <c r="G758" s="84"/>
      <c r="H758" s="139"/>
      <c r="I758" s="84"/>
    </row>
    <row r="759" spans="1:9">
      <c r="A759" s="139"/>
      <c r="B759" s="139"/>
      <c r="C759" s="138"/>
      <c r="D759" s="140"/>
      <c r="E759" s="84"/>
      <c r="F759" s="84"/>
      <c r="G759" s="84"/>
      <c r="H759" s="139"/>
      <c r="I759" s="84"/>
    </row>
    <row r="760" spans="1:9">
      <c r="A760" s="139"/>
      <c r="B760" s="139"/>
      <c r="C760" s="138"/>
      <c r="D760" s="140"/>
      <c r="E760" s="84"/>
      <c r="F760" s="84"/>
      <c r="G760" s="84"/>
      <c r="H760" s="139"/>
      <c r="I760" s="84"/>
    </row>
    <row r="761" spans="1:9">
      <c r="A761" s="139"/>
      <c r="B761" s="139"/>
      <c r="C761" s="138"/>
      <c r="D761" s="140"/>
      <c r="E761" s="84"/>
      <c r="F761" s="84"/>
      <c r="G761" s="84"/>
      <c r="H761" s="139"/>
      <c r="I761" s="84"/>
    </row>
    <row r="762" spans="1:9">
      <c r="A762" s="139"/>
      <c r="B762" s="139"/>
      <c r="C762" s="138"/>
      <c r="D762" s="140"/>
      <c r="E762" s="84"/>
      <c r="F762" s="84"/>
      <c r="G762" s="84"/>
      <c r="H762" s="139"/>
      <c r="I762" s="84"/>
    </row>
    <row r="763" spans="1:9">
      <c r="A763" s="139"/>
      <c r="B763" s="139"/>
      <c r="C763" s="138"/>
      <c r="D763" s="140"/>
      <c r="E763" s="84"/>
      <c r="F763" s="84"/>
      <c r="G763" s="84"/>
      <c r="H763" s="139"/>
      <c r="I763" s="84"/>
    </row>
    <row r="764" spans="1:9">
      <c r="A764" s="139"/>
      <c r="B764" s="139"/>
      <c r="C764" s="138"/>
      <c r="D764" s="140"/>
      <c r="E764" s="84"/>
      <c r="F764" s="84"/>
      <c r="G764" s="84"/>
      <c r="H764" s="139"/>
      <c r="I764" s="84"/>
    </row>
    <row r="765" spans="1:9">
      <c r="A765" s="139"/>
      <c r="B765" s="139"/>
      <c r="C765" s="138"/>
      <c r="D765" s="140"/>
      <c r="E765" s="84"/>
      <c r="F765" s="84"/>
      <c r="G765" s="84"/>
      <c r="H765" s="139"/>
      <c r="I765" s="84"/>
    </row>
    <row r="766" spans="1:9">
      <c r="A766" s="139"/>
      <c r="B766" s="139"/>
      <c r="C766" s="138"/>
      <c r="D766" s="140"/>
      <c r="E766" s="84"/>
      <c r="F766" s="84"/>
      <c r="G766" s="84"/>
      <c r="H766" s="139"/>
      <c r="I766" s="84"/>
    </row>
    <row r="767" spans="1:9">
      <c r="A767" s="139"/>
      <c r="B767" s="139"/>
      <c r="C767" s="138"/>
      <c r="D767" s="140"/>
      <c r="E767" s="84"/>
      <c r="F767" s="84"/>
      <c r="G767" s="84"/>
      <c r="H767" s="139"/>
      <c r="I767" s="84"/>
    </row>
    <row r="768" spans="1:9">
      <c r="A768" s="139"/>
      <c r="B768" s="139"/>
      <c r="C768" s="138"/>
      <c r="D768" s="140"/>
      <c r="E768" s="84"/>
      <c r="F768" s="84"/>
      <c r="G768" s="84"/>
      <c r="H768" s="139"/>
      <c r="I768" s="84"/>
    </row>
    <row r="769" spans="1:9">
      <c r="A769" s="139"/>
      <c r="B769" s="139"/>
      <c r="C769" s="138"/>
      <c r="D769" s="140"/>
      <c r="E769" s="84"/>
      <c r="F769" s="84"/>
      <c r="G769" s="84"/>
      <c r="H769" s="139"/>
      <c r="I769" s="84"/>
    </row>
    <row r="770" spans="1:9">
      <c r="A770" s="139"/>
      <c r="B770" s="139"/>
      <c r="C770" s="138"/>
      <c r="D770" s="140"/>
      <c r="E770" s="84"/>
      <c r="F770" s="84"/>
      <c r="G770" s="84"/>
      <c r="H770" s="139"/>
      <c r="I770" s="84"/>
    </row>
    <row r="771" spans="1:9">
      <c r="A771" s="139"/>
      <c r="B771" s="139"/>
      <c r="C771" s="138"/>
      <c r="D771" s="140"/>
      <c r="E771" s="84"/>
      <c r="F771" s="84"/>
      <c r="G771" s="84"/>
      <c r="H771" s="139"/>
      <c r="I771" s="84"/>
    </row>
    <row r="772" spans="1:9">
      <c r="A772" s="139"/>
      <c r="B772" s="139"/>
      <c r="C772" s="138"/>
      <c r="D772" s="140"/>
      <c r="E772" s="84"/>
      <c r="F772" s="84"/>
      <c r="G772" s="84"/>
      <c r="H772" s="139"/>
      <c r="I772" s="84"/>
    </row>
    <row r="773" spans="1:9">
      <c r="A773" s="139"/>
      <c r="B773" s="139"/>
      <c r="C773" s="138"/>
      <c r="D773" s="140"/>
      <c r="E773" s="84"/>
      <c r="F773" s="84"/>
      <c r="G773" s="84"/>
      <c r="H773" s="139"/>
      <c r="I773" s="84"/>
    </row>
    <row r="774" spans="1:9">
      <c r="A774" s="139"/>
      <c r="B774" s="139"/>
      <c r="C774" s="138"/>
      <c r="D774" s="140"/>
      <c r="E774" s="84"/>
      <c r="F774" s="84"/>
      <c r="G774" s="84"/>
      <c r="H774" s="139"/>
      <c r="I774" s="84"/>
    </row>
    <row r="775" spans="1:9">
      <c r="A775" s="139"/>
      <c r="B775" s="139"/>
      <c r="C775" s="138"/>
      <c r="D775" s="140"/>
      <c r="E775" s="84"/>
      <c r="F775" s="84"/>
      <c r="G775" s="84"/>
      <c r="H775" s="139"/>
      <c r="I775" s="84"/>
    </row>
    <row r="776" spans="1:9">
      <c r="A776" s="139"/>
      <c r="B776" s="139"/>
      <c r="C776" s="138"/>
      <c r="D776" s="140"/>
      <c r="E776" s="84"/>
      <c r="F776" s="84"/>
      <c r="G776" s="84"/>
      <c r="H776" s="139"/>
      <c r="I776" s="84"/>
    </row>
    <row r="777" spans="1:9">
      <c r="A777" s="139"/>
      <c r="B777" s="139"/>
      <c r="C777" s="138"/>
      <c r="D777" s="140"/>
      <c r="E777" s="84"/>
      <c r="F777" s="84"/>
      <c r="G777" s="84"/>
      <c r="H777" s="139"/>
      <c r="I777" s="84"/>
    </row>
    <row r="778" spans="1:9">
      <c r="A778" s="139"/>
      <c r="B778" s="139"/>
      <c r="C778" s="138"/>
      <c r="D778" s="140"/>
      <c r="E778" s="84"/>
      <c r="F778" s="84"/>
      <c r="G778" s="84"/>
      <c r="H778" s="139"/>
      <c r="I778" s="84"/>
    </row>
    <row r="779" spans="1:9">
      <c r="A779" s="139"/>
      <c r="B779" s="139"/>
      <c r="C779" s="138"/>
      <c r="D779" s="140"/>
      <c r="E779" s="84"/>
      <c r="F779" s="84"/>
      <c r="G779" s="84"/>
      <c r="H779" s="139"/>
      <c r="I779" s="84"/>
    </row>
    <row r="780" spans="1:9">
      <c r="A780" s="139"/>
      <c r="B780" s="139"/>
      <c r="C780" s="138"/>
      <c r="D780" s="140"/>
      <c r="E780" s="84"/>
      <c r="F780" s="84"/>
      <c r="G780" s="84"/>
      <c r="H780" s="139"/>
      <c r="I780" s="84"/>
    </row>
    <row r="781" spans="1:9">
      <c r="A781" s="139"/>
      <c r="B781" s="139"/>
      <c r="C781" s="138"/>
      <c r="D781" s="140"/>
      <c r="E781" s="84"/>
      <c r="F781" s="84"/>
      <c r="G781" s="84"/>
      <c r="H781" s="139"/>
      <c r="I781" s="84"/>
    </row>
    <row r="782" spans="1:9">
      <c r="A782" s="139"/>
      <c r="B782" s="139"/>
      <c r="C782" s="138"/>
      <c r="D782" s="140"/>
      <c r="E782" s="84"/>
      <c r="F782" s="84"/>
      <c r="G782" s="84"/>
      <c r="H782" s="139"/>
      <c r="I782" s="84"/>
    </row>
    <row r="783" spans="1:9">
      <c r="A783" s="139"/>
      <c r="B783" s="139"/>
      <c r="C783" s="138"/>
      <c r="D783" s="140"/>
      <c r="E783" s="84"/>
      <c r="F783" s="84"/>
      <c r="G783" s="84"/>
      <c r="H783" s="139"/>
      <c r="I783" s="84"/>
    </row>
    <row r="784" spans="1:9">
      <c r="A784" s="139"/>
      <c r="B784" s="139"/>
      <c r="C784" s="138"/>
      <c r="D784" s="140"/>
      <c r="E784" s="84"/>
      <c r="F784" s="84"/>
      <c r="G784" s="84"/>
      <c r="H784" s="139"/>
      <c r="I784" s="84"/>
    </row>
    <row r="785" spans="1:9">
      <c r="A785" s="139"/>
      <c r="B785" s="139"/>
      <c r="C785" s="138"/>
      <c r="D785" s="140"/>
      <c r="E785" s="84"/>
      <c r="F785" s="84"/>
      <c r="G785" s="84"/>
      <c r="H785" s="139"/>
      <c r="I785" s="84"/>
    </row>
    <row r="786" spans="1:9">
      <c r="A786" s="139"/>
      <c r="B786" s="139"/>
      <c r="C786" s="138"/>
      <c r="D786" s="140"/>
      <c r="E786" s="84"/>
      <c r="F786" s="84"/>
      <c r="G786" s="84"/>
      <c r="H786" s="139"/>
      <c r="I786" s="84"/>
    </row>
    <row r="787" spans="1:9">
      <c r="A787" s="139"/>
      <c r="B787" s="139"/>
      <c r="C787" s="138"/>
      <c r="D787" s="140"/>
      <c r="E787" s="84"/>
      <c r="F787" s="84"/>
      <c r="G787" s="84"/>
      <c r="H787" s="139"/>
      <c r="I787" s="84"/>
    </row>
    <row r="788" spans="1:9">
      <c r="A788" s="139"/>
      <c r="B788" s="139"/>
      <c r="C788" s="138"/>
      <c r="D788" s="140"/>
      <c r="E788" s="84"/>
      <c r="F788" s="84"/>
      <c r="G788" s="84"/>
      <c r="H788" s="139"/>
      <c r="I788" s="84"/>
    </row>
    <row r="789" spans="1:9">
      <c r="A789" s="139"/>
      <c r="B789" s="139"/>
      <c r="C789" s="138"/>
      <c r="D789" s="140"/>
      <c r="E789" s="84"/>
      <c r="F789" s="84"/>
      <c r="G789" s="84"/>
      <c r="H789" s="139"/>
      <c r="I789" s="84"/>
    </row>
    <row r="790" spans="1:9">
      <c r="A790" s="139"/>
      <c r="B790" s="139"/>
      <c r="C790" s="138"/>
      <c r="D790" s="140"/>
      <c r="E790" s="84"/>
      <c r="F790" s="84"/>
      <c r="G790" s="84"/>
      <c r="H790" s="139"/>
      <c r="I790" s="84"/>
    </row>
    <row r="791" spans="1:9">
      <c r="A791" s="139"/>
      <c r="B791" s="139"/>
      <c r="C791" s="138"/>
      <c r="D791" s="140"/>
      <c r="E791" s="84"/>
      <c r="F791" s="84"/>
      <c r="G791" s="84"/>
      <c r="H791" s="139"/>
      <c r="I791" s="84"/>
    </row>
    <row r="792" spans="1:9">
      <c r="A792" s="139"/>
      <c r="B792" s="139"/>
      <c r="C792" s="138"/>
      <c r="D792" s="140"/>
      <c r="E792" s="84"/>
      <c r="F792" s="84"/>
      <c r="G792" s="84"/>
      <c r="H792" s="139"/>
      <c r="I792" s="84"/>
    </row>
    <row r="793" spans="1:9">
      <c r="A793" s="139"/>
      <c r="B793" s="139"/>
      <c r="C793" s="138"/>
      <c r="D793" s="140"/>
      <c r="E793" s="84"/>
      <c r="F793" s="84"/>
      <c r="G793" s="84"/>
      <c r="H793" s="139"/>
      <c r="I793" s="84"/>
    </row>
    <row r="794" spans="1:9">
      <c r="A794" s="139"/>
      <c r="B794" s="139"/>
      <c r="C794" s="138"/>
      <c r="D794" s="140"/>
      <c r="E794" s="84"/>
      <c r="F794" s="84"/>
      <c r="G794" s="84"/>
      <c r="H794" s="139"/>
      <c r="I794" s="84"/>
    </row>
    <row r="795" spans="1:9">
      <c r="A795" s="139"/>
      <c r="B795" s="139"/>
      <c r="C795" s="138"/>
      <c r="D795" s="140"/>
      <c r="E795" s="84"/>
      <c r="F795" s="84"/>
      <c r="G795" s="84"/>
      <c r="H795" s="139"/>
      <c r="I795" s="84"/>
    </row>
    <row r="796" spans="1:9">
      <c r="A796" s="139"/>
      <c r="B796" s="139"/>
      <c r="C796" s="138"/>
      <c r="D796" s="140"/>
      <c r="E796" s="84"/>
      <c r="F796" s="84"/>
      <c r="G796" s="84"/>
      <c r="H796" s="139"/>
      <c r="I796" s="84"/>
    </row>
    <row r="797" spans="1:9">
      <c r="A797" s="139"/>
      <c r="B797" s="139"/>
      <c r="C797" s="138"/>
      <c r="D797" s="140"/>
      <c r="E797" s="84"/>
      <c r="F797" s="84"/>
      <c r="G797" s="84"/>
      <c r="H797" s="139"/>
      <c r="I797" s="84"/>
    </row>
    <row r="798" spans="1:9">
      <c r="A798" s="139"/>
      <c r="B798" s="139"/>
      <c r="C798" s="138"/>
      <c r="D798" s="140"/>
      <c r="E798" s="84"/>
      <c r="F798" s="84"/>
      <c r="G798" s="84"/>
      <c r="H798" s="139"/>
      <c r="I798" s="84"/>
    </row>
    <row r="799" spans="1:9">
      <c r="A799" s="139"/>
      <c r="B799" s="139"/>
      <c r="C799" s="138"/>
      <c r="D799" s="140"/>
      <c r="E799" s="84"/>
      <c r="F799" s="84"/>
      <c r="G799" s="84"/>
      <c r="H799" s="139"/>
      <c r="I799" s="84"/>
    </row>
    <row r="800" spans="1:9">
      <c r="A800" s="139"/>
      <c r="B800" s="139"/>
      <c r="C800" s="138"/>
      <c r="D800" s="140"/>
      <c r="E800" s="84"/>
      <c r="F800" s="84"/>
      <c r="G800" s="84"/>
      <c r="H800" s="139"/>
      <c r="I800" s="84"/>
    </row>
    <row r="801" spans="1:9">
      <c r="A801" s="139"/>
      <c r="B801" s="139"/>
      <c r="C801" s="138"/>
      <c r="D801" s="140"/>
      <c r="E801" s="84"/>
      <c r="F801" s="84"/>
      <c r="G801" s="84"/>
      <c r="H801" s="139"/>
      <c r="I801" s="84"/>
    </row>
    <row r="802" spans="1:9">
      <c r="A802" s="139"/>
      <c r="B802" s="139"/>
      <c r="C802" s="138"/>
      <c r="D802" s="140"/>
      <c r="E802" s="84"/>
      <c r="F802" s="84"/>
      <c r="G802" s="84"/>
      <c r="H802" s="139"/>
      <c r="I802" s="84"/>
    </row>
    <row r="803" spans="1:9">
      <c r="A803" s="139"/>
      <c r="B803" s="139"/>
      <c r="C803" s="138"/>
      <c r="D803" s="140"/>
      <c r="E803" s="84"/>
      <c r="F803" s="84"/>
      <c r="G803" s="84"/>
      <c r="H803" s="139"/>
      <c r="I803" s="84"/>
    </row>
    <row r="804" spans="1:9">
      <c r="A804" s="139"/>
      <c r="B804" s="139"/>
      <c r="C804" s="138"/>
      <c r="D804" s="140"/>
      <c r="E804" s="84"/>
      <c r="F804" s="84"/>
      <c r="G804" s="84"/>
      <c r="H804" s="139"/>
      <c r="I804" s="84"/>
    </row>
    <row r="805" spans="1:9">
      <c r="A805" s="139"/>
      <c r="B805" s="139"/>
      <c r="C805" s="138"/>
      <c r="D805" s="140"/>
      <c r="E805" s="84"/>
      <c r="F805" s="84"/>
      <c r="G805" s="84"/>
      <c r="H805" s="139"/>
      <c r="I805" s="84"/>
    </row>
    <row r="806" spans="1:9">
      <c r="A806" s="139"/>
      <c r="B806" s="139"/>
      <c r="C806" s="138"/>
      <c r="D806" s="140"/>
      <c r="E806" s="84"/>
      <c r="F806" s="84"/>
      <c r="G806" s="84"/>
      <c r="H806" s="139"/>
      <c r="I806" s="84"/>
    </row>
    <row r="807" spans="1:9">
      <c r="A807" s="139"/>
      <c r="B807" s="139"/>
      <c r="C807" s="138"/>
      <c r="D807" s="140"/>
      <c r="E807" s="84"/>
      <c r="F807" s="84"/>
      <c r="G807" s="84"/>
      <c r="H807" s="139"/>
      <c r="I807" s="84"/>
    </row>
    <row r="808" spans="1:9">
      <c r="A808" s="139"/>
      <c r="B808" s="139"/>
      <c r="C808" s="138"/>
      <c r="D808" s="140"/>
      <c r="E808" s="84"/>
      <c r="F808" s="84"/>
      <c r="G808" s="84"/>
      <c r="H808" s="139"/>
      <c r="I808" s="84"/>
    </row>
    <row r="809" spans="1:9">
      <c r="A809" s="139"/>
      <c r="B809" s="139"/>
      <c r="C809" s="138"/>
      <c r="D809" s="140"/>
      <c r="E809" s="84"/>
      <c r="F809" s="84"/>
      <c r="G809" s="84"/>
      <c r="H809" s="139"/>
      <c r="I809" s="84"/>
    </row>
    <row r="810" spans="1:9">
      <c r="A810" s="139"/>
      <c r="B810" s="139"/>
      <c r="C810" s="138"/>
      <c r="D810" s="140"/>
      <c r="E810" s="84"/>
      <c r="F810" s="84"/>
      <c r="G810" s="84"/>
      <c r="H810" s="139"/>
      <c r="I810" s="84"/>
    </row>
    <row r="811" spans="1:9">
      <c r="A811" s="139"/>
      <c r="B811" s="139"/>
      <c r="C811" s="138"/>
      <c r="D811" s="140"/>
      <c r="E811" s="84"/>
      <c r="F811" s="84"/>
      <c r="G811" s="84"/>
      <c r="H811" s="139"/>
      <c r="I811" s="84"/>
    </row>
    <row r="812" spans="1:9">
      <c r="A812" s="139"/>
      <c r="B812" s="139"/>
      <c r="C812" s="138"/>
      <c r="D812" s="140"/>
      <c r="E812" s="84"/>
      <c r="F812" s="84"/>
      <c r="G812" s="84"/>
      <c r="H812" s="139"/>
      <c r="I812" s="84"/>
    </row>
    <row r="813" spans="1:9">
      <c r="A813" s="139"/>
      <c r="B813" s="139"/>
      <c r="C813" s="138"/>
      <c r="D813" s="140"/>
      <c r="E813" s="84"/>
      <c r="F813" s="84"/>
      <c r="G813" s="84"/>
      <c r="H813" s="139"/>
      <c r="I813" s="84"/>
    </row>
    <row r="814" spans="1:9">
      <c r="A814" s="139"/>
      <c r="B814" s="139"/>
      <c r="C814" s="138"/>
      <c r="D814" s="140"/>
      <c r="E814" s="84"/>
      <c r="F814" s="84"/>
      <c r="G814" s="84"/>
      <c r="H814" s="139"/>
      <c r="I814" s="84"/>
    </row>
    <row r="815" spans="1:9">
      <c r="A815" s="139"/>
      <c r="B815" s="139"/>
      <c r="C815" s="138"/>
      <c r="D815" s="140"/>
      <c r="E815" s="84"/>
      <c r="F815" s="84"/>
      <c r="G815" s="84"/>
      <c r="H815" s="139"/>
      <c r="I815" s="84"/>
    </row>
    <row r="816" spans="1:9">
      <c r="A816" s="139"/>
      <c r="B816" s="139"/>
      <c r="C816" s="138"/>
      <c r="D816" s="140"/>
      <c r="E816" s="84"/>
      <c r="F816" s="84"/>
      <c r="G816" s="84"/>
      <c r="H816" s="139"/>
      <c r="I816" s="84"/>
    </row>
    <row r="817" spans="1:9">
      <c r="A817" s="139"/>
      <c r="B817" s="139"/>
      <c r="C817" s="138"/>
      <c r="D817" s="140"/>
      <c r="E817" s="84"/>
      <c r="F817" s="84"/>
      <c r="G817" s="84"/>
      <c r="H817" s="139"/>
      <c r="I817" s="84"/>
    </row>
    <row r="818" spans="1:9">
      <c r="A818" s="139"/>
      <c r="B818" s="139"/>
      <c r="C818" s="138"/>
      <c r="D818" s="140"/>
      <c r="E818" s="84"/>
      <c r="F818" s="84"/>
      <c r="G818" s="84"/>
      <c r="H818" s="139"/>
      <c r="I818" s="84"/>
    </row>
    <row r="819" spans="1:9">
      <c r="A819" s="139"/>
      <c r="B819" s="139"/>
      <c r="C819" s="138"/>
      <c r="D819" s="140"/>
      <c r="E819" s="84"/>
      <c r="F819" s="84"/>
      <c r="G819" s="84"/>
      <c r="H819" s="139"/>
      <c r="I819" s="84"/>
    </row>
    <row r="820" spans="1:9">
      <c r="A820" s="139"/>
      <c r="B820" s="139"/>
      <c r="C820" s="138"/>
      <c r="D820" s="140"/>
      <c r="E820" s="84"/>
      <c r="F820" s="84"/>
      <c r="G820" s="84"/>
      <c r="H820" s="139"/>
      <c r="I820" s="84"/>
    </row>
    <row r="821" spans="1:9">
      <c r="A821" s="139"/>
      <c r="B821" s="139"/>
      <c r="C821" s="138"/>
      <c r="D821" s="140"/>
      <c r="E821" s="84"/>
      <c r="F821" s="84"/>
      <c r="G821" s="84"/>
      <c r="H821" s="139"/>
      <c r="I821" s="84"/>
    </row>
    <row r="822" spans="1:9">
      <c r="A822" s="139"/>
      <c r="B822" s="139"/>
      <c r="C822" s="138"/>
      <c r="D822" s="140"/>
      <c r="E822" s="84"/>
      <c r="F822" s="84"/>
      <c r="G822" s="84"/>
      <c r="H822" s="139"/>
      <c r="I822" s="84"/>
    </row>
    <row r="823" spans="1:9">
      <c r="A823" s="139"/>
      <c r="B823" s="139"/>
      <c r="C823" s="138"/>
      <c r="D823" s="140"/>
      <c r="E823" s="84"/>
      <c r="F823" s="84"/>
      <c r="G823" s="84"/>
      <c r="H823" s="139"/>
      <c r="I823" s="84"/>
    </row>
    <row r="824" spans="1:9">
      <c r="A824" s="139"/>
      <c r="B824" s="139"/>
      <c r="C824" s="138"/>
      <c r="D824" s="140"/>
      <c r="E824" s="84"/>
      <c r="F824" s="84"/>
      <c r="G824" s="84"/>
      <c r="H824" s="139"/>
      <c r="I824" s="84"/>
    </row>
    <row r="825" spans="1:9">
      <c r="A825" s="139"/>
      <c r="B825" s="139"/>
      <c r="C825" s="138"/>
      <c r="D825" s="140"/>
      <c r="E825" s="84"/>
      <c r="F825" s="84"/>
      <c r="G825" s="84"/>
      <c r="H825" s="139"/>
      <c r="I825" s="84"/>
    </row>
    <row r="826" spans="1:9">
      <c r="A826" s="139"/>
      <c r="B826" s="139"/>
      <c r="C826" s="138"/>
      <c r="D826" s="140"/>
      <c r="E826" s="84"/>
      <c r="F826" s="84"/>
      <c r="G826" s="84"/>
      <c r="H826" s="139"/>
      <c r="I826" s="84"/>
    </row>
    <row r="827" spans="1:9">
      <c r="A827" s="139"/>
      <c r="B827" s="139"/>
      <c r="C827" s="138"/>
      <c r="D827" s="140"/>
      <c r="E827" s="84"/>
      <c r="F827" s="84"/>
      <c r="G827" s="84"/>
      <c r="H827" s="139"/>
      <c r="I827" s="84"/>
    </row>
    <row r="828" spans="1:9">
      <c r="A828" s="139"/>
      <c r="B828" s="139"/>
      <c r="C828" s="138"/>
      <c r="D828" s="140"/>
      <c r="E828" s="84"/>
      <c r="F828" s="84"/>
      <c r="G828" s="84"/>
      <c r="H828" s="139"/>
      <c r="I828" s="84"/>
    </row>
    <row r="829" spans="1:9">
      <c r="A829" s="139"/>
      <c r="B829" s="139"/>
      <c r="C829" s="138"/>
      <c r="D829" s="140"/>
      <c r="E829" s="84"/>
      <c r="F829" s="84"/>
      <c r="G829" s="84"/>
      <c r="H829" s="139"/>
      <c r="I829" s="84"/>
    </row>
    <row r="830" spans="1:9">
      <c r="A830" s="139"/>
      <c r="B830" s="139"/>
      <c r="C830" s="138"/>
      <c r="D830" s="140"/>
      <c r="E830" s="84"/>
      <c r="F830" s="84"/>
      <c r="G830" s="84"/>
      <c r="H830" s="139"/>
      <c r="I830" s="84"/>
    </row>
    <row r="831" spans="1:9">
      <c r="A831" s="139"/>
      <c r="B831" s="139"/>
      <c r="C831" s="138"/>
      <c r="D831" s="140"/>
      <c r="E831" s="84"/>
      <c r="F831" s="84"/>
      <c r="G831" s="84"/>
      <c r="H831" s="139"/>
      <c r="I831" s="84"/>
    </row>
    <row r="832" spans="1:9">
      <c r="A832" s="139"/>
      <c r="B832" s="139"/>
      <c r="C832" s="138"/>
      <c r="D832" s="140"/>
      <c r="E832" s="84"/>
      <c r="F832" s="84"/>
      <c r="G832" s="84"/>
      <c r="H832" s="139"/>
      <c r="I832" s="84"/>
    </row>
    <row r="833" spans="1:9">
      <c r="A833" s="139"/>
      <c r="B833" s="139"/>
      <c r="C833" s="138"/>
      <c r="D833" s="140"/>
      <c r="E833" s="84"/>
      <c r="F833" s="84"/>
      <c r="G833" s="84"/>
      <c r="H833" s="139"/>
      <c r="I833" s="84"/>
    </row>
    <row r="834" spans="1:9">
      <c r="A834" s="139"/>
      <c r="B834" s="139"/>
      <c r="C834" s="138"/>
      <c r="D834" s="140"/>
      <c r="E834" s="84"/>
      <c r="F834" s="84"/>
      <c r="G834" s="84"/>
      <c r="H834" s="139"/>
      <c r="I834" s="84"/>
    </row>
    <row r="835" spans="1:9">
      <c r="A835" s="139"/>
      <c r="B835" s="139"/>
      <c r="C835" s="138"/>
      <c r="D835" s="140"/>
      <c r="E835" s="84"/>
      <c r="F835" s="84"/>
      <c r="G835" s="84"/>
      <c r="H835" s="139"/>
      <c r="I835" s="84"/>
    </row>
    <row r="836" spans="1:9">
      <c r="A836" s="139"/>
      <c r="B836" s="139"/>
      <c r="C836" s="138"/>
      <c r="D836" s="140"/>
      <c r="E836" s="84"/>
      <c r="F836" s="84"/>
      <c r="G836" s="84"/>
      <c r="H836" s="139"/>
      <c r="I836" s="84"/>
    </row>
    <row r="837" spans="1:9">
      <c r="A837" s="139"/>
      <c r="B837" s="139"/>
      <c r="C837" s="138"/>
      <c r="D837" s="140"/>
      <c r="E837" s="84"/>
      <c r="F837" s="84"/>
      <c r="G837" s="84"/>
      <c r="H837" s="139"/>
      <c r="I837" s="84"/>
    </row>
    <row r="838" spans="1:9">
      <c r="A838" s="139"/>
      <c r="B838" s="139"/>
      <c r="C838" s="138"/>
      <c r="D838" s="140"/>
      <c r="E838" s="84"/>
      <c r="F838" s="84"/>
      <c r="G838" s="84"/>
      <c r="H838" s="139"/>
      <c r="I838" s="84"/>
    </row>
    <row r="839" spans="1:9">
      <c r="A839" s="139"/>
      <c r="B839" s="139"/>
      <c r="C839" s="138"/>
      <c r="D839" s="140"/>
      <c r="E839" s="84"/>
      <c r="F839" s="84"/>
      <c r="G839" s="84"/>
      <c r="H839" s="139"/>
      <c r="I839" s="84"/>
    </row>
    <row r="840" spans="1:9">
      <c r="A840" s="139"/>
      <c r="B840" s="139"/>
      <c r="C840" s="138"/>
      <c r="D840" s="140"/>
      <c r="E840" s="84"/>
      <c r="F840" s="84"/>
      <c r="G840" s="84"/>
      <c r="H840" s="139"/>
      <c r="I840" s="84"/>
    </row>
    <row r="841" spans="1:9">
      <c r="A841" s="139"/>
      <c r="B841" s="139"/>
      <c r="C841" s="138"/>
      <c r="D841" s="140"/>
      <c r="E841" s="84"/>
      <c r="F841" s="84"/>
      <c r="G841" s="84"/>
      <c r="H841" s="139"/>
      <c r="I841" s="84"/>
    </row>
    <row r="842" spans="1:9">
      <c r="A842" s="139"/>
      <c r="B842" s="139"/>
      <c r="C842" s="138"/>
      <c r="D842" s="140"/>
      <c r="E842" s="84"/>
      <c r="F842" s="84"/>
      <c r="G842" s="84"/>
      <c r="H842" s="139"/>
      <c r="I842" s="84"/>
    </row>
    <row r="843" spans="1:9">
      <c r="A843" s="139"/>
      <c r="B843" s="139"/>
      <c r="C843" s="138"/>
      <c r="D843" s="140"/>
      <c r="E843" s="84"/>
      <c r="F843" s="84"/>
      <c r="G843" s="84"/>
      <c r="H843" s="139"/>
      <c r="I843" s="84"/>
    </row>
    <row r="844" spans="1:9">
      <c r="A844" s="139"/>
      <c r="B844" s="139"/>
      <c r="C844" s="138"/>
      <c r="D844" s="140"/>
      <c r="E844" s="84"/>
      <c r="F844" s="84"/>
      <c r="G844" s="84"/>
      <c r="H844" s="139"/>
      <c r="I844" s="84"/>
    </row>
    <row r="845" spans="1:9">
      <c r="A845" s="139"/>
      <c r="B845" s="139"/>
      <c r="C845" s="138"/>
      <c r="D845" s="140"/>
      <c r="E845" s="84"/>
      <c r="F845" s="84"/>
      <c r="G845" s="84"/>
      <c r="H845" s="139"/>
      <c r="I845" s="84"/>
    </row>
    <row r="846" spans="1:9">
      <c r="A846" s="139"/>
      <c r="B846" s="139"/>
      <c r="C846" s="138"/>
      <c r="D846" s="140"/>
      <c r="E846" s="84"/>
      <c r="F846" s="84"/>
      <c r="G846" s="84"/>
      <c r="H846" s="139"/>
      <c r="I846" s="84"/>
    </row>
    <row r="847" spans="1:9">
      <c r="A847" s="139"/>
      <c r="B847" s="139"/>
      <c r="C847" s="138"/>
      <c r="D847" s="140"/>
      <c r="E847" s="84"/>
      <c r="F847" s="84"/>
      <c r="G847" s="84"/>
      <c r="H847" s="139"/>
      <c r="I847" s="84"/>
    </row>
    <row r="848" spans="1:9">
      <c r="A848" s="139"/>
      <c r="B848" s="139"/>
      <c r="C848" s="138"/>
      <c r="D848" s="140"/>
      <c r="E848" s="84"/>
      <c r="F848" s="84"/>
      <c r="G848" s="84"/>
      <c r="H848" s="139"/>
      <c r="I848" s="84"/>
    </row>
    <row r="849" spans="1:9">
      <c r="A849" s="139"/>
      <c r="B849" s="139"/>
      <c r="C849" s="138"/>
      <c r="D849" s="140"/>
      <c r="E849" s="84"/>
      <c r="F849" s="84"/>
      <c r="G849" s="84"/>
      <c r="H849" s="139"/>
      <c r="I849" s="84"/>
    </row>
    <row r="850" spans="1:9">
      <c r="A850" s="139"/>
      <c r="B850" s="139"/>
      <c r="C850" s="138"/>
      <c r="D850" s="140"/>
      <c r="E850" s="84"/>
      <c r="F850" s="84"/>
      <c r="G850" s="84"/>
      <c r="H850" s="139"/>
      <c r="I850" s="84"/>
    </row>
    <row r="851" spans="1:9">
      <c r="A851" s="139"/>
      <c r="B851" s="139"/>
      <c r="C851" s="138"/>
      <c r="D851" s="140"/>
      <c r="E851" s="84"/>
      <c r="F851" s="84"/>
      <c r="G851" s="84"/>
      <c r="H851" s="139"/>
      <c r="I851" s="84"/>
    </row>
    <row r="852" spans="1:9">
      <c r="A852" s="139"/>
      <c r="B852" s="139"/>
      <c r="C852" s="138"/>
      <c r="D852" s="140"/>
      <c r="E852" s="84"/>
      <c r="F852" s="84"/>
      <c r="G852" s="84"/>
      <c r="H852" s="139"/>
      <c r="I852" s="84"/>
    </row>
    <row r="853" spans="1:9">
      <c r="A853" s="139"/>
      <c r="B853" s="139"/>
      <c r="C853" s="138"/>
      <c r="D853" s="140"/>
      <c r="E853" s="84"/>
      <c r="F853" s="84"/>
      <c r="G853" s="84"/>
      <c r="H853" s="139"/>
      <c r="I853" s="84"/>
    </row>
    <row r="854" spans="1:9">
      <c r="A854" s="139"/>
      <c r="B854" s="139"/>
      <c r="C854" s="138"/>
      <c r="D854" s="140"/>
      <c r="E854" s="84"/>
      <c r="F854" s="84"/>
      <c r="G854" s="84"/>
      <c r="H854" s="139"/>
      <c r="I854" s="84"/>
    </row>
    <row r="855" spans="1:9">
      <c r="A855" s="139"/>
      <c r="B855" s="139"/>
      <c r="C855" s="138"/>
      <c r="D855" s="140"/>
      <c r="E855" s="84"/>
      <c r="F855" s="84"/>
      <c r="G855" s="84"/>
      <c r="H855" s="139"/>
      <c r="I855" s="84"/>
    </row>
    <row r="856" spans="1:9">
      <c r="A856" s="139"/>
      <c r="B856" s="139"/>
      <c r="C856" s="138"/>
      <c r="D856" s="140"/>
      <c r="E856" s="84"/>
      <c r="F856" s="84"/>
      <c r="G856" s="84"/>
      <c r="H856" s="139"/>
      <c r="I856" s="84"/>
    </row>
    <row r="857" spans="1:9">
      <c r="A857" s="139"/>
      <c r="B857" s="139"/>
      <c r="C857" s="138"/>
      <c r="D857" s="140"/>
      <c r="E857" s="84"/>
      <c r="F857" s="84"/>
      <c r="G857" s="84"/>
      <c r="H857" s="139"/>
      <c r="I857" s="84"/>
    </row>
    <row r="858" spans="1:9">
      <c r="A858" s="139"/>
      <c r="B858" s="139"/>
      <c r="C858" s="138"/>
      <c r="D858" s="140"/>
      <c r="E858" s="84"/>
      <c r="F858" s="84"/>
      <c r="G858" s="84"/>
      <c r="H858" s="139"/>
      <c r="I858" s="84"/>
    </row>
    <row r="859" spans="1:9">
      <c r="A859" s="139"/>
      <c r="B859" s="139"/>
      <c r="C859" s="138"/>
      <c r="D859" s="140"/>
      <c r="E859" s="84"/>
      <c r="F859" s="84"/>
      <c r="G859" s="84"/>
      <c r="H859" s="139"/>
      <c r="I859" s="84"/>
    </row>
    <row r="860" spans="1:9">
      <c r="A860" s="139"/>
      <c r="B860" s="139"/>
      <c r="C860" s="138"/>
      <c r="D860" s="140"/>
      <c r="E860" s="84"/>
      <c r="F860" s="84"/>
      <c r="G860" s="84"/>
      <c r="H860" s="139"/>
      <c r="I860" s="84"/>
    </row>
    <row r="861" spans="1:9">
      <c r="A861" s="139"/>
      <c r="B861" s="139"/>
      <c r="C861" s="138"/>
      <c r="D861" s="140"/>
      <c r="E861" s="84"/>
      <c r="F861" s="84"/>
      <c r="G861" s="84"/>
      <c r="H861" s="139"/>
      <c r="I861" s="84"/>
    </row>
    <row r="862" spans="1:9">
      <c r="A862" s="139"/>
      <c r="B862" s="139"/>
      <c r="C862" s="138"/>
      <c r="D862" s="140"/>
      <c r="E862" s="84"/>
      <c r="F862" s="84"/>
      <c r="G862" s="84"/>
      <c r="H862" s="139"/>
      <c r="I862" s="84"/>
    </row>
    <row r="863" spans="1:9">
      <c r="A863" s="139"/>
      <c r="B863" s="139"/>
      <c r="C863" s="138"/>
      <c r="D863" s="140"/>
      <c r="E863" s="84"/>
      <c r="F863" s="84"/>
      <c r="G863" s="84"/>
      <c r="H863" s="139"/>
      <c r="I863" s="84"/>
    </row>
    <row r="864" spans="1:9">
      <c r="A864" s="139"/>
      <c r="B864" s="139"/>
      <c r="C864" s="138"/>
      <c r="D864" s="140"/>
      <c r="E864" s="84"/>
      <c r="F864" s="84"/>
      <c r="G864" s="84"/>
      <c r="H864" s="139"/>
      <c r="I864" s="84"/>
    </row>
    <row r="865" spans="1:9">
      <c r="A865" s="139"/>
      <c r="B865" s="139"/>
      <c r="C865" s="138"/>
      <c r="D865" s="140"/>
      <c r="E865" s="84"/>
      <c r="F865" s="84"/>
      <c r="G865" s="84"/>
      <c r="H865" s="139"/>
      <c r="I865" s="84"/>
    </row>
    <row r="866" spans="1:9">
      <c r="A866" s="139"/>
      <c r="B866" s="139"/>
      <c r="C866" s="138"/>
      <c r="D866" s="140"/>
      <c r="E866" s="84"/>
      <c r="F866" s="84"/>
      <c r="G866" s="84"/>
      <c r="H866" s="139"/>
      <c r="I866" s="84"/>
    </row>
    <row r="867" spans="1:9">
      <c r="A867" s="139"/>
      <c r="B867" s="139"/>
      <c r="C867" s="138"/>
      <c r="D867" s="140"/>
      <c r="E867" s="84"/>
      <c r="F867" s="84"/>
      <c r="G867" s="84"/>
      <c r="H867" s="139"/>
      <c r="I867" s="84"/>
    </row>
    <row r="868" spans="1:9">
      <c r="A868" s="139"/>
      <c r="B868" s="139"/>
      <c r="C868" s="138"/>
      <c r="D868" s="140"/>
      <c r="E868" s="84"/>
      <c r="F868" s="84"/>
      <c r="G868" s="84"/>
      <c r="H868" s="139"/>
      <c r="I868" s="84"/>
    </row>
    <row r="869" spans="1:9">
      <c r="A869" s="139"/>
      <c r="B869" s="139"/>
      <c r="C869" s="138"/>
      <c r="D869" s="140"/>
      <c r="E869" s="84"/>
      <c r="F869" s="84"/>
      <c r="G869" s="84"/>
      <c r="H869" s="139"/>
      <c r="I869" s="84"/>
    </row>
    <row r="870" spans="1:9">
      <c r="A870" s="139"/>
      <c r="B870" s="139"/>
      <c r="C870" s="138"/>
      <c r="D870" s="140"/>
      <c r="E870" s="84"/>
      <c r="F870" s="84"/>
      <c r="G870" s="84"/>
      <c r="H870" s="139"/>
      <c r="I870" s="84"/>
    </row>
    <row r="871" spans="1:9">
      <c r="A871" s="139"/>
      <c r="B871" s="139"/>
      <c r="C871" s="138"/>
      <c r="D871" s="140"/>
      <c r="E871" s="84"/>
      <c r="F871" s="84"/>
      <c r="G871" s="84"/>
      <c r="H871" s="139"/>
      <c r="I871" s="84"/>
    </row>
    <row r="872" spans="1:9">
      <c r="A872" s="139"/>
      <c r="B872" s="139"/>
      <c r="C872" s="138"/>
      <c r="D872" s="140"/>
      <c r="E872" s="84"/>
      <c r="F872" s="84"/>
      <c r="G872" s="84"/>
      <c r="H872" s="139"/>
      <c r="I872" s="84"/>
    </row>
    <row r="873" spans="1:9">
      <c r="A873" s="139"/>
      <c r="B873" s="139"/>
      <c r="C873" s="138"/>
      <c r="D873" s="140"/>
      <c r="E873" s="84"/>
      <c r="F873" s="84"/>
      <c r="G873" s="84"/>
      <c r="H873" s="139"/>
      <c r="I873" s="84"/>
    </row>
    <row r="874" spans="1:9">
      <c r="A874" s="139"/>
      <c r="B874" s="139"/>
      <c r="C874" s="138"/>
      <c r="D874" s="140"/>
      <c r="E874" s="84"/>
      <c r="F874" s="84"/>
      <c r="G874" s="84"/>
      <c r="H874" s="139"/>
      <c r="I874" s="84"/>
    </row>
    <row r="875" spans="1:9">
      <c r="A875" s="139"/>
      <c r="B875" s="139"/>
      <c r="C875" s="138"/>
      <c r="D875" s="140"/>
      <c r="E875" s="84"/>
      <c r="F875" s="84"/>
      <c r="G875" s="84"/>
      <c r="H875" s="139"/>
      <c r="I875" s="84"/>
    </row>
    <row r="876" spans="1:9">
      <c r="A876" s="139"/>
      <c r="B876" s="139"/>
      <c r="C876" s="138"/>
      <c r="D876" s="140"/>
      <c r="E876" s="84"/>
      <c r="F876" s="84"/>
      <c r="G876" s="84"/>
      <c r="H876" s="139"/>
      <c r="I876" s="84"/>
    </row>
    <row r="877" spans="1:9">
      <c r="A877" s="139"/>
      <c r="B877" s="139"/>
      <c r="C877" s="138"/>
      <c r="D877" s="140"/>
      <c r="E877" s="84"/>
      <c r="F877" s="84"/>
      <c r="G877" s="84"/>
      <c r="H877" s="139"/>
      <c r="I877" s="84"/>
    </row>
    <row r="878" spans="1:9">
      <c r="A878" s="139"/>
      <c r="B878" s="139"/>
      <c r="C878" s="138"/>
      <c r="D878" s="140"/>
      <c r="E878" s="84"/>
      <c r="F878" s="84"/>
      <c r="G878" s="84"/>
      <c r="H878" s="139"/>
      <c r="I878" s="84"/>
    </row>
    <row r="879" spans="1:9">
      <c r="A879" s="139"/>
      <c r="B879" s="139"/>
      <c r="C879" s="138"/>
      <c r="D879" s="140"/>
      <c r="E879" s="84"/>
      <c r="F879" s="84"/>
      <c r="G879" s="84"/>
      <c r="H879" s="139"/>
      <c r="I879" s="84"/>
    </row>
    <row r="880" spans="1:9">
      <c r="A880" s="139"/>
      <c r="B880" s="139"/>
      <c r="C880" s="138"/>
      <c r="D880" s="140"/>
      <c r="E880" s="84"/>
      <c r="F880" s="84"/>
      <c r="G880" s="84"/>
      <c r="H880" s="139"/>
      <c r="I880" s="84"/>
    </row>
    <row r="881" spans="1:9">
      <c r="A881" s="139"/>
      <c r="B881" s="139"/>
      <c r="C881" s="138"/>
      <c r="D881" s="140"/>
      <c r="E881" s="84"/>
      <c r="F881" s="84"/>
      <c r="G881" s="84"/>
      <c r="H881" s="139"/>
      <c r="I881" s="84"/>
    </row>
    <row r="882" spans="1:9">
      <c r="A882" s="139"/>
      <c r="B882" s="139"/>
      <c r="C882" s="138"/>
      <c r="D882" s="140"/>
      <c r="E882" s="84"/>
      <c r="F882" s="84"/>
      <c r="G882" s="84"/>
      <c r="H882" s="139"/>
      <c r="I882" s="84"/>
    </row>
    <row r="883" spans="1:9">
      <c r="A883" s="139"/>
      <c r="B883" s="139"/>
      <c r="C883" s="138"/>
      <c r="D883" s="140"/>
      <c r="E883" s="84"/>
      <c r="F883" s="84"/>
      <c r="G883" s="84"/>
      <c r="H883" s="139"/>
      <c r="I883" s="84"/>
    </row>
    <row r="884" spans="1:9">
      <c r="A884" s="139"/>
      <c r="B884" s="139"/>
      <c r="C884" s="138"/>
      <c r="D884" s="140"/>
      <c r="E884" s="84"/>
      <c r="F884" s="84"/>
      <c r="G884" s="84"/>
      <c r="H884" s="139"/>
      <c r="I884" s="84"/>
    </row>
    <row r="885" spans="1:9">
      <c r="A885" s="139"/>
      <c r="B885" s="139"/>
      <c r="C885" s="138"/>
      <c r="D885" s="140"/>
      <c r="E885" s="84"/>
      <c r="F885" s="84"/>
      <c r="G885" s="84"/>
      <c r="H885" s="139"/>
      <c r="I885" s="84"/>
    </row>
    <row r="886" spans="1:9">
      <c r="A886" s="139"/>
      <c r="B886" s="139"/>
      <c r="C886" s="138"/>
      <c r="D886" s="140"/>
      <c r="E886" s="84"/>
      <c r="F886" s="84"/>
      <c r="G886" s="84"/>
      <c r="H886" s="139"/>
      <c r="I886" s="84"/>
    </row>
    <row r="887" spans="1:9">
      <c r="A887" s="139"/>
      <c r="B887" s="139"/>
      <c r="C887" s="138"/>
      <c r="D887" s="140"/>
      <c r="E887" s="84"/>
      <c r="F887" s="84"/>
      <c r="G887" s="84"/>
      <c r="H887" s="139"/>
      <c r="I887" s="84"/>
    </row>
    <row r="888" spans="1:9">
      <c r="A888" s="139"/>
      <c r="B888" s="139"/>
      <c r="C888" s="138"/>
      <c r="D888" s="140"/>
      <c r="E888" s="84"/>
      <c r="F888" s="84"/>
      <c r="G888" s="84"/>
      <c r="H888" s="139"/>
      <c r="I888" s="84"/>
    </row>
    <row r="889" spans="1:9">
      <c r="A889" s="139"/>
      <c r="B889" s="139"/>
      <c r="C889" s="138"/>
      <c r="D889" s="140"/>
      <c r="E889" s="84"/>
      <c r="F889" s="84"/>
      <c r="G889" s="84"/>
      <c r="H889" s="139"/>
      <c r="I889" s="84"/>
    </row>
    <row r="890" spans="1:9">
      <c r="A890" s="139"/>
      <c r="B890" s="139"/>
      <c r="C890" s="138"/>
      <c r="D890" s="140"/>
      <c r="E890" s="84"/>
      <c r="F890" s="84"/>
      <c r="G890" s="84"/>
      <c r="H890" s="139"/>
      <c r="I890" s="84"/>
    </row>
    <row r="891" spans="1:9">
      <c r="A891" s="139"/>
      <c r="B891" s="139"/>
      <c r="C891" s="138"/>
      <c r="D891" s="140"/>
      <c r="E891" s="84"/>
      <c r="F891" s="84"/>
      <c r="G891" s="84"/>
      <c r="H891" s="139"/>
      <c r="I891" s="84"/>
    </row>
    <row r="892" spans="1:9">
      <c r="A892" s="139"/>
      <c r="B892" s="139"/>
      <c r="C892" s="138"/>
      <c r="D892" s="140"/>
      <c r="E892" s="84"/>
      <c r="F892" s="84"/>
      <c r="G892" s="84"/>
      <c r="H892" s="139"/>
      <c r="I892" s="84"/>
    </row>
    <row r="893" spans="1:9">
      <c r="A893" s="139"/>
      <c r="B893" s="139"/>
      <c r="C893" s="138"/>
      <c r="D893" s="140"/>
      <c r="E893" s="84"/>
      <c r="F893" s="84"/>
      <c r="G893" s="84"/>
      <c r="H893" s="139"/>
      <c r="I893" s="84"/>
    </row>
    <row r="894" spans="1:9">
      <c r="A894" s="139"/>
      <c r="B894" s="139"/>
      <c r="C894" s="138"/>
      <c r="D894" s="140"/>
      <c r="E894" s="84"/>
      <c r="F894" s="84"/>
      <c r="G894" s="84"/>
      <c r="H894" s="139"/>
      <c r="I894" s="84"/>
    </row>
    <row r="895" spans="1:9">
      <c r="A895" s="139"/>
      <c r="B895" s="139"/>
      <c r="C895" s="138"/>
      <c r="D895" s="140"/>
      <c r="E895" s="84"/>
      <c r="F895" s="84"/>
      <c r="G895" s="84"/>
      <c r="H895" s="139"/>
      <c r="I895" s="84"/>
    </row>
    <row r="896" spans="1:9">
      <c r="A896" s="139"/>
      <c r="B896" s="139"/>
      <c r="C896" s="138"/>
      <c r="D896" s="140"/>
      <c r="E896" s="84"/>
      <c r="F896" s="84"/>
      <c r="G896" s="84"/>
      <c r="H896" s="139"/>
      <c r="I896" s="84"/>
    </row>
    <row r="897" spans="1:9">
      <c r="A897" s="139"/>
      <c r="B897" s="139"/>
      <c r="C897" s="138"/>
      <c r="D897" s="140"/>
      <c r="E897" s="84"/>
      <c r="F897" s="84"/>
      <c r="G897" s="84"/>
      <c r="H897" s="139"/>
      <c r="I897" s="84"/>
    </row>
    <row r="898" spans="1:9">
      <c r="A898" s="139"/>
      <c r="B898" s="139"/>
      <c r="C898" s="138"/>
      <c r="D898" s="140"/>
      <c r="E898" s="84"/>
      <c r="F898" s="84"/>
      <c r="G898" s="84"/>
      <c r="H898" s="139"/>
      <c r="I898" s="84"/>
    </row>
    <row r="899" spans="1:9">
      <c r="A899" s="139"/>
      <c r="B899" s="139"/>
      <c r="C899" s="138"/>
      <c r="D899" s="140"/>
      <c r="E899" s="84"/>
      <c r="F899" s="84"/>
      <c r="G899" s="84"/>
      <c r="H899" s="139"/>
      <c r="I899" s="84"/>
    </row>
    <row r="900" spans="1:9">
      <c r="A900" s="139"/>
      <c r="B900" s="139"/>
      <c r="C900" s="138"/>
      <c r="D900" s="140"/>
      <c r="E900" s="84"/>
      <c r="F900" s="84"/>
      <c r="G900" s="84"/>
      <c r="H900" s="139"/>
      <c r="I900" s="84"/>
    </row>
    <row r="901" spans="1:9">
      <c r="A901" s="139"/>
      <c r="B901" s="139"/>
      <c r="C901" s="138"/>
      <c r="D901" s="140"/>
      <c r="E901" s="84"/>
      <c r="F901" s="84"/>
      <c r="G901" s="84"/>
      <c r="H901" s="139"/>
      <c r="I901" s="84"/>
    </row>
    <row r="902" spans="1:9">
      <c r="A902" s="139"/>
      <c r="B902" s="139"/>
      <c r="C902" s="138"/>
      <c r="D902" s="140"/>
      <c r="E902" s="84"/>
      <c r="F902" s="84"/>
      <c r="G902" s="84"/>
      <c r="H902" s="139"/>
      <c r="I902" s="84"/>
    </row>
    <row r="903" spans="1:9">
      <c r="A903" s="139"/>
      <c r="B903" s="139"/>
      <c r="C903" s="138"/>
      <c r="D903" s="140"/>
      <c r="E903" s="84"/>
      <c r="F903" s="84"/>
      <c r="G903" s="84"/>
      <c r="H903" s="139"/>
      <c r="I903" s="84"/>
    </row>
    <row r="904" spans="1:9">
      <c r="A904" s="139"/>
      <c r="B904" s="139"/>
      <c r="C904" s="138"/>
      <c r="D904" s="140"/>
      <c r="E904" s="84"/>
      <c r="F904" s="84"/>
      <c r="G904" s="84"/>
      <c r="H904" s="139"/>
      <c r="I904" s="84"/>
    </row>
    <row r="905" spans="1:9">
      <c r="A905" s="139"/>
      <c r="B905" s="139"/>
      <c r="C905" s="138"/>
      <c r="D905" s="140"/>
      <c r="E905" s="84"/>
      <c r="F905" s="84"/>
      <c r="G905" s="84"/>
      <c r="H905" s="139"/>
      <c r="I905" s="84"/>
    </row>
    <row r="906" spans="1:9">
      <c r="A906" s="139"/>
      <c r="B906" s="139"/>
      <c r="C906" s="138"/>
      <c r="D906" s="140"/>
      <c r="E906" s="84"/>
      <c r="F906" s="84"/>
      <c r="G906" s="84"/>
      <c r="H906" s="139"/>
      <c r="I906" s="84"/>
    </row>
    <row r="907" spans="1:9">
      <c r="A907" s="139"/>
      <c r="B907" s="139"/>
      <c r="C907" s="138"/>
      <c r="D907" s="140"/>
      <c r="E907" s="84"/>
      <c r="F907" s="84"/>
      <c r="G907" s="84"/>
      <c r="H907" s="139"/>
      <c r="I907" s="84"/>
    </row>
    <row r="908" spans="1:9">
      <c r="A908" s="139"/>
      <c r="B908" s="139"/>
      <c r="C908" s="138"/>
      <c r="D908" s="140"/>
      <c r="E908" s="84"/>
      <c r="F908" s="84"/>
      <c r="G908" s="84"/>
      <c r="H908" s="139"/>
      <c r="I908" s="84"/>
    </row>
    <row r="909" spans="1:9">
      <c r="A909" s="139"/>
      <c r="B909" s="139"/>
      <c r="C909" s="138"/>
      <c r="D909" s="140"/>
      <c r="E909" s="84"/>
      <c r="F909" s="84"/>
      <c r="G909" s="84"/>
      <c r="H909" s="139"/>
      <c r="I909" s="84"/>
    </row>
    <row r="910" spans="1:9">
      <c r="A910" s="139"/>
      <c r="B910" s="139"/>
      <c r="C910" s="138"/>
      <c r="D910" s="140"/>
      <c r="E910" s="84"/>
      <c r="F910" s="84"/>
      <c r="G910" s="84"/>
      <c r="H910" s="139"/>
      <c r="I910" s="84"/>
    </row>
    <row r="911" spans="1:9">
      <c r="A911" s="139"/>
      <c r="B911" s="139"/>
      <c r="C911" s="138"/>
      <c r="D911" s="140"/>
      <c r="E911" s="84"/>
      <c r="F911" s="84"/>
      <c r="G911" s="84"/>
      <c r="H911" s="139"/>
      <c r="I911" s="84"/>
    </row>
    <row r="912" spans="1:9">
      <c r="A912" s="139"/>
      <c r="B912" s="139"/>
      <c r="C912" s="138"/>
      <c r="D912" s="140"/>
      <c r="E912" s="84"/>
      <c r="F912" s="84"/>
      <c r="G912" s="84"/>
      <c r="H912" s="139"/>
      <c r="I912" s="84"/>
    </row>
    <row r="913" spans="1:9">
      <c r="A913" s="139"/>
      <c r="B913" s="139"/>
      <c r="C913" s="138"/>
      <c r="D913" s="140"/>
      <c r="E913" s="84"/>
      <c r="F913" s="84"/>
      <c r="G913" s="84"/>
      <c r="H913" s="139"/>
      <c r="I913" s="84"/>
    </row>
    <row r="914" spans="1:9">
      <c r="A914" s="139"/>
      <c r="B914" s="139"/>
      <c r="C914" s="138"/>
      <c r="D914" s="140"/>
      <c r="E914" s="84"/>
      <c r="F914" s="84"/>
      <c r="G914" s="84"/>
      <c r="H914" s="139"/>
      <c r="I914" s="84"/>
    </row>
    <row r="915" spans="1:9">
      <c r="A915" s="139"/>
      <c r="B915" s="139"/>
      <c r="C915" s="138"/>
      <c r="D915" s="140"/>
      <c r="E915" s="84"/>
      <c r="F915" s="84"/>
      <c r="G915" s="84"/>
      <c r="H915" s="139"/>
      <c r="I915" s="84"/>
    </row>
    <row r="916" spans="1:9">
      <c r="A916" s="139"/>
      <c r="B916" s="139"/>
      <c r="C916" s="138"/>
      <c r="D916" s="140"/>
      <c r="E916" s="84"/>
      <c r="F916" s="84"/>
      <c r="G916" s="84"/>
      <c r="H916" s="139"/>
      <c r="I916" s="84"/>
    </row>
    <row r="917" spans="1:9">
      <c r="A917" s="139"/>
      <c r="B917" s="139"/>
      <c r="C917" s="138"/>
      <c r="D917" s="140"/>
      <c r="E917" s="84"/>
      <c r="F917" s="84"/>
      <c r="G917" s="84"/>
      <c r="H917" s="139"/>
      <c r="I917" s="84"/>
    </row>
    <row r="918" spans="1:9">
      <c r="A918" s="139"/>
      <c r="B918" s="139"/>
      <c r="C918" s="138"/>
      <c r="D918" s="140"/>
      <c r="E918" s="84"/>
      <c r="F918" s="84"/>
      <c r="G918" s="84"/>
      <c r="H918" s="139"/>
      <c r="I918" s="84"/>
    </row>
    <row r="919" spans="1:9">
      <c r="A919" s="139"/>
      <c r="B919" s="139"/>
      <c r="C919" s="138"/>
      <c r="D919" s="140"/>
      <c r="E919" s="84"/>
      <c r="F919" s="84"/>
      <c r="G919" s="84"/>
      <c r="H919" s="139"/>
      <c r="I919" s="84"/>
    </row>
    <row r="920" spans="1:9">
      <c r="A920" s="139"/>
      <c r="B920" s="139"/>
      <c r="C920" s="138"/>
      <c r="D920" s="140"/>
      <c r="E920" s="84"/>
      <c r="F920" s="84"/>
      <c r="G920" s="84"/>
      <c r="H920" s="139"/>
      <c r="I920" s="84"/>
    </row>
    <row r="921" spans="1:9">
      <c r="A921" s="139"/>
      <c r="B921" s="139"/>
      <c r="C921" s="138"/>
      <c r="D921" s="140"/>
      <c r="E921" s="84"/>
      <c r="F921" s="84"/>
      <c r="G921" s="84"/>
      <c r="H921" s="139"/>
      <c r="I921" s="84"/>
    </row>
    <row r="922" spans="1:9">
      <c r="A922" s="139"/>
      <c r="B922" s="139"/>
      <c r="C922" s="138"/>
      <c r="D922" s="140"/>
      <c r="E922" s="84"/>
      <c r="F922" s="84"/>
      <c r="G922" s="84"/>
      <c r="H922" s="139"/>
      <c r="I922" s="84"/>
    </row>
    <row r="923" spans="1:9">
      <c r="A923" s="139"/>
      <c r="B923" s="139"/>
      <c r="C923" s="138"/>
      <c r="D923" s="140"/>
      <c r="E923" s="84"/>
      <c r="F923" s="84"/>
      <c r="G923" s="84"/>
      <c r="H923" s="139"/>
      <c r="I923" s="84"/>
    </row>
    <row r="924" spans="1:9">
      <c r="A924" s="139"/>
      <c r="B924" s="139"/>
      <c r="C924" s="138"/>
      <c r="D924" s="140"/>
      <c r="E924" s="84"/>
      <c r="F924" s="84"/>
      <c r="G924" s="84"/>
      <c r="H924" s="139"/>
      <c r="I924" s="84"/>
    </row>
    <row r="925" spans="1:9">
      <c r="A925" s="139"/>
      <c r="B925" s="139"/>
      <c r="C925" s="138"/>
      <c r="D925" s="140"/>
      <c r="E925" s="84"/>
      <c r="F925" s="84"/>
      <c r="G925" s="84"/>
      <c r="H925" s="139"/>
      <c r="I925" s="84"/>
    </row>
    <row r="926" spans="1:9">
      <c r="A926" s="139"/>
      <c r="B926" s="139"/>
      <c r="C926" s="138"/>
      <c r="D926" s="140"/>
      <c r="E926" s="84"/>
      <c r="F926" s="84"/>
      <c r="G926" s="84"/>
      <c r="H926" s="139"/>
      <c r="I926" s="84"/>
    </row>
    <row r="927" spans="1:9">
      <c r="A927" s="139"/>
      <c r="B927" s="139"/>
      <c r="C927" s="138"/>
      <c r="D927" s="140"/>
      <c r="E927" s="84"/>
      <c r="F927" s="84"/>
      <c r="G927" s="84"/>
      <c r="H927" s="139"/>
      <c r="I927" s="84"/>
    </row>
    <row r="928" spans="1:9">
      <c r="A928" s="139"/>
      <c r="B928" s="139"/>
      <c r="C928" s="138"/>
      <c r="D928" s="140"/>
      <c r="E928" s="84"/>
      <c r="F928" s="84"/>
      <c r="G928" s="84"/>
      <c r="H928" s="139"/>
      <c r="I928" s="84"/>
    </row>
    <row r="929" spans="1:9">
      <c r="A929" s="139"/>
      <c r="B929" s="139"/>
      <c r="C929" s="138"/>
      <c r="D929" s="140"/>
      <c r="E929" s="84"/>
      <c r="F929" s="84"/>
      <c r="G929" s="84"/>
      <c r="H929" s="139"/>
      <c r="I929" s="84"/>
    </row>
    <row r="930" spans="1:9">
      <c r="A930" s="139"/>
      <c r="B930" s="139"/>
      <c r="C930" s="138"/>
      <c r="D930" s="140"/>
      <c r="E930" s="84"/>
      <c r="F930" s="84"/>
      <c r="G930" s="84"/>
      <c r="H930" s="139"/>
      <c r="I930" s="84"/>
    </row>
    <row r="931" spans="1:9">
      <c r="A931" s="139"/>
      <c r="B931" s="139"/>
      <c r="C931" s="138"/>
      <c r="D931" s="140"/>
      <c r="E931" s="84"/>
      <c r="F931" s="84"/>
      <c r="G931" s="84"/>
      <c r="H931" s="139"/>
      <c r="I931" s="84"/>
    </row>
    <row r="932" spans="1:9">
      <c r="A932" s="139"/>
      <c r="B932" s="139"/>
      <c r="C932" s="138"/>
      <c r="D932" s="140"/>
      <c r="E932" s="84"/>
      <c r="F932" s="84"/>
      <c r="G932" s="84"/>
      <c r="H932" s="139"/>
      <c r="I932" s="84"/>
    </row>
    <row r="933" spans="1:9">
      <c r="A933" s="139"/>
      <c r="B933" s="139"/>
      <c r="C933" s="138"/>
      <c r="D933" s="140"/>
      <c r="E933" s="84"/>
      <c r="F933" s="84"/>
      <c r="G933" s="84"/>
      <c r="H933" s="139"/>
      <c r="I933" s="84"/>
    </row>
    <row r="934" spans="1:9">
      <c r="A934" s="139"/>
      <c r="B934" s="139"/>
      <c r="C934" s="138"/>
      <c r="D934" s="140"/>
      <c r="E934" s="84"/>
      <c r="F934" s="84"/>
      <c r="G934" s="84"/>
      <c r="H934" s="139"/>
      <c r="I934" s="84"/>
    </row>
    <row r="935" spans="1:9">
      <c r="A935" s="139"/>
      <c r="B935" s="139"/>
      <c r="C935" s="138"/>
      <c r="D935" s="140"/>
      <c r="E935" s="84"/>
      <c r="F935" s="84"/>
      <c r="G935" s="84"/>
      <c r="H935" s="139"/>
      <c r="I935" s="84"/>
    </row>
    <row r="936" spans="1:9">
      <c r="A936" s="139"/>
      <c r="B936" s="139"/>
      <c r="C936" s="138"/>
      <c r="D936" s="140"/>
      <c r="E936" s="84"/>
      <c r="F936" s="84"/>
      <c r="G936" s="84"/>
      <c r="H936" s="139"/>
      <c r="I936" s="84"/>
    </row>
    <row r="937" spans="1:9">
      <c r="A937" s="139"/>
      <c r="B937" s="139"/>
      <c r="C937" s="138"/>
      <c r="D937" s="140"/>
      <c r="E937" s="84"/>
      <c r="F937" s="84"/>
      <c r="G937" s="84"/>
      <c r="H937" s="139"/>
      <c r="I937" s="84"/>
    </row>
    <row r="938" spans="1:9">
      <c r="A938" s="139"/>
      <c r="B938" s="139"/>
      <c r="C938" s="138"/>
      <c r="D938" s="140"/>
      <c r="E938" s="84"/>
      <c r="F938" s="84"/>
      <c r="G938" s="84"/>
      <c r="H938" s="139"/>
      <c r="I938" s="84"/>
    </row>
    <row r="939" spans="1:9">
      <c r="A939" s="139"/>
      <c r="B939" s="139"/>
      <c r="C939" s="138"/>
      <c r="D939" s="140"/>
      <c r="E939" s="84"/>
      <c r="F939" s="84"/>
      <c r="G939" s="84"/>
      <c r="H939" s="139"/>
      <c r="I939" s="84"/>
    </row>
    <row r="940" spans="1:9">
      <c r="A940" s="139"/>
      <c r="B940" s="139"/>
      <c r="C940" s="138"/>
      <c r="D940" s="140"/>
      <c r="E940" s="84"/>
      <c r="F940" s="84"/>
      <c r="G940" s="84"/>
      <c r="H940" s="139"/>
      <c r="I940" s="84"/>
    </row>
    <row r="941" spans="1:9">
      <c r="A941" s="139"/>
      <c r="B941" s="139"/>
      <c r="C941" s="138"/>
      <c r="D941" s="140"/>
      <c r="E941" s="84"/>
      <c r="F941" s="84"/>
      <c r="G941" s="84"/>
      <c r="H941" s="139"/>
      <c r="I941" s="84"/>
    </row>
    <row r="942" spans="1:9">
      <c r="A942" s="139"/>
      <c r="B942" s="139"/>
      <c r="C942" s="138"/>
      <c r="D942" s="140"/>
      <c r="E942" s="84"/>
      <c r="F942" s="84"/>
      <c r="G942" s="84"/>
      <c r="H942" s="139"/>
      <c r="I942" s="84"/>
    </row>
    <row r="943" spans="1:9">
      <c r="A943" s="139"/>
      <c r="B943" s="139"/>
      <c r="C943" s="138"/>
      <c r="D943" s="140"/>
      <c r="E943" s="84"/>
      <c r="F943" s="84"/>
      <c r="G943" s="84"/>
      <c r="H943" s="139"/>
      <c r="I943" s="84"/>
    </row>
    <row r="944" spans="1:9">
      <c r="A944" s="139"/>
      <c r="B944" s="139"/>
      <c r="C944" s="138"/>
      <c r="D944" s="140"/>
      <c r="E944" s="84"/>
      <c r="F944" s="84"/>
      <c r="G944" s="84"/>
      <c r="H944" s="139"/>
      <c r="I944" s="84"/>
    </row>
    <row r="945" spans="1:9">
      <c r="A945" s="139"/>
      <c r="B945" s="139"/>
      <c r="C945" s="138"/>
      <c r="D945" s="140"/>
      <c r="E945" s="84"/>
      <c r="F945" s="84"/>
      <c r="G945" s="84"/>
      <c r="H945" s="139"/>
      <c r="I945" s="84"/>
    </row>
    <row r="946" spans="1:9">
      <c r="A946" s="139"/>
      <c r="B946" s="139"/>
      <c r="C946" s="138"/>
      <c r="D946" s="140"/>
      <c r="E946" s="84"/>
      <c r="F946" s="84"/>
      <c r="G946" s="84"/>
      <c r="H946" s="139"/>
      <c r="I946" s="84"/>
    </row>
    <row r="947" spans="1:9">
      <c r="A947" s="139"/>
      <c r="B947" s="139"/>
      <c r="C947" s="138"/>
      <c r="D947" s="140"/>
      <c r="E947" s="84"/>
      <c r="F947" s="84"/>
      <c r="G947" s="84"/>
      <c r="H947" s="139"/>
      <c r="I947" s="84"/>
    </row>
    <row r="948" spans="1:9">
      <c r="A948" s="139"/>
      <c r="B948" s="139"/>
      <c r="C948" s="138"/>
      <c r="D948" s="140"/>
      <c r="E948" s="84"/>
      <c r="F948" s="84"/>
      <c r="G948" s="84"/>
      <c r="H948" s="139"/>
      <c r="I948" s="84"/>
    </row>
    <row r="949" spans="1:9">
      <c r="A949" s="139"/>
      <c r="B949" s="139"/>
      <c r="C949" s="138"/>
      <c r="D949" s="140"/>
      <c r="E949" s="84"/>
      <c r="F949" s="84"/>
      <c r="G949" s="84"/>
      <c r="H949" s="139"/>
      <c r="I949" s="84"/>
    </row>
    <row r="950" spans="1:9">
      <c r="A950" s="139"/>
      <c r="B950" s="139"/>
      <c r="C950" s="138"/>
      <c r="D950" s="140"/>
      <c r="E950" s="84"/>
      <c r="F950" s="84"/>
      <c r="G950" s="84"/>
      <c r="H950" s="139"/>
      <c r="I950" s="84"/>
    </row>
    <row r="951" spans="1:9">
      <c r="A951" s="139"/>
      <c r="B951" s="139"/>
      <c r="C951" s="138"/>
      <c r="D951" s="140"/>
      <c r="E951" s="84"/>
      <c r="F951" s="84"/>
      <c r="G951" s="84"/>
      <c r="H951" s="139"/>
      <c r="I951" s="84"/>
    </row>
    <row r="952" spans="1:9">
      <c r="A952" s="139"/>
      <c r="B952" s="139"/>
      <c r="C952" s="138"/>
      <c r="D952" s="140"/>
      <c r="E952" s="84"/>
      <c r="F952" s="84"/>
      <c r="G952" s="84"/>
      <c r="H952" s="139"/>
      <c r="I952" s="84"/>
    </row>
    <row r="953" spans="1:9">
      <c r="A953" s="139"/>
      <c r="B953" s="139"/>
      <c r="C953" s="138"/>
      <c r="D953" s="140"/>
      <c r="E953" s="84"/>
      <c r="F953" s="84"/>
      <c r="G953" s="84"/>
      <c r="H953" s="139"/>
      <c r="I953" s="84"/>
    </row>
    <row r="954" spans="1:9">
      <c r="A954" s="139"/>
      <c r="B954" s="139"/>
      <c r="C954" s="138"/>
      <c r="D954" s="140"/>
      <c r="E954" s="84"/>
      <c r="F954" s="84"/>
      <c r="G954" s="84"/>
      <c r="H954" s="139"/>
      <c r="I954" s="84"/>
    </row>
    <row r="955" spans="1:9">
      <c r="A955" s="139"/>
      <c r="B955" s="139"/>
      <c r="C955" s="138"/>
      <c r="D955" s="140"/>
      <c r="E955" s="84"/>
      <c r="F955" s="84"/>
      <c r="G955" s="84"/>
      <c r="H955" s="139"/>
      <c r="I955" s="84"/>
    </row>
    <row r="956" spans="1:9">
      <c r="A956" s="139"/>
      <c r="B956" s="139"/>
      <c r="C956" s="138"/>
      <c r="D956" s="140"/>
      <c r="E956" s="84"/>
      <c r="F956" s="84"/>
      <c r="G956" s="84"/>
      <c r="H956" s="139"/>
      <c r="I956" s="84"/>
    </row>
    <row r="957" spans="1:9">
      <c r="A957" s="139"/>
      <c r="B957" s="139"/>
      <c r="C957" s="138"/>
      <c r="D957" s="140"/>
      <c r="E957" s="84"/>
      <c r="F957" s="84"/>
      <c r="G957" s="84"/>
      <c r="H957" s="139"/>
      <c r="I957" s="84"/>
    </row>
    <row r="958" spans="1:9">
      <c r="A958" s="139"/>
      <c r="B958" s="139"/>
      <c r="C958" s="138"/>
      <c r="D958" s="140"/>
      <c r="E958" s="84"/>
      <c r="F958" s="84"/>
      <c r="G958" s="84"/>
      <c r="H958" s="139"/>
      <c r="I958" s="84"/>
    </row>
    <row r="959" spans="1:9">
      <c r="A959" s="139"/>
      <c r="B959" s="139"/>
      <c r="C959" s="138"/>
      <c r="D959" s="140"/>
      <c r="E959" s="84"/>
      <c r="F959" s="84"/>
      <c r="G959" s="84"/>
      <c r="H959" s="139"/>
      <c r="I959" s="84"/>
    </row>
    <row r="960" spans="1:9">
      <c r="A960" s="139"/>
      <c r="B960" s="139"/>
      <c r="C960" s="138"/>
      <c r="D960" s="140"/>
      <c r="E960" s="84"/>
      <c r="F960" s="84"/>
      <c r="G960" s="84"/>
      <c r="H960" s="139"/>
      <c r="I960" s="84"/>
    </row>
    <row r="961" spans="1:9">
      <c r="A961" s="139"/>
      <c r="B961" s="139"/>
      <c r="C961" s="138"/>
      <c r="D961" s="140"/>
      <c r="E961" s="84"/>
      <c r="F961" s="84"/>
      <c r="G961" s="84"/>
      <c r="H961" s="139"/>
      <c r="I961" s="84"/>
    </row>
    <row r="962" spans="1:9">
      <c r="A962" s="139"/>
      <c r="B962" s="139"/>
      <c r="C962" s="138"/>
      <c r="D962" s="140"/>
      <c r="E962" s="84"/>
      <c r="F962" s="84"/>
      <c r="G962" s="84"/>
      <c r="H962" s="139"/>
      <c r="I962" s="84"/>
    </row>
    <row r="963" spans="1:9">
      <c r="A963" s="139"/>
      <c r="B963" s="139"/>
      <c r="C963" s="138"/>
      <c r="D963" s="140"/>
      <c r="E963" s="84"/>
      <c r="F963" s="84"/>
      <c r="G963" s="84"/>
      <c r="H963" s="139"/>
      <c r="I963" s="84"/>
    </row>
    <row r="964" spans="1:9">
      <c r="A964" s="139"/>
      <c r="B964" s="139"/>
      <c r="C964" s="138"/>
      <c r="D964" s="140"/>
      <c r="E964" s="84"/>
      <c r="F964" s="84"/>
      <c r="G964" s="84"/>
      <c r="H964" s="139"/>
      <c r="I964" s="84"/>
    </row>
    <row r="965" spans="1:9">
      <c r="A965" s="139"/>
      <c r="B965" s="139"/>
      <c r="C965" s="138"/>
      <c r="D965" s="140"/>
      <c r="E965" s="84"/>
      <c r="F965" s="84"/>
      <c r="G965" s="84"/>
      <c r="H965" s="139"/>
      <c r="I965" s="84"/>
    </row>
    <row r="966" spans="1:9">
      <c r="A966" s="139"/>
      <c r="B966" s="139"/>
      <c r="C966" s="138"/>
      <c r="D966" s="140"/>
      <c r="E966" s="84"/>
      <c r="F966" s="84"/>
      <c r="G966" s="84"/>
      <c r="H966" s="139"/>
      <c r="I966" s="84"/>
    </row>
    <row r="967" spans="1:9">
      <c r="A967" s="139"/>
      <c r="B967" s="139"/>
      <c r="C967" s="138"/>
      <c r="D967" s="140"/>
      <c r="E967" s="84"/>
      <c r="F967" s="84"/>
      <c r="G967" s="84"/>
      <c r="H967" s="139"/>
      <c r="I967" s="84"/>
    </row>
    <row r="968" spans="1:9">
      <c r="A968" s="139"/>
      <c r="B968" s="139"/>
      <c r="C968" s="138"/>
      <c r="D968" s="140"/>
      <c r="E968" s="84"/>
      <c r="F968" s="84"/>
      <c r="G968" s="84"/>
      <c r="H968" s="139"/>
      <c r="I968" s="84"/>
    </row>
    <row r="969" spans="1:9">
      <c r="A969" s="139"/>
      <c r="B969" s="139"/>
      <c r="C969" s="138"/>
      <c r="D969" s="140"/>
      <c r="E969" s="84"/>
      <c r="F969" s="84"/>
      <c r="G969" s="84"/>
      <c r="H969" s="139"/>
      <c r="I969" s="84"/>
    </row>
    <row r="970" spans="1:9">
      <c r="A970" s="139"/>
      <c r="B970" s="139"/>
      <c r="C970" s="138"/>
      <c r="D970" s="140"/>
      <c r="E970" s="84"/>
      <c r="F970" s="84"/>
      <c r="G970" s="84"/>
      <c r="H970" s="139"/>
      <c r="I970" s="84"/>
    </row>
    <row r="971" spans="1:9">
      <c r="A971" s="139"/>
      <c r="B971" s="139"/>
      <c r="C971" s="138"/>
      <c r="D971" s="140"/>
      <c r="E971" s="84"/>
      <c r="F971" s="84"/>
      <c r="G971" s="84"/>
      <c r="H971" s="139"/>
      <c r="I971" s="84"/>
    </row>
    <row r="972" spans="1:9">
      <c r="A972" s="139"/>
      <c r="B972" s="139"/>
      <c r="C972" s="138"/>
      <c r="D972" s="140"/>
      <c r="E972" s="84"/>
      <c r="F972" s="84"/>
      <c r="G972" s="84"/>
      <c r="H972" s="139"/>
      <c r="I972" s="84"/>
    </row>
    <row r="973" spans="1:9">
      <c r="A973" s="139"/>
      <c r="B973" s="139"/>
      <c r="C973" s="138"/>
      <c r="D973" s="140"/>
      <c r="E973" s="84"/>
      <c r="F973" s="84"/>
      <c r="G973" s="84"/>
      <c r="H973" s="139"/>
      <c r="I973" s="84"/>
    </row>
    <row r="974" spans="1:9">
      <c r="A974" s="139"/>
      <c r="B974" s="139"/>
      <c r="C974" s="138"/>
      <c r="D974" s="140"/>
      <c r="E974" s="84"/>
      <c r="F974" s="84"/>
      <c r="G974" s="84"/>
      <c r="H974" s="139"/>
      <c r="I974" s="84"/>
    </row>
    <row r="975" spans="1:9">
      <c r="A975" s="139"/>
      <c r="B975" s="139"/>
      <c r="C975" s="138"/>
      <c r="D975" s="140"/>
      <c r="E975" s="84"/>
      <c r="F975" s="84"/>
      <c r="G975" s="84"/>
      <c r="H975" s="139"/>
      <c r="I975" s="84"/>
    </row>
    <row r="976" spans="1:9">
      <c r="A976" s="139"/>
      <c r="B976" s="139"/>
      <c r="C976" s="138"/>
      <c r="D976" s="140"/>
      <c r="E976" s="84"/>
      <c r="F976" s="84"/>
      <c r="G976" s="84"/>
      <c r="H976" s="139"/>
      <c r="I976" s="84"/>
    </row>
    <row r="977" spans="1:9">
      <c r="A977" s="139"/>
      <c r="B977" s="139"/>
      <c r="C977" s="138"/>
      <c r="D977" s="140"/>
      <c r="E977" s="84"/>
      <c r="F977" s="84"/>
      <c r="G977" s="84"/>
      <c r="H977" s="139"/>
      <c r="I977" s="84"/>
    </row>
    <row r="978" spans="1:9">
      <c r="A978" s="139"/>
      <c r="B978" s="139"/>
      <c r="C978" s="138"/>
      <c r="D978" s="140"/>
      <c r="E978" s="84"/>
      <c r="F978" s="84"/>
      <c r="G978" s="84"/>
      <c r="H978" s="139"/>
      <c r="I978" s="84"/>
    </row>
    <row r="979" spans="1:9">
      <c r="A979" s="139"/>
      <c r="B979" s="139"/>
      <c r="C979" s="138"/>
      <c r="D979" s="140"/>
      <c r="E979" s="84"/>
      <c r="F979" s="84"/>
      <c r="G979" s="84"/>
      <c r="H979" s="139"/>
      <c r="I979" s="84"/>
    </row>
    <row r="980" spans="1:9">
      <c r="A980" s="139"/>
      <c r="B980" s="139"/>
      <c r="C980" s="138"/>
      <c r="D980" s="140"/>
      <c r="E980" s="84"/>
      <c r="F980" s="84"/>
      <c r="G980" s="84"/>
      <c r="H980" s="139"/>
      <c r="I980" s="84"/>
    </row>
    <row r="981" spans="1:9">
      <c r="A981" s="139"/>
      <c r="B981" s="139"/>
      <c r="C981" s="138"/>
      <c r="D981" s="140"/>
      <c r="E981" s="84"/>
      <c r="F981" s="84"/>
      <c r="G981" s="84"/>
      <c r="H981" s="139"/>
      <c r="I981" s="84"/>
    </row>
    <row r="982" spans="1:9">
      <c r="A982" s="139"/>
      <c r="B982" s="139"/>
      <c r="C982" s="138"/>
      <c r="D982" s="140"/>
      <c r="E982" s="84"/>
      <c r="F982" s="84"/>
      <c r="G982" s="84"/>
      <c r="H982" s="139"/>
      <c r="I982" s="84"/>
    </row>
    <row r="983" spans="1:9">
      <c r="A983" s="139"/>
      <c r="B983" s="139"/>
      <c r="C983" s="138"/>
      <c r="D983" s="140"/>
      <c r="E983" s="84"/>
      <c r="F983" s="84"/>
      <c r="G983" s="84"/>
      <c r="H983" s="139"/>
      <c r="I983" s="84"/>
    </row>
    <row r="984" spans="1:9">
      <c r="A984" s="139"/>
      <c r="B984" s="139"/>
      <c r="C984" s="138"/>
      <c r="D984" s="140"/>
      <c r="E984" s="84"/>
      <c r="F984" s="84"/>
      <c r="G984" s="84"/>
      <c r="H984" s="139"/>
      <c r="I984" s="84"/>
    </row>
    <row r="985" spans="1:9">
      <c r="A985" s="139"/>
      <c r="B985" s="139"/>
      <c r="C985" s="138"/>
      <c r="D985" s="140"/>
      <c r="E985" s="84"/>
      <c r="F985" s="84"/>
      <c r="G985" s="84"/>
      <c r="H985" s="139"/>
      <c r="I985" s="84"/>
    </row>
    <row r="986" spans="1:9">
      <c r="A986" s="139"/>
      <c r="B986" s="139"/>
      <c r="C986" s="138"/>
      <c r="D986" s="140"/>
      <c r="E986" s="84"/>
      <c r="F986" s="84"/>
      <c r="G986" s="84"/>
      <c r="H986" s="139"/>
      <c r="I986" s="84"/>
    </row>
    <row r="987" spans="1:9">
      <c r="A987" s="139"/>
      <c r="B987" s="139"/>
      <c r="C987" s="138"/>
      <c r="D987" s="140"/>
      <c r="E987" s="84"/>
      <c r="F987" s="84"/>
      <c r="G987" s="84"/>
      <c r="H987" s="139"/>
      <c r="I987" s="84"/>
    </row>
    <row r="988" spans="1:9">
      <c r="A988" s="139"/>
      <c r="B988" s="139"/>
      <c r="C988" s="138"/>
      <c r="D988" s="140"/>
      <c r="E988" s="84"/>
      <c r="F988" s="84"/>
      <c r="G988" s="84"/>
      <c r="H988" s="139"/>
      <c r="I988" s="84"/>
    </row>
    <row r="989" spans="1:9">
      <c r="A989" s="139"/>
      <c r="B989" s="139"/>
      <c r="C989" s="138"/>
      <c r="D989" s="140"/>
      <c r="E989" s="84"/>
      <c r="F989" s="84"/>
      <c r="G989" s="84"/>
      <c r="H989" s="139"/>
      <c r="I989" s="84"/>
    </row>
    <row r="990" spans="1:9">
      <c r="A990" s="139"/>
      <c r="B990" s="139"/>
      <c r="C990" s="138"/>
      <c r="D990" s="140"/>
      <c r="E990" s="84"/>
      <c r="F990" s="84"/>
      <c r="G990" s="84"/>
      <c r="H990" s="139"/>
      <c r="I990" s="84"/>
    </row>
    <row r="991" spans="1:9">
      <c r="A991" s="139"/>
      <c r="B991" s="139"/>
      <c r="C991" s="138"/>
      <c r="D991" s="140"/>
      <c r="E991" s="84"/>
      <c r="F991" s="84"/>
      <c r="G991" s="84"/>
      <c r="H991" s="139"/>
      <c r="I991" s="84"/>
    </row>
    <row r="992" spans="1:9">
      <c r="A992" s="139"/>
      <c r="B992" s="139"/>
      <c r="C992" s="138"/>
      <c r="D992" s="140"/>
      <c r="E992" s="84"/>
      <c r="F992" s="84"/>
      <c r="G992" s="84"/>
      <c r="H992" s="139"/>
      <c r="I992" s="84"/>
    </row>
    <row r="993" spans="1:9">
      <c r="A993" s="139"/>
      <c r="B993" s="139"/>
      <c r="C993" s="138"/>
      <c r="D993" s="140"/>
      <c r="E993" s="84"/>
      <c r="F993" s="84"/>
      <c r="G993" s="84"/>
      <c r="H993" s="139"/>
      <c r="I993" s="84"/>
    </row>
    <row r="994" spans="1:9">
      <c r="A994" s="139"/>
      <c r="B994" s="139"/>
      <c r="C994" s="138"/>
      <c r="D994" s="140"/>
      <c r="E994" s="84"/>
      <c r="F994" s="84"/>
      <c r="G994" s="84"/>
      <c r="H994" s="139"/>
      <c r="I994" s="84"/>
    </row>
    <row r="995" spans="1:9">
      <c r="A995" s="139"/>
      <c r="B995" s="139"/>
      <c r="C995" s="138"/>
      <c r="D995" s="140"/>
      <c r="E995" s="84"/>
      <c r="F995" s="84"/>
      <c r="G995" s="84"/>
      <c r="H995" s="139"/>
      <c r="I995" s="84"/>
    </row>
    <row r="996" spans="1:9">
      <c r="A996" s="139"/>
      <c r="B996" s="139"/>
      <c r="C996" s="138"/>
      <c r="D996" s="140"/>
      <c r="E996" s="84"/>
      <c r="F996" s="84"/>
      <c r="G996" s="84"/>
      <c r="H996" s="139"/>
      <c r="I996" s="84"/>
    </row>
    <row r="997" spans="1:9">
      <c r="A997" s="139"/>
      <c r="B997" s="139"/>
      <c r="C997" s="138"/>
      <c r="D997" s="140"/>
      <c r="E997" s="84"/>
      <c r="F997" s="84"/>
      <c r="G997" s="84"/>
      <c r="H997" s="139"/>
      <c r="I997" s="84"/>
    </row>
    <row r="998" spans="1:9">
      <c r="A998" s="139"/>
      <c r="B998" s="139"/>
      <c r="C998" s="138"/>
      <c r="D998" s="140"/>
      <c r="E998" s="84"/>
      <c r="F998" s="84"/>
      <c r="G998" s="84"/>
      <c r="H998" s="139"/>
      <c r="I998" s="84"/>
    </row>
    <row r="999" spans="1:9">
      <c r="A999" s="139"/>
      <c r="B999" s="139"/>
      <c r="C999" s="138"/>
      <c r="D999" s="140"/>
      <c r="E999" s="84"/>
      <c r="F999" s="84"/>
      <c r="G999" s="84"/>
      <c r="H999" s="139"/>
      <c r="I999" s="84"/>
    </row>
    <row r="1000" spans="1:9">
      <c r="A1000" s="139"/>
      <c r="B1000" s="139"/>
      <c r="C1000" s="138"/>
      <c r="D1000" s="140"/>
      <c r="E1000" s="84"/>
      <c r="F1000" s="84"/>
      <c r="G1000" s="84"/>
      <c r="H1000" s="139"/>
      <c r="I1000" s="84"/>
    </row>
    <row r="1001" spans="1:9">
      <c r="A1001" s="139"/>
      <c r="B1001" s="139"/>
      <c r="C1001" s="138"/>
      <c r="D1001" s="140"/>
      <c r="E1001" s="84"/>
      <c r="F1001" s="84"/>
      <c r="G1001" s="84"/>
      <c r="H1001" s="139"/>
      <c r="I1001" s="84"/>
    </row>
    <row r="1002" spans="1:9">
      <c r="A1002" s="139"/>
      <c r="B1002" s="139"/>
      <c r="C1002" s="138"/>
      <c r="D1002" s="140"/>
      <c r="E1002" s="84"/>
      <c r="F1002" s="84"/>
      <c r="G1002" s="84"/>
      <c r="H1002" s="139"/>
      <c r="I1002" s="84"/>
    </row>
    <row r="1003" spans="1:9">
      <c r="A1003" s="139"/>
      <c r="B1003" s="139"/>
      <c r="C1003" s="138"/>
      <c r="D1003" s="140"/>
      <c r="E1003" s="84"/>
      <c r="F1003" s="84"/>
      <c r="G1003" s="84"/>
      <c r="H1003" s="139"/>
      <c r="I1003" s="84"/>
    </row>
    <row r="1004" spans="1:9">
      <c r="A1004" s="139"/>
      <c r="B1004" s="139"/>
      <c r="C1004" s="138"/>
      <c r="D1004" s="140"/>
      <c r="E1004" s="84"/>
      <c r="F1004" s="84"/>
      <c r="G1004" s="84"/>
      <c r="H1004" s="139"/>
      <c r="I1004" s="84"/>
    </row>
    <row r="1005" spans="1:9">
      <c r="A1005" s="139"/>
      <c r="B1005" s="139"/>
      <c r="C1005" s="138"/>
      <c r="D1005" s="140"/>
      <c r="E1005" s="84"/>
      <c r="F1005" s="84"/>
      <c r="G1005" s="84"/>
      <c r="H1005" s="139"/>
      <c r="I1005" s="84"/>
    </row>
    <row r="1006" spans="1:9">
      <c r="A1006" s="139"/>
      <c r="B1006" s="139"/>
      <c r="C1006" s="138"/>
      <c r="D1006" s="140"/>
      <c r="E1006" s="84"/>
      <c r="F1006" s="84"/>
      <c r="G1006" s="84"/>
      <c r="H1006" s="139"/>
      <c r="I1006" s="84"/>
    </row>
    <row r="1007" spans="1:9">
      <c r="A1007" s="139"/>
      <c r="B1007" s="139"/>
      <c r="C1007" s="138"/>
      <c r="D1007" s="140"/>
      <c r="E1007" s="84"/>
      <c r="F1007" s="84"/>
      <c r="G1007" s="84"/>
      <c r="H1007" s="139"/>
      <c r="I1007" s="84"/>
    </row>
    <row r="1008" spans="1:9">
      <c r="A1008" s="139"/>
      <c r="B1008" s="139"/>
      <c r="C1008" s="138"/>
      <c r="D1008" s="140"/>
      <c r="E1008" s="84"/>
      <c r="F1008" s="84"/>
      <c r="G1008" s="84"/>
      <c r="H1008" s="139"/>
      <c r="I1008" s="84"/>
    </row>
    <row r="1009" spans="1:9">
      <c r="A1009" s="139"/>
      <c r="B1009" s="139"/>
      <c r="C1009" s="138"/>
      <c r="D1009" s="140"/>
      <c r="E1009" s="84"/>
      <c r="F1009" s="84"/>
      <c r="G1009" s="84"/>
      <c r="H1009" s="139"/>
      <c r="I1009" s="84"/>
    </row>
    <row r="1010" spans="1:9">
      <c r="A1010" s="139"/>
      <c r="B1010" s="139"/>
      <c r="C1010" s="138"/>
      <c r="D1010" s="140"/>
      <c r="E1010" s="84"/>
      <c r="F1010" s="84"/>
      <c r="G1010" s="84"/>
      <c r="H1010" s="139"/>
      <c r="I1010" s="84"/>
    </row>
    <row r="1011" spans="1:9">
      <c r="A1011" s="139"/>
      <c r="B1011" s="139"/>
      <c r="C1011" s="138"/>
      <c r="D1011" s="140"/>
      <c r="E1011" s="84"/>
      <c r="F1011" s="84"/>
      <c r="G1011" s="84"/>
      <c r="H1011" s="139"/>
      <c r="I1011" s="84"/>
    </row>
    <row r="1012" spans="1:9">
      <c r="A1012" s="139"/>
      <c r="B1012" s="139"/>
      <c r="C1012" s="138"/>
      <c r="D1012" s="140"/>
      <c r="E1012" s="84"/>
      <c r="F1012" s="84"/>
      <c r="G1012" s="84"/>
      <c r="H1012" s="139"/>
      <c r="I1012" s="84"/>
    </row>
    <row r="1013" spans="1:9">
      <c r="A1013" s="139"/>
      <c r="B1013" s="139"/>
      <c r="C1013" s="138"/>
      <c r="D1013" s="140"/>
      <c r="E1013" s="84"/>
      <c r="F1013" s="84"/>
      <c r="G1013" s="84"/>
      <c r="H1013" s="139"/>
      <c r="I1013" s="84"/>
    </row>
    <row r="1014" spans="1:9">
      <c r="A1014" s="139"/>
      <c r="B1014" s="139"/>
      <c r="C1014" s="138"/>
      <c r="D1014" s="140"/>
      <c r="E1014" s="84"/>
      <c r="F1014" s="84"/>
      <c r="G1014" s="84"/>
      <c r="H1014" s="139"/>
      <c r="I1014" s="84"/>
    </row>
    <row r="1015" spans="1:9">
      <c r="A1015" s="139"/>
      <c r="B1015" s="139"/>
      <c r="C1015" s="138"/>
      <c r="D1015" s="140"/>
      <c r="E1015" s="84"/>
      <c r="F1015" s="84"/>
      <c r="G1015" s="84"/>
      <c r="H1015" s="139"/>
      <c r="I1015" s="84"/>
    </row>
    <row r="1016" spans="1:9">
      <c r="A1016" s="139"/>
      <c r="B1016" s="139"/>
      <c r="C1016" s="138"/>
      <c r="D1016" s="140"/>
      <c r="E1016" s="84"/>
      <c r="F1016" s="84"/>
      <c r="G1016" s="84"/>
      <c r="H1016" s="139"/>
      <c r="I1016" s="84"/>
    </row>
    <row r="1017" spans="1:9">
      <c r="A1017" s="139"/>
      <c r="B1017" s="139"/>
      <c r="C1017" s="138"/>
      <c r="D1017" s="140"/>
      <c r="E1017" s="84"/>
      <c r="F1017" s="84"/>
      <c r="G1017" s="84"/>
      <c r="H1017" s="139"/>
      <c r="I1017" s="84"/>
    </row>
    <row r="1018" spans="1:9">
      <c r="A1018" s="139"/>
      <c r="B1018" s="139"/>
      <c r="C1018" s="138"/>
      <c r="D1018" s="140"/>
      <c r="E1018" s="84"/>
      <c r="F1018" s="84"/>
      <c r="G1018" s="84"/>
      <c r="H1018" s="139"/>
      <c r="I1018" s="84"/>
    </row>
    <row r="1019" spans="1:9">
      <c r="A1019" s="139"/>
      <c r="B1019" s="139"/>
      <c r="C1019" s="138"/>
      <c r="D1019" s="140"/>
      <c r="E1019" s="84"/>
      <c r="F1019" s="84"/>
      <c r="G1019" s="84"/>
      <c r="H1019" s="139"/>
      <c r="I1019" s="84"/>
    </row>
    <row r="1020" spans="1:9">
      <c r="A1020" s="139"/>
      <c r="B1020" s="139"/>
      <c r="C1020" s="138"/>
      <c r="D1020" s="140"/>
      <c r="E1020" s="84"/>
      <c r="F1020" s="84"/>
      <c r="G1020" s="84"/>
      <c r="H1020" s="139"/>
      <c r="I1020" s="84"/>
    </row>
    <row r="1021" spans="1:9">
      <c r="A1021" s="139"/>
      <c r="B1021" s="139"/>
      <c r="C1021" s="138"/>
      <c r="D1021" s="140"/>
      <c r="E1021" s="84"/>
      <c r="F1021" s="84"/>
      <c r="G1021" s="84"/>
      <c r="H1021" s="139"/>
      <c r="I1021" s="84"/>
    </row>
    <row r="1022" spans="1:9">
      <c r="A1022" s="139"/>
      <c r="B1022" s="139"/>
      <c r="C1022" s="138"/>
      <c r="D1022" s="140"/>
      <c r="E1022" s="84"/>
      <c r="F1022" s="84"/>
      <c r="G1022" s="84"/>
      <c r="H1022" s="139"/>
      <c r="I1022" s="84"/>
    </row>
    <row r="1023" spans="1:9">
      <c r="A1023" s="139"/>
      <c r="B1023" s="139"/>
      <c r="C1023" s="138"/>
      <c r="D1023" s="140"/>
      <c r="E1023" s="84"/>
      <c r="F1023" s="84"/>
      <c r="G1023" s="84"/>
      <c r="H1023" s="139"/>
      <c r="I1023" s="84"/>
    </row>
    <row r="1024" spans="1:9">
      <c r="A1024" s="139"/>
      <c r="B1024" s="139"/>
      <c r="C1024" s="138"/>
      <c r="D1024" s="140"/>
      <c r="E1024" s="84"/>
      <c r="F1024" s="84"/>
      <c r="G1024" s="84"/>
      <c r="H1024" s="139"/>
      <c r="I1024" s="84"/>
    </row>
    <row r="1025" spans="1:9">
      <c r="A1025" s="139"/>
      <c r="B1025" s="139"/>
      <c r="C1025" s="138"/>
      <c r="D1025" s="140"/>
      <c r="E1025" s="84"/>
      <c r="F1025" s="84"/>
      <c r="G1025" s="84"/>
      <c r="H1025" s="139"/>
      <c r="I1025" s="84"/>
    </row>
    <row r="1026" spans="1:9">
      <c r="A1026" s="139"/>
      <c r="B1026" s="139"/>
      <c r="C1026" s="138"/>
      <c r="D1026" s="140"/>
      <c r="E1026" s="84"/>
      <c r="F1026" s="84"/>
      <c r="G1026" s="84"/>
      <c r="H1026" s="139"/>
      <c r="I1026" s="84"/>
    </row>
    <row r="1027" spans="1:9">
      <c r="A1027" s="139"/>
      <c r="B1027" s="139"/>
      <c r="C1027" s="138"/>
      <c r="D1027" s="140"/>
      <c r="E1027" s="84"/>
      <c r="F1027" s="84"/>
      <c r="G1027" s="84"/>
      <c r="H1027" s="139"/>
      <c r="I1027" s="84"/>
    </row>
    <row r="1028" spans="1:9">
      <c r="A1028" s="139"/>
      <c r="B1028" s="139"/>
      <c r="C1028" s="138"/>
      <c r="D1028" s="140"/>
      <c r="E1028" s="84"/>
      <c r="F1028" s="84"/>
      <c r="G1028" s="84"/>
      <c r="H1028" s="139"/>
      <c r="I1028" s="84"/>
    </row>
    <row r="1029" spans="1:9">
      <c r="A1029" s="139"/>
      <c r="B1029" s="139"/>
      <c r="C1029" s="138"/>
      <c r="D1029" s="140"/>
      <c r="E1029" s="84"/>
      <c r="F1029" s="84"/>
      <c r="G1029" s="84"/>
      <c r="H1029" s="139"/>
      <c r="I1029" s="84"/>
    </row>
    <row r="1030" spans="1:9">
      <c r="A1030" s="139"/>
      <c r="B1030" s="139"/>
      <c r="C1030" s="138"/>
      <c r="D1030" s="140"/>
      <c r="E1030" s="84"/>
      <c r="F1030" s="84"/>
      <c r="G1030" s="84"/>
      <c r="H1030" s="139"/>
      <c r="I1030" s="84"/>
    </row>
    <row r="1031" spans="1:9">
      <c r="A1031" s="139"/>
      <c r="B1031" s="139"/>
      <c r="C1031" s="138"/>
      <c r="D1031" s="140"/>
      <c r="E1031" s="84"/>
      <c r="F1031" s="84"/>
      <c r="G1031" s="84"/>
      <c r="H1031" s="139"/>
      <c r="I1031" s="84"/>
    </row>
    <row r="1032" spans="1:9">
      <c r="A1032" s="139"/>
      <c r="B1032" s="139"/>
      <c r="C1032" s="138"/>
      <c r="D1032" s="140"/>
      <c r="E1032" s="84"/>
      <c r="F1032" s="84"/>
      <c r="G1032" s="84"/>
      <c r="H1032" s="139"/>
      <c r="I1032" s="84"/>
    </row>
    <row r="1033" spans="1:9">
      <c r="A1033" s="139"/>
      <c r="B1033" s="139"/>
      <c r="C1033" s="138"/>
      <c r="D1033" s="140"/>
      <c r="E1033" s="84"/>
      <c r="F1033" s="84"/>
      <c r="G1033" s="84"/>
      <c r="H1033" s="139"/>
      <c r="I1033" s="84"/>
    </row>
    <row r="1034" spans="1:9">
      <c r="A1034" s="139"/>
      <c r="B1034" s="139"/>
      <c r="C1034" s="138"/>
      <c r="D1034" s="140"/>
      <c r="E1034" s="84"/>
      <c r="F1034" s="84"/>
      <c r="G1034" s="84"/>
      <c r="H1034" s="139"/>
      <c r="I1034" s="84"/>
    </row>
    <row r="1035" spans="1:9">
      <c r="A1035" s="139"/>
      <c r="B1035" s="139"/>
      <c r="C1035" s="138"/>
      <c r="D1035" s="140"/>
      <c r="E1035" s="84"/>
      <c r="F1035" s="84"/>
      <c r="G1035" s="84"/>
      <c r="H1035" s="139"/>
      <c r="I1035" s="84"/>
    </row>
    <row r="1036" spans="1:9">
      <c r="A1036" s="139"/>
      <c r="B1036" s="139"/>
      <c r="C1036" s="138"/>
      <c r="D1036" s="140"/>
      <c r="E1036" s="84"/>
      <c r="F1036" s="84"/>
      <c r="G1036" s="84"/>
      <c r="H1036" s="139"/>
      <c r="I1036" s="84"/>
    </row>
    <row r="1037" spans="1:9">
      <c r="A1037" s="139"/>
      <c r="B1037" s="139"/>
      <c r="C1037" s="138"/>
      <c r="D1037" s="140"/>
      <c r="E1037" s="84"/>
      <c r="F1037" s="84"/>
      <c r="G1037" s="84"/>
      <c r="H1037" s="139"/>
      <c r="I1037" s="84"/>
    </row>
    <row r="1038" spans="1:9">
      <c r="A1038" s="139"/>
      <c r="B1038" s="139"/>
      <c r="C1038" s="138"/>
      <c r="D1038" s="140"/>
      <c r="E1038" s="84"/>
      <c r="F1038" s="84"/>
      <c r="G1038" s="84"/>
      <c r="H1038" s="139"/>
      <c r="I1038" s="84"/>
    </row>
    <row r="1039" spans="1:9">
      <c r="A1039" s="139"/>
      <c r="B1039" s="139"/>
      <c r="C1039" s="138"/>
      <c r="D1039" s="140"/>
      <c r="E1039" s="84"/>
      <c r="F1039" s="84"/>
      <c r="G1039" s="84"/>
      <c r="H1039" s="139"/>
      <c r="I1039" s="84"/>
    </row>
    <row r="1040" spans="1:9">
      <c r="A1040" s="139"/>
      <c r="B1040" s="139"/>
      <c r="C1040" s="138"/>
      <c r="D1040" s="140"/>
      <c r="E1040" s="84"/>
      <c r="F1040" s="84"/>
      <c r="G1040" s="84"/>
      <c r="H1040" s="139"/>
      <c r="I1040" s="84"/>
    </row>
    <row r="1041" spans="1:9">
      <c r="A1041" s="139"/>
      <c r="B1041" s="139"/>
      <c r="C1041" s="138"/>
      <c r="D1041" s="140"/>
      <c r="E1041" s="84"/>
      <c r="F1041" s="84"/>
      <c r="G1041" s="84"/>
      <c r="H1041" s="139"/>
      <c r="I1041" s="84"/>
    </row>
    <row r="1042" spans="1:9">
      <c r="A1042" s="139"/>
      <c r="B1042" s="139"/>
      <c r="C1042" s="138"/>
      <c r="D1042" s="140"/>
      <c r="E1042" s="84"/>
      <c r="F1042" s="84"/>
      <c r="G1042" s="84"/>
      <c r="H1042" s="139"/>
      <c r="I1042" s="84"/>
    </row>
    <row r="1043" spans="1:9">
      <c r="A1043" s="139"/>
      <c r="B1043" s="139"/>
      <c r="C1043" s="138"/>
      <c r="D1043" s="140"/>
      <c r="E1043" s="84"/>
      <c r="F1043" s="84"/>
      <c r="G1043" s="84"/>
      <c r="H1043" s="139"/>
      <c r="I1043" s="84"/>
    </row>
    <row r="1044" spans="1:9">
      <c r="A1044" s="139"/>
      <c r="B1044" s="139"/>
      <c r="C1044" s="138"/>
      <c r="D1044" s="140"/>
      <c r="E1044" s="84"/>
      <c r="F1044" s="84"/>
      <c r="G1044" s="84"/>
      <c r="H1044" s="139"/>
      <c r="I1044" s="84"/>
    </row>
    <row r="1045" spans="1:9">
      <c r="A1045" s="139"/>
      <c r="B1045" s="139"/>
      <c r="C1045" s="138"/>
      <c r="D1045" s="140"/>
      <c r="E1045" s="84"/>
      <c r="F1045" s="84"/>
      <c r="G1045" s="84"/>
      <c r="H1045" s="139"/>
      <c r="I1045" s="84"/>
    </row>
    <row r="1046" spans="1:9">
      <c r="A1046" s="139"/>
      <c r="B1046" s="139"/>
      <c r="C1046" s="138"/>
      <c r="D1046" s="140"/>
      <c r="E1046" s="84"/>
      <c r="F1046" s="84"/>
      <c r="G1046" s="84"/>
      <c r="H1046" s="139"/>
      <c r="I1046" s="84"/>
    </row>
    <row r="1047" spans="1:9">
      <c r="A1047" s="139"/>
      <c r="B1047" s="139"/>
      <c r="C1047" s="138"/>
      <c r="D1047" s="140"/>
      <c r="E1047" s="84"/>
      <c r="F1047" s="84"/>
      <c r="G1047" s="84"/>
      <c r="H1047" s="139"/>
      <c r="I1047" s="84"/>
    </row>
    <row r="1048" spans="1:9">
      <c r="A1048" s="139"/>
      <c r="B1048" s="139"/>
      <c r="C1048" s="138"/>
      <c r="D1048" s="140"/>
      <c r="E1048" s="84"/>
      <c r="F1048" s="84"/>
      <c r="G1048" s="84"/>
      <c r="H1048" s="139"/>
      <c r="I1048" s="84"/>
    </row>
    <row r="1049" spans="1:9">
      <c r="A1049" s="139"/>
      <c r="B1049" s="139"/>
      <c r="C1049" s="138"/>
      <c r="D1049" s="140"/>
      <c r="E1049" s="84"/>
      <c r="F1049" s="84"/>
      <c r="G1049" s="84"/>
      <c r="H1049" s="139"/>
      <c r="I1049" s="84"/>
    </row>
    <row r="1050" spans="1:9">
      <c r="A1050" s="139"/>
      <c r="B1050" s="139"/>
      <c r="C1050" s="138"/>
      <c r="D1050" s="140"/>
      <c r="E1050" s="84"/>
      <c r="F1050" s="84"/>
      <c r="G1050" s="84"/>
      <c r="H1050" s="139"/>
      <c r="I1050" s="84"/>
    </row>
    <row r="1051" spans="1:9">
      <c r="A1051" s="139"/>
      <c r="B1051" s="139"/>
      <c r="C1051" s="138"/>
      <c r="D1051" s="140"/>
      <c r="E1051" s="84"/>
      <c r="F1051" s="84"/>
      <c r="G1051" s="84"/>
      <c r="H1051" s="139"/>
      <c r="I1051" s="84"/>
    </row>
    <row r="1052" spans="1:9">
      <c r="A1052" s="139"/>
      <c r="B1052" s="139"/>
      <c r="C1052" s="138"/>
      <c r="D1052" s="140"/>
      <c r="E1052" s="84"/>
      <c r="F1052" s="84"/>
      <c r="G1052" s="84"/>
      <c r="H1052" s="139"/>
      <c r="I1052" s="84"/>
    </row>
    <row r="1053" spans="1:9">
      <c r="A1053" s="139"/>
      <c r="B1053" s="139"/>
      <c r="C1053" s="138"/>
      <c r="D1053" s="140"/>
      <c r="E1053" s="84"/>
      <c r="F1053" s="84"/>
      <c r="G1053" s="84"/>
      <c r="H1053" s="139"/>
      <c r="I1053" s="84"/>
    </row>
    <row r="1054" spans="1:9">
      <c r="A1054" s="139"/>
      <c r="B1054" s="139"/>
      <c r="C1054" s="138"/>
      <c r="D1054" s="140"/>
      <c r="E1054" s="84"/>
      <c r="F1054" s="84"/>
      <c r="G1054" s="84"/>
      <c r="H1054" s="139"/>
      <c r="I1054" s="84"/>
    </row>
    <row r="1055" spans="1:9">
      <c r="A1055" s="139"/>
      <c r="B1055" s="139"/>
      <c r="C1055" s="138"/>
      <c r="D1055" s="140"/>
      <c r="E1055" s="84"/>
      <c r="F1055" s="84"/>
      <c r="G1055" s="84"/>
      <c r="H1055" s="139"/>
      <c r="I1055" s="84"/>
    </row>
    <row r="1056" spans="1:9">
      <c r="A1056" s="139"/>
      <c r="B1056" s="139"/>
      <c r="C1056" s="138"/>
      <c r="D1056" s="140"/>
      <c r="E1056" s="84"/>
      <c r="F1056" s="84"/>
      <c r="G1056" s="84"/>
      <c r="H1056" s="139"/>
      <c r="I1056" s="84"/>
    </row>
    <row r="1057" spans="1:9">
      <c r="A1057" s="139"/>
      <c r="B1057" s="139"/>
      <c r="C1057" s="138"/>
      <c r="D1057" s="140"/>
      <c r="E1057" s="84"/>
      <c r="F1057" s="84"/>
      <c r="G1057" s="84"/>
      <c r="H1057" s="139"/>
      <c r="I1057" s="84"/>
    </row>
    <row r="1058" spans="1:9">
      <c r="A1058" s="139"/>
      <c r="B1058" s="139"/>
      <c r="C1058" s="138"/>
      <c r="D1058" s="140"/>
      <c r="E1058" s="84"/>
      <c r="F1058" s="84"/>
      <c r="G1058" s="84"/>
      <c r="H1058" s="139"/>
      <c r="I1058" s="84"/>
    </row>
    <row r="1059" spans="1:9">
      <c r="A1059" s="139"/>
      <c r="B1059" s="139"/>
      <c r="C1059" s="138"/>
      <c r="D1059" s="140"/>
      <c r="E1059" s="84"/>
      <c r="F1059" s="84"/>
      <c r="G1059" s="84"/>
      <c r="H1059" s="139"/>
      <c r="I1059" s="84"/>
    </row>
    <row r="1060" spans="1:9">
      <c r="A1060" s="139"/>
      <c r="B1060" s="139"/>
      <c r="C1060" s="138"/>
      <c r="D1060" s="140"/>
      <c r="E1060" s="84"/>
      <c r="F1060" s="84"/>
      <c r="G1060" s="84"/>
      <c r="H1060" s="139"/>
      <c r="I1060" s="84"/>
    </row>
    <row r="1061" spans="1:9">
      <c r="A1061" s="139"/>
      <c r="B1061" s="139"/>
      <c r="C1061" s="138"/>
      <c r="D1061" s="140"/>
      <c r="E1061" s="84"/>
      <c r="F1061" s="84"/>
      <c r="G1061" s="84"/>
      <c r="H1061" s="139"/>
      <c r="I1061" s="84"/>
    </row>
    <row r="1062" spans="1:9">
      <c r="A1062" s="139"/>
      <c r="B1062" s="139"/>
      <c r="C1062" s="138"/>
      <c r="D1062" s="140"/>
      <c r="E1062" s="84"/>
      <c r="F1062" s="84"/>
      <c r="G1062" s="84"/>
      <c r="H1062" s="139"/>
      <c r="I1062" s="84"/>
    </row>
    <row r="1063" spans="1:9">
      <c r="A1063" s="139"/>
      <c r="B1063" s="139"/>
      <c r="C1063" s="138"/>
      <c r="D1063" s="140"/>
      <c r="E1063" s="84"/>
      <c r="F1063" s="84"/>
      <c r="G1063" s="84"/>
      <c r="H1063" s="139"/>
      <c r="I1063" s="84"/>
    </row>
    <row r="1064" spans="1:9">
      <c r="A1064" s="139"/>
      <c r="B1064" s="139"/>
      <c r="C1064" s="138"/>
      <c r="D1064" s="140"/>
      <c r="E1064" s="84"/>
      <c r="F1064" s="84"/>
      <c r="G1064" s="84"/>
      <c r="H1064" s="139"/>
      <c r="I1064" s="84"/>
    </row>
    <row r="1065" spans="1:9">
      <c r="A1065" s="139"/>
      <c r="B1065" s="139"/>
      <c r="C1065" s="138"/>
      <c r="D1065" s="140"/>
      <c r="E1065" s="84"/>
      <c r="F1065" s="84"/>
      <c r="G1065" s="84"/>
      <c r="H1065" s="139"/>
      <c r="I1065" s="84"/>
    </row>
    <row r="1066" spans="1:9">
      <c r="A1066" s="139"/>
      <c r="B1066" s="139"/>
      <c r="C1066" s="138"/>
      <c r="D1066" s="140"/>
      <c r="E1066" s="84"/>
      <c r="F1066" s="84"/>
      <c r="G1066" s="84"/>
      <c r="H1066" s="139"/>
      <c r="I1066" s="84"/>
    </row>
    <row r="1067" spans="1:9">
      <c r="A1067" s="139"/>
      <c r="B1067" s="139"/>
      <c r="C1067" s="138"/>
      <c r="D1067" s="140"/>
      <c r="E1067" s="84"/>
      <c r="F1067" s="84"/>
      <c r="G1067" s="84"/>
      <c r="H1067" s="139"/>
      <c r="I1067" s="84"/>
    </row>
    <row r="1068" spans="1:9">
      <c r="A1068" s="139"/>
      <c r="B1068" s="139"/>
      <c r="C1068" s="138"/>
      <c r="D1068" s="140"/>
      <c r="E1068" s="84"/>
      <c r="F1068" s="84"/>
      <c r="G1068" s="84"/>
      <c r="H1068" s="139"/>
      <c r="I1068" s="84"/>
    </row>
    <row r="1069" spans="1:9">
      <c r="A1069" s="139"/>
      <c r="B1069" s="139"/>
      <c r="C1069" s="138"/>
      <c r="D1069" s="140"/>
      <c r="E1069" s="84"/>
      <c r="F1069" s="84"/>
      <c r="G1069" s="84"/>
      <c r="H1069" s="139"/>
      <c r="I1069" s="84"/>
    </row>
    <row r="1070" spans="1:9">
      <c r="A1070" s="139"/>
      <c r="B1070" s="139"/>
      <c r="C1070" s="138"/>
      <c r="D1070" s="140"/>
      <c r="E1070" s="84"/>
      <c r="F1070" s="84"/>
      <c r="G1070" s="84"/>
      <c r="H1070" s="139"/>
      <c r="I1070" s="84"/>
    </row>
    <row r="1071" spans="1:9">
      <c r="A1071" s="139"/>
      <c r="B1071" s="139"/>
      <c r="C1071" s="138"/>
      <c r="D1071" s="140"/>
      <c r="E1071" s="84"/>
      <c r="F1071" s="84"/>
      <c r="G1071" s="84"/>
      <c r="H1071" s="139"/>
      <c r="I1071" s="84"/>
    </row>
    <row r="1072" spans="1:9">
      <c r="A1072" s="139"/>
      <c r="B1072" s="139"/>
      <c r="C1072" s="138"/>
      <c r="D1072" s="140"/>
      <c r="E1072" s="84"/>
      <c r="F1072" s="84"/>
      <c r="G1072" s="84"/>
      <c r="H1072" s="139"/>
      <c r="I1072" s="84"/>
    </row>
    <row r="1073" spans="1:9">
      <c r="A1073" s="139"/>
      <c r="B1073" s="139"/>
      <c r="C1073" s="138"/>
      <c r="D1073" s="140"/>
      <c r="E1073" s="84"/>
      <c r="F1073" s="84"/>
      <c r="G1073" s="84"/>
      <c r="H1073" s="139"/>
      <c r="I1073" s="84"/>
    </row>
    <row r="1074" spans="1:9">
      <c r="A1074" s="139"/>
      <c r="B1074" s="139"/>
      <c r="C1074" s="138"/>
      <c r="D1074" s="140"/>
      <c r="E1074" s="84"/>
      <c r="F1074" s="84"/>
      <c r="G1074" s="84"/>
      <c r="H1074" s="139"/>
      <c r="I1074" s="84"/>
    </row>
    <row r="1075" spans="1:9">
      <c r="A1075" s="139"/>
      <c r="B1075" s="139"/>
      <c r="C1075" s="138"/>
      <c r="D1075" s="140"/>
      <c r="E1075" s="84"/>
      <c r="F1075" s="84"/>
      <c r="G1075" s="84"/>
      <c r="H1075" s="139"/>
      <c r="I1075" s="84"/>
    </row>
    <row r="1076" spans="1:9">
      <c r="A1076" s="139"/>
      <c r="B1076" s="139"/>
      <c r="C1076" s="138"/>
      <c r="D1076" s="140"/>
      <c r="E1076" s="84"/>
      <c r="F1076" s="84"/>
      <c r="G1076" s="84"/>
      <c r="H1076" s="139"/>
      <c r="I1076" s="84"/>
    </row>
    <row r="1077" spans="1:9">
      <c r="A1077" s="139"/>
      <c r="B1077" s="139"/>
      <c r="C1077" s="138"/>
      <c r="D1077" s="140"/>
      <c r="E1077" s="84"/>
      <c r="F1077" s="84"/>
      <c r="G1077" s="84"/>
      <c r="H1077" s="139"/>
      <c r="I1077" s="84"/>
    </row>
    <row r="1078" spans="1:9">
      <c r="A1078" s="139"/>
      <c r="B1078" s="139"/>
      <c r="C1078" s="138"/>
      <c r="D1078" s="140"/>
      <c r="E1078" s="84"/>
      <c r="F1078" s="84"/>
      <c r="G1078" s="84"/>
      <c r="H1078" s="139"/>
      <c r="I1078" s="84"/>
    </row>
    <row r="1079" spans="1:9">
      <c r="A1079" s="139"/>
      <c r="B1079" s="139"/>
      <c r="C1079" s="138"/>
      <c r="D1079" s="140"/>
      <c r="E1079" s="84"/>
      <c r="F1079" s="84"/>
      <c r="G1079" s="84"/>
      <c r="H1079" s="139"/>
      <c r="I1079" s="84"/>
    </row>
    <row r="1080" spans="1:9">
      <c r="A1080" s="139"/>
      <c r="B1080" s="139"/>
      <c r="C1080" s="138"/>
      <c r="D1080" s="140"/>
      <c r="E1080" s="84"/>
      <c r="F1080" s="84"/>
      <c r="G1080" s="84"/>
      <c r="H1080" s="139"/>
      <c r="I1080" s="84"/>
    </row>
    <row r="1081" spans="1:9">
      <c r="A1081" s="139"/>
      <c r="B1081" s="139"/>
      <c r="C1081" s="138"/>
      <c r="D1081" s="140"/>
      <c r="E1081" s="84"/>
      <c r="F1081" s="84"/>
      <c r="G1081" s="84"/>
      <c r="H1081" s="139"/>
      <c r="I1081" s="84"/>
    </row>
    <row r="1082" spans="1:9">
      <c r="A1082" s="139"/>
      <c r="B1082" s="139"/>
      <c r="C1082" s="138"/>
      <c r="D1082" s="140"/>
      <c r="E1082" s="84"/>
      <c r="F1082" s="84"/>
      <c r="G1082" s="84"/>
      <c r="H1082" s="139"/>
      <c r="I1082" s="84"/>
    </row>
    <row r="1083" spans="1:9">
      <c r="A1083" s="139"/>
      <c r="B1083" s="139"/>
      <c r="C1083" s="138"/>
      <c r="D1083" s="140"/>
      <c r="E1083" s="84"/>
      <c r="F1083" s="84"/>
      <c r="G1083" s="84"/>
      <c r="H1083" s="139"/>
      <c r="I1083" s="84"/>
    </row>
    <row r="1084" spans="1:9">
      <c r="A1084" s="139"/>
      <c r="B1084" s="139"/>
      <c r="C1084" s="138"/>
      <c r="D1084" s="140"/>
      <c r="E1084" s="84"/>
      <c r="F1084" s="84"/>
      <c r="G1084" s="84"/>
      <c r="H1084" s="139"/>
      <c r="I1084" s="84"/>
    </row>
    <row r="1085" spans="1:9">
      <c r="A1085" s="139"/>
      <c r="B1085" s="139"/>
      <c r="C1085" s="138"/>
      <c r="D1085" s="140"/>
      <c r="E1085" s="84"/>
      <c r="F1085" s="84"/>
      <c r="G1085" s="84"/>
      <c r="H1085" s="139"/>
      <c r="I1085" s="84"/>
    </row>
    <row r="1086" spans="1:9">
      <c r="A1086" s="139"/>
      <c r="B1086" s="139"/>
      <c r="C1086" s="138"/>
      <c r="D1086" s="140"/>
      <c r="E1086" s="84"/>
      <c r="F1086" s="84"/>
      <c r="G1086" s="84"/>
      <c r="H1086" s="139"/>
      <c r="I1086" s="84"/>
    </row>
    <row r="1087" spans="1:9">
      <c r="A1087" s="139"/>
      <c r="B1087" s="139"/>
      <c r="C1087" s="138"/>
      <c r="D1087" s="140"/>
      <c r="E1087" s="84"/>
      <c r="F1087" s="84"/>
      <c r="G1087" s="84"/>
      <c r="H1087" s="139"/>
      <c r="I1087" s="84"/>
    </row>
    <row r="1088" spans="1:9">
      <c r="A1088" s="139"/>
      <c r="B1088" s="139"/>
      <c r="C1088" s="138"/>
      <c r="D1088" s="140"/>
      <c r="E1088" s="84"/>
      <c r="F1088" s="84"/>
      <c r="G1088" s="84"/>
      <c r="H1088" s="139"/>
      <c r="I1088" s="84"/>
    </row>
    <row r="1089" spans="1:9">
      <c r="A1089" s="139"/>
      <c r="B1089" s="139"/>
      <c r="C1089" s="138"/>
      <c r="D1089" s="140"/>
      <c r="E1089" s="84"/>
      <c r="F1089" s="84"/>
      <c r="G1089" s="84"/>
      <c r="H1089" s="139"/>
      <c r="I1089" s="84"/>
    </row>
    <row r="1090" spans="1:9">
      <c r="A1090" s="139"/>
      <c r="B1090" s="139"/>
      <c r="C1090" s="138"/>
      <c r="D1090" s="140"/>
      <c r="E1090" s="84"/>
      <c r="F1090" s="84"/>
      <c r="G1090" s="84"/>
      <c r="H1090" s="139"/>
      <c r="I1090" s="84"/>
    </row>
    <row r="1091" spans="1:9">
      <c r="A1091" s="139"/>
      <c r="B1091" s="139"/>
      <c r="C1091" s="138"/>
      <c r="D1091" s="140"/>
      <c r="E1091" s="84"/>
      <c r="F1091" s="84"/>
      <c r="G1091" s="84"/>
      <c r="H1091" s="139"/>
      <c r="I1091" s="84"/>
    </row>
    <row r="1092" spans="1:9">
      <c r="A1092" s="139"/>
      <c r="B1092" s="139"/>
      <c r="C1092" s="138"/>
      <c r="D1092" s="140"/>
      <c r="E1092" s="84"/>
      <c r="F1092" s="84"/>
      <c r="G1092" s="84"/>
      <c r="H1092" s="139"/>
      <c r="I1092" s="84"/>
    </row>
    <row r="1093" spans="1:9">
      <c r="A1093" s="139"/>
      <c r="B1093" s="139"/>
      <c r="C1093" s="138"/>
      <c r="D1093" s="140"/>
      <c r="E1093" s="84"/>
      <c r="F1093" s="84"/>
      <c r="G1093" s="84"/>
      <c r="H1093" s="139"/>
      <c r="I1093" s="84"/>
    </row>
    <row r="1094" spans="1:9">
      <c r="A1094" s="139"/>
      <c r="B1094" s="139"/>
      <c r="C1094" s="138"/>
      <c r="D1094" s="140"/>
      <c r="E1094" s="84"/>
      <c r="F1094" s="84"/>
      <c r="G1094" s="84"/>
      <c r="H1094" s="139"/>
      <c r="I1094" s="84"/>
    </row>
    <row r="1095" spans="1:9">
      <c r="A1095" s="139"/>
      <c r="B1095" s="139"/>
      <c r="C1095" s="138"/>
      <c r="D1095" s="140"/>
      <c r="E1095" s="84"/>
      <c r="F1095" s="84"/>
      <c r="G1095" s="84"/>
      <c r="H1095" s="139"/>
      <c r="I1095" s="84"/>
    </row>
    <row r="1096" spans="1:9">
      <c r="A1096" s="139"/>
      <c r="B1096" s="139"/>
      <c r="C1096" s="138"/>
      <c r="D1096" s="140"/>
      <c r="E1096" s="84"/>
      <c r="F1096" s="84"/>
      <c r="G1096" s="84"/>
      <c r="H1096" s="139"/>
      <c r="I1096" s="84"/>
    </row>
    <row r="1097" spans="1:9">
      <c r="A1097" s="139"/>
      <c r="B1097" s="139"/>
      <c r="C1097" s="138"/>
      <c r="D1097" s="140"/>
      <c r="E1097" s="84"/>
      <c r="F1097" s="84"/>
      <c r="G1097" s="84"/>
      <c r="H1097" s="139"/>
      <c r="I1097" s="84"/>
    </row>
    <row r="1098" spans="1:9">
      <c r="A1098" s="139"/>
      <c r="B1098" s="139"/>
      <c r="C1098" s="138"/>
      <c r="D1098" s="140"/>
      <c r="E1098" s="84"/>
      <c r="F1098" s="84"/>
      <c r="G1098" s="84"/>
      <c r="H1098" s="139"/>
      <c r="I1098" s="84"/>
    </row>
    <row r="1099" spans="1:9">
      <c r="A1099" s="139"/>
      <c r="B1099" s="139"/>
      <c r="C1099" s="138"/>
      <c r="D1099" s="140"/>
      <c r="E1099" s="84"/>
      <c r="F1099" s="84"/>
      <c r="G1099" s="84"/>
      <c r="H1099" s="139"/>
      <c r="I1099" s="84"/>
    </row>
    <row r="1100" spans="1:9">
      <c r="A1100" s="139"/>
      <c r="B1100" s="139"/>
      <c r="C1100" s="138"/>
      <c r="D1100" s="140"/>
      <c r="E1100" s="84"/>
      <c r="F1100" s="84"/>
      <c r="G1100" s="84"/>
      <c r="H1100" s="139"/>
      <c r="I1100" s="84"/>
    </row>
    <row r="1101" spans="1:9">
      <c r="A1101" s="139"/>
      <c r="B1101" s="139"/>
      <c r="C1101" s="138"/>
      <c r="D1101" s="140"/>
      <c r="E1101" s="84"/>
      <c r="F1101" s="84"/>
      <c r="G1101" s="84"/>
      <c r="H1101" s="139"/>
      <c r="I1101" s="84"/>
    </row>
    <row r="1102" spans="1:9">
      <c r="A1102" s="139"/>
      <c r="B1102" s="139"/>
      <c r="C1102" s="138"/>
      <c r="D1102" s="140"/>
      <c r="E1102" s="84"/>
      <c r="F1102" s="84"/>
      <c r="G1102" s="84"/>
      <c r="H1102" s="139"/>
      <c r="I1102" s="84"/>
    </row>
    <row r="1103" spans="1:9">
      <c r="A1103" s="139"/>
      <c r="B1103" s="139"/>
      <c r="C1103" s="138"/>
      <c r="D1103" s="140"/>
      <c r="E1103" s="84"/>
      <c r="F1103" s="84"/>
      <c r="G1103" s="84"/>
      <c r="H1103" s="139"/>
      <c r="I1103" s="84"/>
    </row>
    <row r="1104" spans="1:9">
      <c r="A1104" s="139"/>
      <c r="B1104" s="139"/>
      <c r="C1104" s="138"/>
      <c r="D1104" s="140"/>
      <c r="E1104" s="84"/>
      <c r="F1104" s="84"/>
      <c r="G1104" s="84"/>
      <c r="H1104" s="139"/>
      <c r="I1104" s="84"/>
    </row>
    <row r="1105" spans="1:9">
      <c r="A1105" s="139"/>
      <c r="B1105" s="139"/>
      <c r="C1105" s="138"/>
      <c r="D1105" s="140"/>
      <c r="E1105" s="84"/>
      <c r="F1105" s="84"/>
      <c r="G1105" s="84"/>
      <c r="H1105" s="139"/>
      <c r="I1105" s="84"/>
    </row>
    <row r="1106" spans="1:9">
      <c r="A1106" s="139"/>
      <c r="B1106" s="139"/>
      <c r="C1106" s="138"/>
      <c r="D1106" s="140"/>
      <c r="E1106" s="84"/>
      <c r="F1106" s="84"/>
      <c r="G1106" s="84"/>
      <c r="H1106" s="139"/>
      <c r="I1106" s="84"/>
    </row>
    <row r="1107" spans="1:9">
      <c r="A1107" s="139"/>
      <c r="B1107" s="139"/>
      <c r="C1107" s="138"/>
      <c r="D1107" s="140"/>
      <c r="E1107" s="84"/>
      <c r="F1107" s="84"/>
      <c r="G1107" s="84"/>
      <c r="H1107" s="139"/>
      <c r="I1107" s="84"/>
    </row>
    <row r="1108" spans="1:9">
      <c r="A1108" s="139"/>
      <c r="B1108" s="139"/>
      <c r="C1108" s="138"/>
      <c r="D1108" s="140"/>
      <c r="E1108" s="84"/>
      <c r="F1108" s="84"/>
      <c r="G1108" s="84"/>
      <c r="H1108" s="139"/>
      <c r="I1108" s="84"/>
    </row>
    <row r="1109" spans="1:9">
      <c r="A1109" s="139"/>
      <c r="B1109" s="139"/>
      <c r="C1109" s="138"/>
      <c r="D1109" s="140"/>
      <c r="E1109" s="84"/>
      <c r="F1109" s="84"/>
      <c r="G1109" s="84"/>
      <c r="H1109" s="139"/>
      <c r="I1109" s="84"/>
    </row>
    <row r="1110" spans="1:9">
      <c r="A1110" s="139"/>
      <c r="B1110" s="139"/>
      <c r="C1110" s="138"/>
      <c r="D1110" s="140"/>
      <c r="E1110" s="84"/>
      <c r="F1110" s="84"/>
      <c r="G1110" s="84"/>
      <c r="H1110" s="139"/>
      <c r="I1110" s="84"/>
    </row>
    <row r="1111" spans="1:9">
      <c r="A1111" s="139"/>
      <c r="B1111" s="139"/>
      <c r="C1111" s="138"/>
      <c r="D1111" s="140"/>
      <c r="E1111" s="84"/>
      <c r="F1111" s="84"/>
      <c r="G1111" s="84"/>
      <c r="H1111" s="139"/>
      <c r="I1111" s="84"/>
    </row>
    <row r="1112" spans="1:9">
      <c r="A1112" s="139"/>
      <c r="B1112" s="139"/>
      <c r="C1112" s="138"/>
      <c r="D1112" s="140"/>
      <c r="E1112" s="84"/>
      <c r="F1112" s="84"/>
      <c r="G1112" s="84"/>
      <c r="H1112" s="139"/>
      <c r="I1112" s="84"/>
    </row>
    <row r="1113" spans="1:9">
      <c r="A1113" s="139"/>
      <c r="B1113" s="139"/>
      <c r="C1113" s="138"/>
      <c r="D1113" s="140"/>
      <c r="E1113" s="84"/>
      <c r="F1113" s="84"/>
      <c r="G1113" s="84"/>
      <c r="H1113" s="139"/>
      <c r="I1113" s="84"/>
    </row>
    <row r="1114" spans="1:9">
      <c r="A1114" s="139"/>
      <c r="B1114" s="139"/>
      <c r="C1114" s="138"/>
      <c r="D1114" s="140"/>
      <c r="E1114" s="84"/>
      <c r="F1114" s="84"/>
      <c r="G1114" s="84"/>
      <c r="H1114" s="139"/>
      <c r="I1114" s="84"/>
    </row>
    <row r="1115" spans="1:9">
      <c r="A1115" s="139"/>
      <c r="B1115" s="139"/>
      <c r="C1115" s="138"/>
      <c r="D1115" s="140"/>
      <c r="E1115" s="84"/>
      <c r="F1115" s="84"/>
      <c r="G1115" s="84"/>
      <c r="H1115" s="139"/>
      <c r="I1115" s="84"/>
    </row>
    <row r="1116" spans="1:9">
      <c r="A1116" s="139"/>
      <c r="B1116" s="139"/>
      <c r="C1116" s="138"/>
      <c r="D1116" s="140"/>
      <c r="E1116" s="84"/>
      <c r="F1116" s="84"/>
      <c r="G1116" s="84"/>
      <c r="H1116" s="139"/>
      <c r="I1116" s="84"/>
    </row>
    <row r="1117" spans="1:9">
      <c r="A1117" s="139"/>
      <c r="B1117" s="139"/>
      <c r="C1117" s="138"/>
      <c r="D1117" s="140"/>
      <c r="E1117" s="84"/>
      <c r="F1117" s="84"/>
      <c r="G1117" s="84"/>
      <c r="H1117" s="139"/>
      <c r="I1117" s="84"/>
    </row>
    <row r="1118" spans="1:9">
      <c r="A1118" s="139"/>
      <c r="B1118" s="139"/>
      <c r="C1118" s="138"/>
      <c r="D1118" s="140"/>
      <c r="E1118" s="84"/>
      <c r="F1118" s="84"/>
      <c r="G1118" s="84"/>
      <c r="H1118" s="139"/>
      <c r="I1118" s="84"/>
    </row>
    <row r="1119" spans="1:9">
      <c r="A1119" s="139"/>
      <c r="B1119" s="139"/>
      <c r="C1119" s="138"/>
      <c r="D1119" s="140"/>
      <c r="E1119" s="84"/>
      <c r="F1119" s="84"/>
      <c r="G1119" s="84"/>
      <c r="H1119" s="139"/>
      <c r="I1119" s="84"/>
    </row>
    <row r="1120" spans="1:9">
      <c r="A1120" s="139"/>
      <c r="B1120" s="139"/>
      <c r="C1120" s="138"/>
      <c r="D1120" s="140"/>
      <c r="E1120" s="84"/>
      <c r="F1120" s="84"/>
      <c r="G1120" s="84"/>
      <c r="H1120" s="139"/>
      <c r="I1120" s="84"/>
    </row>
    <row r="1121" spans="1:9">
      <c r="A1121" s="139"/>
      <c r="B1121" s="139"/>
      <c r="C1121" s="138"/>
      <c r="D1121" s="140"/>
      <c r="E1121" s="84"/>
      <c r="F1121" s="84"/>
      <c r="G1121" s="84"/>
      <c r="H1121" s="139"/>
      <c r="I1121" s="84"/>
    </row>
    <row r="1122" spans="1:9">
      <c r="A1122" s="139"/>
      <c r="B1122" s="139"/>
      <c r="C1122" s="138"/>
      <c r="D1122" s="140"/>
      <c r="E1122" s="84"/>
      <c r="F1122" s="84"/>
      <c r="G1122" s="84"/>
      <c r="H1122" s="139"/>
      <c r="I1122" s="84"/>
    </row>
    <row r="1123" spans="1:9">
      <c r="A1123" s="139"/>
      <c r="B1123" s="139"/>
      <c r="C1123" s="138"/>
      <c r="D1123" s="140"/>
      <c r="E1123" s="84"/>
      <c r="F1123" s="84"/>
      <c r="G1123" s="84"/>
      <c r="H1123" s="139"/>
      <c r="I1123" s="84"/>
    </row>
    <row r="1124" spans="1:9">
      <c r="A1124" s="139"/>
      <c r="B1124" s="139"/>
      <c r="C1124" s="138"/>
      <c r="D1124" s="140"/>
      <c r="E1124" s="84"/>
      <c r="F1124" s="84"/>
      <c r="G1124" s="84"/>
      <c r="H1124" s="139"/>
      <c r="I1124" s="84"/>
    </row>
    <row r="1125" spans="1:9">
      <c r="A1125" s="139"/>
      <c r="B1125" s="139"/>
      <c r="C1125" s="138"/>
      <c r="D1125" s="140"/>
      <c r="E1125" s="84"/>
      <c r="F1125" s="84"/>
      <c r="G1125" s="84"/>
      <c r="H1125" s="139"/>
      <c r="I1125" s="84"/>
    </row>
    <row r="1126" spans="1:9">
      <c r="A1126" s="139"/>
      <c r="B1126" s="139"/>
      <c r="C1126" s="138"/>
      <c r="D1126" s="140"/>
      <c r="E1126" s="84"/>
      <c r="F1126" s="84"/>
      <c r="G1126" s="84"/>
      <c r="H1126" s="139"/>
      <c r="I1126" s="84"/>
    </row>
    <row r="1127" spans="1:9">
      <c r="A1127" s="139"/>
      <c r="B1127" s="139"/>
      <c r="C1127" s="138"/>
      <c r="D1127" s="140"/>
      <c r="E1127" s="84"/>
      <c r="F1127" s="84"/>
      <c r="G1127" s="84"/>
      <c r="H1127" s="139"/>
      <c r="I1127" s="84"/>
    </row>
    <row r="1128" spans="1:9">
      <c r="A1128" s="139"/>
      <c r="B1128" s="139"/>
      <c r="C1128" s="138"/>
      <c r="D1128" s="140"/>
      <c r="E1128" s="84"/>
      <c r="F1128" s="84"/>
      <c r="G1128" s="84"/>
      <c r="H1128" s="139"/>
      <c r="I1128" s="84"/>
    </row>
    <row r="1129" spans="1:9">
      <c r="A1129" s="139"/>
      <c r="B1129" s="139"/>
      <c r="C1129" s="138"/>
      <c r="D1129" s="140"/>
      <c r="E1129" s="84"/>
      <c r="F1129" s="84"/>
      <c r="G1129" s="84"/>
      <c r="H1129" s="139"/>
      <c r="I1129" s="84"/>
    </row>
    <row r="1130" spans="1:9">
      <c r="A1130" s="139"/>
      <c r="B1130" s="139"/>
      <c r="C1130" s="138"/>
      <c r="D1130" s="140"/>
      <c r="E1130" s="84"/>
      <c r="F1130" s="84"/>
      <c r="G1130" s="84"/>
      <c r="H1130" s="139"/>
      <c r="I1130" s="84"/>
    </row>
    <row r="1131" spans="1:9">
      <c r="A1131" s="139"/>
      <c r="B1131" s="139"/>
      <c r="C1131" s="138"/>
      <c r="D1131" s="140"/>
      <c r="E1131" s="84"/>
      <c r="F1131" s="84"/>
      <c r="G1131" s="84"/>
      <c r="H1131" s="139"/>
      <c r="I1131" s="84"/>
    </row>
    <row r="1132" spans="1:9">
      <c r="A1132" s="139"/>
      <c r="B1132" s="139"/>
      <c r="C1132" s="138"/>
      <c r="D1132" s="140"/>
      <c r="E1132" s="84"/>
      <c r="F1132" s="84"/>
      <c r="G1132" s="84"/>
      <c r="H1132" s="139"/>
      <c r="I1132" s="84"/>
    </row>
    <row r="1133" spans="1:9">
      <c r="A1133" s="139"/>
      <c r="B1133" s="139"/>
      <c r="C1133" s="138"/>
      <c r="D1133" s="140"/>
      <c r="E1133" s="84"/>
      <c r="F1133" s="84"/>
      <c r="G1133" s="84"/>
      <c r="H1133" s="139"/>
      <c r="I1133" s="84"/>
    </row>
    <row r="1134" spans="1:9">
      <c r="A1134" s="139"/>
      <c r="B1134" s="139"/>
      <c r="C1134" s="138"/>
      <c r="D1134" s="140"/>
      <c r="E1134" s="84"/>
      <c r="F1134" s="84"/>
      <c r="G1134" s="84"/>
      <c r="H1134" s="139"/>
      <c r="I1134" s="84"/>
    </row>
    <row r="1135" spans="1:9">
      <c r="A1135" s="139"/>
      <c r="B1135" s="139"/>
      <c r="C1135" s="138"/>
      <c r="D1135" s="140"/>
      <c r="E1135" s="84"/>
      <c r="F1135" s="84"/>
      <c r="G1135" s="84"/>
      <c r="H1135" s="139"/>
      <c r="I1135" s="84"/>
    </row>
    <row r="1136" spans="1:9">
      <c r="A1136" s="139"/>
      <c r="B1136" s="139"/>
      <c r="C1136" s="138"/>
      <c r="D1136" s="140"/>
      <c r="E1136" s="84"/>
      <c r="F1136" s="84"/>
      <c r="G1136" s="84"/>
      <c r="H1136" s="139"/>
      <c r="I1136" s="84"/>
    </row>
    <row r="1137" spans="1:9">
      <c r="A1137" s="139"/>
      <c r="B1137" s="139"/>
      <c r="C1137" s="138"/>
      <c r="D1137" s="140"/>
      <c r="E1137" s="84"/>
      <c r="F1137" s="84"/>
      <c r="G1137" s="84"/>
      <c r="H1137" s="139"/>
      <c r="I1137" s="84"/>
    </row>
    <row r="1138" spans="1:9">
      <c r="A1138" s="139"/>
      <c r="B1138" s="139"/>
      <c r="C1138" s="138"/>
      <c r="D1138" s="140"/>
      <c r="E1138" s="84"/>
      <c r="F1138" s="84"/>
      <c r="G1138" s="84"/>
      <c r="H1138" s="139"/>
      <c r="I1138" s="84"/>
    </row>
    <row r="1139" spans="1:9">
      <c r="A1139" s="139"/>
      <c r="B1139" s="139"/>
      <c r="C1139" s="138"/>
      <c r="D1139" s="140"/>
      <c r="E1139" s="84"/>
      <c r="F1139" s="84"/>
      <c r="G1139" s="84"/>
      <c r="H1139" s="139"/>
      <c r="I1139" s="84"/>
    </row>
    <row r="1140" spans="1:9">
      <c r="A1140" s="139"/>
      <c r="B1140" s="139"/>
      <c r="C1140" s="138"/>
      <c r="D1140" s="140"/>
      <c r="E1140" s="84"/>
      <c r="F1140" s="84"/>
      <c r="G1140" s="84"/>
      <c r="H1140" s="139"/>
      <c r="I1140" s="84"/>
    </row>
    <row r="1141" spans="1:9">
      <c r="A1141" s="139"/>
      <c r="B1141" s="139"/>
      <c r="C1141" s="138"/>
      <c r="D1141" s="140"/>
      <c r="E1141" s="84"/>
      <c r="F1141" s="84"/>
      <c r="G1141" s="84"/>
      <c r="H1141" s="139"/>
      <c r="I1141" s="84"/>
    </row>
    <row r="1142" spans="1:9">
      <c r="A1142" s="139"/>
      <c r="B1142" s="139"/>
      <c r="C1142" s="138"/>
      <c r="D1142" s="140"/>
      <c r="E1142" s="84"/>
      <c r="F1142" s="84"/>
      <c r="G1142" s="84"/>
      <c r="H1142" s="139"/>
      <c r="I1142" s="84"/>
    </row>
    <row r="1143" spans="1:9">
      <c r="A1143" s="139"/>
      <c r="B1143" s="139"/>
      <c r="C1143" s="138"/>
      <c r="D1143" s="140"/>
      <c r="E1143" s="84"/>
      <c r="F1143" s="84"/>
      <c r="G1143" s="84"/>
      <c r="H1143" s="139"/>
      <c r="I1143" s="84"/>
    </row>
    <row r="1144" spans="1:9">
      <c r="A1144" s="139"/>
      <c r="B1144" s="139"/>
      <c r="C1144" s="138"/>
      <c r="D1144" s="140"/>
      <c r="E1144" s="84"/>
      <c r="F1144" s="84"/>
      <c r="G1144" s="84"/>
      <c r="H1144" s="139"/>
      <c r="I1144" s="84"/>
    </row>
    <row r="1145" spans="1:9">
      <c r="A1145" s="139"/>
      <c r="B1145" s="139"/>
      <c r="C1145" s="138"/>
      <c r="D1145" s="140"/>
      <c r="E1145" s="84"/>
      <c r="F1145" s="84"/>
      <c r="G1145" s="84"/>
      <c r="H1145" s="139"/>
      <c r="I1145" s="84"/>
    </row>
    <row r="1146" spans="1:9">
      <c r="A1146" s="139"/>
      <c r="B1146" s="139"/>
      <c r="C1146" s="138"/>
      <c r="D1146" s="140"/>
      <c r="E1146" s="84"/>
      <c r="F1146" s="84"/>
      <c r="G1146" s="84"/>
      <c r="H1146" s="139"/>
      <c r="I1146" s="84"/>
    </row>
    <row r="1147" spans="1:9">
      <c r="A1147" s="139"/>
      <c r="B1147" s="139"/>
      <c r="C1147" s="138"/>
      <c r="D1147" s="140"/>
      <c r="E1147" s="84"/>
      <c r="F1147" s="84"/>
      <c r="G1147" s="84"/>
      <c r="H1147" s="139"/>
      <c r="I1147" s="84"/>
    </row>
    <row r="1148" spans="1:9">
      <c r="A1148" s="139"/>
      <c r="B1148" s="139"/>
      <c r="C1148" s="138"/>
      <c r="D1148" s="140"/>
      <c r="E1148" s="84"/>
      <c r="F1148" s="84"/>
      <c r="G1148" s="84"/>
      <c r="H1148" s="139"/>
      <c r="I1148" s="84"/>
    </row>
    <row r="1149" spans="1:9">
      <c r="A1149" s="139"/>
      <c r="B1149" s="139"/>
      <c r="C1149" s="138"/>
      <c r="D1149" s="140"/>
      <c r="E1149" s="84"/>
      <c r="F1149" s="84"/>
      <c r="G1149" s="84"/>
      <c r="H1149" s="139"/>
      <c r="I1149" s="84"/>
    </row>
    <row r="1150" spans="1:9">
      <c r="A1150" s="139"/>
      <c r="B1150" s="139"/>
      <c r="C1150" s="138"/>
      <c r="D1150" s="140"/>
      <c r="E1150" s="84"/>
      <c r="F1150" s="84"/>
      <c r="G1150" s="84"/>
      <c r="H1150" s="139"/>
      <c r="I1150" s="84"/>
    </row>
    <row r="1151" spans="1:9">
      <c r="A1151" s="139"/>
      <c r="B1151" s="139"/>
      <c r="C1151" s="138"/>
      <c r="D1151" s="140"/>
      <c r="E1151" s="84"/>
      <c r="F1151" s="84"/>
      <c r="G1151" s="84"/>
      <c r="H1151" s="139"/>
      <c r="I1151" s="84"/>
    </row>
    <row r="1152" spans="1:9">
      <c r="A1152" s="139"/>
      <c r="B1152" s="139"/>
      <c r="C1152" s="138"/>
      <c r="D1152" s="140"/>
      <c r="E1152" s="84"/>
      <c r="F1152" s="84"/>
      <c r="G1152" s="84"/>
      <c r="H1152" s="139"/>
      <c r="I1152" s="84"/>
    </row>
    <row r="1153" spans="1:9">
      <c r="A1153" s="139"/>
      <c r="B1153" s="139"/>
      <c r="C1153" s="138"/>
      <c r="D1153" s="140"/>
      <c r="E1153" s="84"/>
      <c r="F1153" s="84"/>
      <c r="G1153" s="84"/>
      <c r="H1153" s="139"/>
      <c r="I1153" s="84"/>
    </row>
    <row r="1154" spans="1:9">
      <c r="A1154" s="139"/>
      <c r="B1154" s="139"/>
      <c r="C1154" s="138"/>
      <c r="D1154" s="140"/>
      <c r="E1154" s="84"/>
      <c r="F1154" s="84"/>
      <c r="G1154" s="84"/>
      <c r="H1154" s="139"/>
      <c r="I1154" s="84"/>
    </row>
    <row r="1155" spans="1:9">
      <c r="A1155" s="139"/>
      <c r="B1155" s="139"/>
      <c r="C1155" s="138"/>
      <c r="D1155" s="140"/>
      <c r="E1155" s="84"/>
      <c r="F1155" s="84"/>
      <c r="G1155" s="84"/>
      <c r="H1155" s="139"/>
      <c r="I1155" s="84"/>
    </row>
    <row r="1156" spans="1:9">
      <c r="A1156" s="139"/>
      <c r="B1156" s="139"/>
      <c r="C1156" s="138"/>
      <c r="D1156" s="140"/>
      <c r="E1156" s="84"/>
      <c r="F1156" s="84"/>
      <c r="G1156" s="84"/>
      <c r="H1156" s="139"/>
      <c r="I1156" s="84"/>
    </row>
    <row r="1157" spans="1:9">
      <c r="A1157" s="139"/>
      <c r="B1157" s="139"/>
      <c r="C1157" s="138"/>
      <c r="D1157" s="140"/>
      <c r="E1157" s="84"/>
      <c r="F1157" s="84"/>
      <c r="G1157" s="84"/>
      <c r="H1157" s="139"/>
      <c r="I1157" s="84"/>
    </row>
    <row r="1158" spans="1:9">
      <c r="A1158" s="139"/>
      <c r="B1158" s="139"/>
      <c r="C1158" s="138"/>
      <c r="D1158" s="140"/>
      <c r="E1158" s="84"/>
      <c r="F1158" s="84"/>
      <c r="G1158" s="84"/>
      <c r="H1158" s="139"/>
      <c r="I1158" s="84"/>
    </row>
    <row r="1159" spans="1:9">
      <c r="A1159" s="139"/>
      <c r="B1159" s="139"/>
      <c r="C1159" s="138"/>
      <c r="D1159" s="140"/>
      <c r="E1159" s="84"/>
      <c r="F1159" s="84"/>
      <c r="G1159" s="84"/>
      <c r="H1159" s="139"/>
      <c r="I1159" s="84"/>
    </row>
    <row r="1160" spans="1:9">
      <c r="A1160" s="139"/>
      <c r="B1160" s="139"/>
      <c r="C1160" s="138"/>
      <c r="D1160" s="140"/>
      <c r="E1160" s="84"/>
      <c r="F1160" s="84"/>
      <c r="G1160" s="84"/>
      <c r="H1160" s="139"/>
      <c r="I1160" s="84"/>
    </row>
    <row r="1161" spans="1:9">
      <c r="A1161" s="139"/>
      <c r="B1161" s="139"/>
      <c r="C1161" s="138"/>
      <c r="D1161" s="140"/>
      <c r="E1161" s="84"/>
      <c r="F1161" s="84"/>
      <c r="G1161" s="84"/>
      <c r="H1161" s="139"/>
      <c r="I1161" s="84"/>
    </row>
    <row r="1162" spans="1:9">
      <c r="A1162" s="139"/>
      <c r="B1162" s="139"/>
      <c r="C1162" s="138"/>
      <c r="D1162" s="140"/>
      <c r="E1162" s="84"/>
      <c r="F1162" s="84"/>
      <c r="G1162" s="84"/>
      <c r="H1162" s="139"/>
      <c r="I1162" s="84"/>
    </row>
    <row r="1163" spans="1:9">
      <c r="A1163" s="139"/>
      <c r="B1163" s="139"/>
      <c r="C1163" s="138"/>
      <c r="D1163" s="140"/>
      <c r="E1163" s="84"/>
      <c r="F1163" s="84"/>
      <c r="G1163" s="84"/>
      <c r="H1163" s="139"/>
      <c r="I1163" s="84"/>
    </row>
    <row r="1164" spans="1:9">
      <c r="A1164" s="139"/>
      <c r="B1164" s="139"/>
      <c r="C1164" s="138"/>
      <c r="D1164" s="140"/>
      <c r="E1164" s="84"/>
      <c r="F1164" s="84"/>
      <c r="G1164" s="84"/>
      <c r="H1164" s="139"/>
      <c r="I1164" s="84"/>
    </row>
    <row r="1165" spans="1:9">
      <c r="A1165" s="139"/>
      <c r="B1165" s="139"/>
      <c r="C1165" s="138"/>
      <c r="D1165" s="140"/>
      <c r="E1165" s="84"/>
      <c r="F1165" s="84"/>
      <c r="G1165" s="84"/>
      <c r="H1165" s="139"/>
      <c r="I1165" s="84"/>
    </row>
    <row r="1166" spans="1:9">
      <c r="A1166" s="139"/>
      <c r="B1166" s="139"/>
      <c r="C1166" s="138"/>
      <c r="D1166" s="140"/>
      <c r="E1166" s="84"/>
      <c r="F1166" s="84"/>
      <c r="G1166" s="84"/>
      <c r="H1166" s="139"/>
      <c r="I1166" s="84"/>
    </row>
    <row r="1167" spans="1:9">
      <c r="A1167" s="139"/>
      <c r="B1167" s="139"/>
      <c r="C1167" s="138"/>
      <c r="D1167" s="140"/>
      <c r="E1167" s="84"/>
      <c r="F1167" s="84"/>
      <c r="G1167" s="84"/>
      <c r="H1167" s="139"/>
      <c r="I1167" s="84"/>
    </row>
    <row r="1168" spans="1:9">
      <c r="A1168" s="139"/>
      <c r="B1168" s="139"/>
      <c r="C1168" s="138"/>
      <c r="D1168" s="140"/>
      <c r="E1168" s="84"/>
      <c r="F1168" s="84"/>
      <c r="G1168" s="84"/>
      <c r="H1168" s="139"/>
      <c r="I1168" s="84"/>
    </row>
    <row r="1169" spans="1:9">
      <c r="A1169" s="139"/>
      <c r="B1169" s="139"/>
      <c r="C1169" s="138"/>
      <c r="D1169" s="140"/>
      <c r="E1169" s="84"/>
      <c r="F1169" s="84"/>
      <c r="G1169" s="84"/>
      <c r="H1169" s="139"/>
      <c r="I1169" s="84"/>
    </row>
    <row r="1170" spans="1:9">
      <c r="A1170" s="139"/>
      <c r="B1170" s="139"/>
      <c r="C1170" s="138"/>
      <c r="D1170" s="140"/>
      <c r="E1170" s="84"/>
      <c r="F1170" s="84"/>
      <c r="G1170" s="84"/>
      <c r="H1170" s="139"/>
      <c r="I1170" s="84"/>
    </row>
    <row r="1171" spans="1:9">
      <c r="A1171" s="139"/>
      <c r="B1171" s="139"/>
      <c r="C1171" s="138"/>
      <c r="D1171" s="140"/>
      <c r="E1171" s="84"/>
      <c r="F1171" s="84"/>
      <c r="G1171" s="84"/>
      <c r="H1171" s="139"/>
      <c r="I1171" s="84"/>
    </row>
    <row r="1172" spans="1:9">
      <c r="A1172" s="139"/>
      <c r="B1172" s="139"/>
      <c r="C1172" s="138"/>
      <c r="D1172" s="140"/>
      <c r="E1172" s="84"/>
      <c r="F1172" s="84"/>
      <c r="G1172" s="84"/>
      <c r="H1172" s="139"/>
      <c r="I1172" s="84"/>
    </row>
    <row r="1173" spans="1:9">
      <c r="A1173" s="139"/>
      <c r="B1173" s="139"/>
      <c r="C1173" s="138"/>
      <c r="D1173" s="140"/>
      <c r="E1173" s="84"/>
      <c r="F1173" s="84"/>
      <c r="G1173" s="84"/>
      <c r="H1173" s="139"/>
      <c r="I1173" s="84"/>
    </row>
    <row r="1174" spans="1:9">
      <c r="A1174" s="139"/>
      <c r="B1174" s="139"/>
      <c r="C1174" s="138"/>
      <c r="D1174" s="140"/>
      <c r="E1174" s="84"/>
      <c r="F1174" s="84"/>
      <c r="G1174" s="84"/>
      <c r="H1174" s="139"/>
      <c r="I1174" s="84"/>
    </row>
    <row r="1175" spans="1:9">
      <c r="A1175" s="139"/>
      <c r="B1175" s="139"/>
      <c r="C1175" s="138"/>
      <c r="D1175" s="140"/>
      <c r="E1175" s="84"/>
      <c r="F1175" s="84"/>
      <c r="G1175" s="84"/>
      <c r="H1175" s="139"/>
      <c r="I1175" s="84"/>
    </row>
    <row r="1176" spans="1:9">
      <c r="A1176" s="139"/>
      <c r="B1176" s="139"/>
      <c r="C1176" s="138"/>
      <c r="D1176" s="140"/>
      <c r="E1176" s="84"/>
      <c r="F1176" s="84"/>
      <c r="G1176" s="84"/>
      <c r="H1176" s="139"/>
      <c r="I1176" s="84"/>
    </row>
    <row r="1177" spans="1:9">
      <c r="A1177" s="139"/>
      <c r="B1177" s="139"/>
      <c r="C1177" s="138"/>
      <c r="D1177" s="140"/>
      <c r="E1177" s="84"/>
      <c r="F1177" s="84"/>
      <c r="G1177" s="84"/>
      <c r="H1177" s="139"/>
      <c r="I1177" s="84"/>
    </row>
    <row r="1178" spans="1:9">
      <c r="A1178" s="139"/>
      <c r="B1178" s="139"/>
      <c r="C1178" s="138"/>
      <c r="D1178" s="140"/>
      <c r="E1178" s="84"/>
      <c r="F1178" s="84"/>
      <c r="G1178" s="84"/>
      <c r="H1178" s="139"/>
      <c r="I1178" s="84"/>
    </row>
    <row r="1179" spans="1:9">
      <c r="A1179" s="139"/>
      <c r="B1179" s="139"/>
      <c r="C1179" s="138"/>
      <c r="D1179" s="140"/>
      <c r="E1179" s="84"/>
      <c r="F1179" s="84"/>
      <c r="G1179" s="84"/>
      <c r="H1179" s="139"/>
      <c r="I1179" s="84"/>
    </row>
    <row r="1180" spans="1:9">
      <c r="A1180" s="139"/>
      <c r="B1180" s="139"/>
      <c r="C1180" s="138"/>
      <c r="D1180" s="140"/>
      <c r="E1180" s="84"/>
      <c r="F1180" s="84"/>
      <c r="G1180" s="84"/>
      <c r="H1180" s="139"/>
      <c r="I1180" s="84"/>
    </row>
    <row r="1181" spans="1:9">
      <c r="A1181" s="139"/>
      <c r="B1181" s="139"/>
      <c r="C1181" s="138"/>
      <c r="D1181" s="140"/>
      <c r="E1181" s="84"/>
      <c r="F1181" s="84"/>
      <c r="G1181" s="84"/>
      <c r="H1181" s="139"/>
      <c r="I1181" s="84"/>
    </row>
    <row r="1182" spans="1:9">
      <c r="A1182" s="139"/>
      <c r="B1182" s="139"/>
      <c r="C1182" s="138"/>
      <c r="D1182" s="140"/>
      <c r="E1182" s="84"/>
      <c r="F1182" s="84"/>
      <c r="G1182" s="84"/>
      <c r="H1182" s="139"/>
      <c r="I1182" s="84"/>
    </row>
    <row r="1183" spans="1:9">
      <c r="A1183" s="139"/>
      <c r="B1183" s="139"/>
      <c r="C1183" s="138"/>
      <c r="D1183" s="140"/>
      <c r="E1183" s="84"/>
      <c r="F1183" s="84"/>
      <c r="G1183" s="84"/>
      <c r="H1183" s="139"/>
      <c r="I1183" s="84"/>
    </row>
    <row r="1184" spans="1:9">
      <c r="A1184" s="139"/>
      <c r="B1184" s="139"/>
      <c r="C1184" s="138"/>
      <c r="D1184" s="140"/>
      <c r="E1184" s="84"/>
      <c r="F1184" s="84"/>
      <c r="G1184" s="84"/>
      <c r="H1184" s="139"/>
      <c r="I1184" s="84"/>
    </row>
    <row r="1185" spans="1:9">
      <c r="A1185" s="139"/>
      <c r="B1185" s="139"/>
      <c r="C1185" s="138"/>
      <c r="D1185" s="140"/>
      <c r="E1185" s="84"/>
      <c r="F1185" s="84"/>
      <c r="G1185" s="84"/>
      <c r="H1185" s="139"/>
      <c r="I1185" s="84"/>
    </row>
    <row r="1186" spans="1:9">
      <c r="A1186" s="139"/>
      <c r="B1186" s="139"/>
      <c r="C1186" s="138"/>
      <c r="D1186" s="140"/>
      <c r="E1186" s="84"/>
      <c r="F1186" s="84"/>
      <c r="G1186" s="84"/>
      <c r="H1186" s="139"/>
      <c r="I1186" s="84"/>
    </row>
    <row r="1187" spans="1:9">
      <c r="A1187" s="139"/>
      <c r="B1187" s="139"/>
      <c r="C1187" s="138"/>
      <c r="D1187" s="140"/>
      <c r="E1187" s="84"/>
      <c r="F1187" s="84"/>
      <c r="G1187" s="84"/>
      <c r="H1187" s="139"/>
      <c r="I1187" s="84"/>
    </row>
    <row r="1188" spans="1:9">
      <c r="A1188" s="139"/>
      <c r="B1188" s="139"/>
      <c r="C1188" s="138"/>
      <c r="D1188" s="140"/>
      <c r="E1188" s="84"/>
      <c r="F1188" s="84"/>
      <c r="G1188" s="84"/>
      <c r="H1188" s="139"/>
      <c r="I1188" s="84"/>
    </row>
    <row r="1189" spans="1:9">
      <c r="A1189" s="139"/>
      <c r="B1189" s="139"/>
      <c r="C1189" s="138"/>
      <c r="D1189" s="140"/>
      <c r="E1189" s="84"/>
      <c r="F1189" s="84"/>
      <c r="G1189" s="84"/>
      <c r="H1189" s="139"/>
      <c r="I1189" s="84"/>
    </row>
    <row r="1190" spans="1:9">
      <c r="A1190" s="139"/>
      <c r="B1190" s="139"/>
      <c r="C1190" s="138"/>
      <c r="D1190" s="140"/>
      <c r="E1190" s="84"/>
      <c r="F1190" s="84"/>
      <c r="G1190" s="84"/>
      <c r="H1190" s="139"/>
      <c r="I1190" s="84"/>
    </row>
    <row r="1191" spans="1:9">
      <c r="A1191" s="139"/>
      <c r="B1191" s="139"/>
      <c r="C1191" s="138"/>
      <c r="D1191" s="140"/>
      <c r="E1191" s="84"/>
      <c r="F1191" s="84"/>
      <c r="G1191" s="84"/>
      <c r="H1191" s="139"/>
      <c r="I1191" s="84"/>
    </row>
    <row r="1192" spans="1:9">
      <c r="A1192" s="139"/>
      <c r="B1192" s="139"/>
      <c r="C1192" s="138"/>
      <c r="D1192" s="140"/>
      <c r="E1192" s="84"/>
      <c r="F1192" s="84"/>
      <c r="G1192" s="84"/>
      <c r="H1192" s="139"/>
      <c r="I1192" s="84"/>
    </row>
    <row r="1193" spans="1:9">
      <c r="A1193" s="139"/>
      <c r="B1193" s="139"/>
      <c r="C1193" s="138"/>
      <c r="D1193" s="140"/>
      <c r="E1193" s="84"/>
      <c r="F1193" s="84"/>
      <c r="G1193" s="84"/>
      <c r="H1193" s="139"/>
      <c r="I1193" s="84"/>
    </row>
    <row r="1194" spans="1:9">
      <c r="A1194" s="139"/>
      <c r="B1194" s="139"/>
      <c r="C1194" s="138"/>
      <c r="D1194" s="140"/>
      <c r="E1194" s="84"/>
      <c r="F1194" s="84"/>
      <c r="G1194" s="84"/>
      <c r="H1194" s="139"/>
      <c r="I1194" s="84"/>
    </row>
    <row r="1195" spans="1:9">
      <c r="A1195" s="139"/>
      <c r="B1195" s="139"/>
      <c r="C1195" s="138"/>
      <c r="D1195" s="140"/>
      <c r="E1195" s="84"/>
      <c r="F1195" s="84"/>
      <c r="G1195" s="84"/>
      <c r="H1195" s="139"/>
      <c r="I1195" s="84"/>
    </row>
    <row r="1196" spans="1:9">
      <c r="A1196" s="139"/>
      <c r="B1196" s="139"/>
      <c r="C1196" s="138"/>
      <c r="D1196" s="140"/>
      <c r="E1196" s="84"/>
      <c r="F1196" s="84"/>
      <c r="G1196" s="84"/>
      <c r="H1196" s="139"/>
      <c r="I1196" s="84"/>
    </row>
    <row r="1197" spans="1:9">
      <c r="A1197" s="139"/>
      <c r="B1197" s="139"/>
      <c r="C1197" s="138"/>
      <c r="D1197" s="140"/>
      <c r="E1197" s="84"/>
      <c r="F1197" s="84"/>
      <c r="G1197" s="84"/>
      <c r="H1197" s="139"/>
      <c r="I1197" s="84"/>
    </row>
    <row r="1198" spans="1:9">
      <c r="A1198" s="139"/>
      <c r="B1198" s="139"/>
      <c r="C1198" s="138"/>
      <c r="D1198" s="140"/>
      <c r="E1198" s="84"/>
      <c r="F1198" s="84"/>
      <c r="G1198" s="84"/>
      <c r="H1198" s="139"/>
      <c r="I1198" s="84"/>
    </row>
    <row r="1199" spans="1:9">
      <c r="A1199" s="139"/>
      <c r="B1199" s="139"/>
      <c r="C1199" s="138"/>
      <c r="D1199" s="140"/>
      <c r="E1199" s="84"/>
      <c r="F1199" s="84"/>
      <c r="G1199" s="84"/>
      <c r="H1199" s="139"/>
      <c r="I1199" s="84"/>
    </row>
    <row r="1200" spans="1:9">
      <c r="A1200" s="139"/>
      <c r="B1200" s="139"/>
      <c r="C1200" s="138"/>
      <c r="D1200" s="140"/>
      <c r="E1200" s="84"/>
      <c r="F1200" s="84"/>
      <c r="G1200" s="84"/>
      <c r="H1200" s="139"/>
      <c r="I1200" s="84"/>
    </row>
    <row r="1201" spans="1:9">
      <c r="A1201" s="139"/>
      <c r="B1201" s="139"/>
      <c r="C1201" s="138"/>
      <c r="D1201" s="140"/>
      <c r="E1201" s="84"/>
      <c r="F1201" s="84"/>
      <c r="G1201" s="84"/>
      <c r="H1201" s="139"/>
      <c r="I1201" s="84"/>
    </row>
    <row r="1202" spans="1:9">
      <c r="A1202" s="139"/>
      <c r="B1202" s="139"/>
      <c r="C1202" s="138"/>
      <c r="D1202" s="140"/>
      <c r="E1202" s="84"/>
      <c r="F1202" s="84"/>
      <c r="G1202" s="84"/>
      <c r="H1202" s="139"/>
      <c r="I1202" s="84"/>
    </row>
    <row r="1203" spans="1:9">
      <c r="A1203" s="139"/>
      <c r="B1203" s="139"/>
      <c r="C1203" s="138"/>
      <c r="D1203" s="140"/>
      <c r="E1203" s="84"/>
      <c r="F1203" s="84"/>
      <c r="G1203" s="84"/>
      <c r="H1203" s="139"/>
      <c r="I1203" s="84"/>
    </row>
    <row r="1204" spans="1:9">
      <c r="A1204" s="139"/>
      <c r="B1204" s="139"/>
      <c r="C1204" s="138"/>
      <c r="D1204" s="140"/>
      <c r="E1204" s="84"/>
      <c r="F1204" s="84"/>
      <c r="G1204" s="84"/>
      <c r="H1204" s="139"/>
      <c r="I1204" s="84"/>
    </row>
    <row r="1205" spans="1:9">
      <c r="A1205" s="139"/>
      <c r="B1205" s="139"/>
      <c r="C1205" s="138"/>
      <c r="D1205" s="140"/>
      <c r="E1205" s="84"/>
      <c r="F1205" s="84"/>
      <c r="G1205" s="84"/>
      <c r="H1205" s="139"/>
      <c r="I1205" s="84"/>
    </row>
    <row r="1206" spans="1:9">
      <c r="A1206" s="139"/>
      <c r="B1206" s="139"/>
      <c r="C1206" s="138"/>
      <c r="D1206" s="140"/>
      <c r="E1206" s="84"/>
      <c r="F1206" s="84"/>
      <c r="G1206" s="84"/>
      <c r="H1206" s="139"/>
      <c r="I1206" s="84"/>
    </row>
    <row r="1207" spans="1:9">
      <c r="A1207" s="139"/>
      <c r="B1207" s="139"/>
      <c r="C1207" s="138"/>
      <c r="D1207" s="140"/>
      <c r="E1207" s="84"/>
      <c r="F1207" s="84"/>
      <c r="G1207" s="84"/>
      <c r="H1207" s="139"/>
      <c r="I1207" s="84"/>
    </row>
    <row r="1208" spans="1:9">
      <c r="A1208" s="139"/>
      <c r="B1208" s="139"/>
      <c r="C1208" s="138"/>
      <c r="D1208" s="140"/>
      <c r="E1208" s="84"/>
      <c r="F1208" s="84"/>
      <c r="G1208" s="84"/>
      <c r="H1208" s="139"/>
      <c r="I1208" s="84"/>
    </row>
    <row r="1209" spans="1:9">
      <c r="A1209" s="139"/>
      <c r="B1209" s="139"/>
      <c r="C1209" s="138"/>
      <c r="D1209" s="140"/>
      <c r="E1209" s="84"/>
      <c r="F1209" s="84"/>
      <c r="G1209" s="84"/>
      <c r="H1209" s="139"/>
      <c r="I1209" s="84"/>
    </row>
    <row r="1210" spans="1:9">
      <c r="A1210" s="139"/>
      <c r="B1210" s="139"/>
      <c r="C1210" s="138"/>
      <c r="D1210" s="140"/>
      <c r="E1210" s="84"/>
      <c r="F1210" s="84"/>
      <c r="G1210" s="84"/>
      <c r="H1210" s="139"/>
      <c r="I1210" s="84"/>
    </row>
    <row r="1211" spans="1:9">
      <c r="A1211" s="139"/>
      <c r="B1211" s="139"/>
      <c r="C1211" s="138"/>
      <c r="D1211" s="140"/>
      <c r="E1211" s="84"/>
      <c r="F1211" s="84"/>
      <c r="G1211" s="84"/>
      <c r="H1211" s="139"/>
      <c r="I1211" s="84"/>
    </row>
    <row r="1212" spans="1:9">
      <c r="A1212" s="139"/>
      <c r="B1212" s="139"/>
      <c r="C1212" s="138"/>
      <c r="D1212" s="140"/>
      <c r="E1212" s="84"/>
      <c r="F1212" s="84"/>
      <c r="G1212" s="84"/>
      <c r="H1212" s="139"/>
      <c r="I1212" s="84"/>
    </row>
    <row r="1213" spans="1:9">
      <c r="A1213" s="139"/>
      <c r="B1213" s="139"/>
      <c r="C1213" s="138"/>
      <c r="D1213" s="140"/>
      <c r="E1213" s="84"/>
      <c r="F1213" s="84"/>
      <c r="G1213" s="84"/>
      <c r="H1213" s="139"/>
      <c r="I1213" s="84"/>
    </row>
    <row r="1214" spans="1:9">
      <c r="A1214" s="139"/>
      <c r="B1214" s="139"/>
      <c r="C1214" s="138"/>
      <c r="D1214" s="140"/>
      <c r="E1214" s="84"/>
      <c r="F1214" s="84"/>
      <c r="G1214" s="84"/>
      <c r="H1214" s="139"/>
      <c r="I1214" s="84"/>
    </row>
    <row r="1215" spans="1:9">
      <c r="A1215" s="139"/>
      <c r="B1215" s="139"/>
      <c r="C1215" s="138"/>
      <c r="D1215" s="140"/>
      <c r="E1215" s="84"/>
      <c r="F1215" s="84"/>
      <c r="G1215" s="84"/>
      <c r="H1215" s="139"/>
      <c r="I1215" s="84"/>
    </row>
    <row r="1216" spans="1:9">
      <c r="A1216" s="139"/>
      <c r="B1216" s="139"/>
      <c r="C1216" s="138"/>
      <c r="D1216" s="140"/>
      <c r="E1216" s="84"/>
      <c r="F1216" s="84"/>
      <c r="G1216" s="84"/>
      <c r="H1216" s="139"/>
      <c r="I1216" s="84"/>
    </row>
    <row r="1217" spans="1:9">
      <c r="A1217" s="139"/>
      <c r="B1217" s="139"/>
      <c r="C1217" s="138"/>
      <c r="D1217" s="140"/>
      <c r="E1217" s="84"/>
      <c r="F1217" s="84"/>
      <c r="G1217" s="84"/>
      <c r="H1217" s="139"/>
      <c r="I1217" s="84"/>
    </row>
    <row r="1218" spans="1:9">
      <c r="A1218" s="139"/>
      <c r="B1218" s="139"/>
      <c r="C1218" s="138"/>
      <c r="D1218" s="140"/>
      <c r="E1218" s="84"/>
      <c r="F1218" s="84"/>
      <c r="G1218" s="84"/>
      <c r="H1218" s="139"/>
      <c r="I1218" s="84"/>
    </row>
    <row r="1219" spans="1:9">
      <c r="A1219" s="139"/>
      <c r="B1219" s="139"/>
      <c r="C1219" s="138"/>
      <c r="D1219" s="140"/>
      <c r="E1219" s="84"/>
      <c r="F1219" s="84"/>
      <c r="G1219" s="84"/>
      <c r="H1219" s="139"/>
      <c r="I1219" s="84"/>
    </row>
    <row r="1220" spans="1:9">
      <c r="A1220" s="139"/>
      <c r="B1220" s="139"/>
      <c r="C1220" s="138"/>
      <c r="D1220" s="140"/>
      <c r="E1220" s="84"/>
      <c r="F1220" s="84"/>
      <c r="G1220" s="84"/>
      <c r="H1220" s="139"/>
      <c r="I1220" s="84"/>
    </row>
    <row r="1221" spans="1:9">
      <c r="A1221" s="139"/>
      <c r="B1221" s="139"/>
      <c r="C1221" s="138"/>
      <c r="D1221" s="140"/>
      <c r="E1221" s="84"/>
      <c r="F1221" s="84"/>
      <c r="G1221" s="84"/>
      <c r="H1221" s="139"/>
      <c r="I1221" s="84"/>
    </row>
    <row r="1222" spans="1:9">
      <c r="A1222" s="139"/>
      <c r="B1222" s="139"/>
      <c r="C1222" s="138"/>
      <c r="D1222" s="140"/>
      <c r="E1222" s="84"/>
      <c r="F1222" s="84"/>
      <c r="G1222" s="84"/>
      <c r="H1222" s="139"/>
      <c r="I1222" s="84"/>
    </row>
    <row r="1223" spans="1:9">
      <c r="A1223" s="139"/>
      <c r="B1223" s="139"/>
      <c r="C1223" s="138"/>
      <c r="D1223" s="140"/>
      <c r="E1223" s="84"/>
      <c r="F1223" s="84"/>
      <c r="G1223" s="84"/>
      <c r="H1223" s="139"/>
      <c r="I1223" s="84"/>
    </row>
    <row r="1224" spans="1:9">
      <c r="A1224" s="139"/>
      <c r="B1224" s="139"/>
      <c r="C1224" s="138"/>
      <c r="D1224" s="140"/>
      <c r="E1224" s="84"/>
      <c r="F1224" s="84"/>
      <c r="G1224" s="84"/>
      <c r="H1224" s="139"/>
      <c r="I1224" s="84"/>
    </row>
    <row r="1225" spans="1:9">
      <c r="A1225" s="139"/>
      <c r="B1225" s="139"/>
      <c r="C1225" s="138"/>
      <c r="D1225" s="140"/>
      <c r="E1225" s="84"/>
      <c r="F1225" s="84"/>
      <c r="G1225" s="84"/>
      <c r="H1225" s="139"/>
      <c r="I1225" s="84"/>
    </row>
    <row r="1226" spans="1:9">
      <c r="A1226" s="139"/>
      <c r="B1226" s="139"/>
      <c r="C1226" s="138"/>
      <c r="D1226" s="140"/>
      <c r="E1226" s="84"/>
      <c r="F1226" s="84"/>
      <c r="G1226" s="84"/>
      <c r="H1226" s="139"/>
      <c r="I1226" s="84"/>
    </row>
    <row r="1227" spans="1:9">
      <c r="A1227" s="139"/>
      <c r="B1227" s="139"/>
      <c r="C1227" s="138"/>
      <c r="D1227" s="140"/>
      <c r="E1227" s="84"/>
      <c r="F1227" s="84"/>
      <c r="G1227" s="84"/>
      <c r="H1227" s="139"/>
      <c r="I1227" s="84"/>
    </row>
    <row r="1228" spans="1:9">
      <c r="A1228" s="139"/>
      <c r="B1228" s="139"/>
      <c r="C1228" s="138"/>
      <c r="D1228" s="140"/>
      <c r="E1228" s="84"/>
      <c r="F1228" s="84"/>
      <c r="G1228" s="84"/>
      <c r="H1228" s="139"/>
      <c r="I1228" s="84"/>
    </row>
    <row r="1229" spans="1:9">
      <c r="A1229" s="139"/>
      <c r="B1229" s="139"/>
      <c r="C1229" s="138"/>
      <c r="D1229" s="140"/>
      <c r="E1229" s="84"/>
      <c r="F1229" s="84"/>
      <c r="G1229" s="84"/>
      <c r="H1229" s="139"/>
      <c r="I1229" s="84"/>
    </row>
    <row r="1230" spans="1:9">
      <c r="A1230" s="139"/>
      <c r="B1230" s="139"/>
      <c r="C1230" s="138"/>
      <c r="D1230" s="140"/>
      <c r="E1230" s="84"/>
      <c r="F1230" s="84"/>
      <c r="G1230" s="84"/>
      <c r="H1230" s="139"/>
      <c r="I1230" s="84"/>
    </row>
    <row r="1231" spans="1:9">
      <c r="A1231" s="139"/>
      <c r="B1231" s="139"/>
      <c r="C1231" s="138"/>
      <c r="D1231" s="140"/>
      <c r="E1231" s="84"/>
      <c r="F1231" s="84"/>
      <c r="G1231" s="84"/>
      <c r="H1231" s="139"/>
      <c r="I1231" s="84"/>
    </row>
    <row r="1232" spans="1:9">
      <c r="A1232" s="139"/>
      <c r="B1232" s="139"/>
      <c r="C1232" s="138"/>
      <c r="D1232" s="140"/>
      <c r="E1232" s="84"/>
      <c r="F1232" s="84"/>
      <c r="G1232" s="84"/>
      <c r="H1232" s="139"/>
      <c r="I1232" s="84"/>
    </row>
    <row r="1233" spans="1:9">
      <c r="A1233" s="139"/>
      <c r="B1233" s="139"/>
      <c r="C1233" s="138"/>
      <c r="D1233" s="140"/>
      <c r="E1233" s="84"/>
      <c r="F1233" s="84"/>
      <c r="G1233" s="84"/>
      <c r="H1233" s="139"/>
      <c r="I1233" s="84"/>
    </row>
    <row r="1234" spans="1:9">
      <c r="A1234" s="139"/>
      <c r="B1234" s="139"/>
      <c r="C1234" s="138"/>
      <c r="D1234" s="140"/>
      <c r="E1234" s="84"/>
      <c r="F1234" s="84"/>
      <c r="G1234" s="84"/>
      <c r="H1234" s="139"/>
      <c r="I1234" s="84"/>
    </row>
    <row r="1235" spans="1:9">
      <c r="A1235" s="139"/>
      <c r="B1235" s="139"/>
      <c r="C1235" s="138"/>
      <c r="D1235" s="140"/>
      <c r="E1235" s="84"/>
      <c r="F1235" s="84"/>
      <c r="G1235" s="84"/>
      <c r="H1235" s="139"/>
      <c r="I1235" s="84"/>
    </row>
    <row r="1236" spans="1:9">
      <c r="A1236" s="139"/>
      <c r="B1236" s="139"/>
      <c r="C1236" s="138"/>
      <c r="D1236" s="140"/>
      <c r="E1236" s="84"/>
      <c r="F1236" s="84"/>
      <c r="G1236" s="84"/>
      <c r="H1236" s="139"/>
      <c r="I1236" s="84"/>
    </row>
    <row r="1237" spans="1:9">
      <c r="A1237" s="139"/>
      <c r="B1237" s="139"/>
      <c r="C1237" s="138"/>
      <c r="D1237" s="140"/>
      <c r="E1237" s="84"/>
      <c r="F1237" s="84"/>
      <c r="G1237" s="84"/>
      <c r="H1237" s="139"/>
      <c r="I1237" s="84"/>
    </row>
    <row r="1238" spans="1:9">
      <c r="A1238" s="139"/>
      <c r="B1238" s="139"/>
      <c r="C1238" s="138"/>
      <c r="D1238" s="140"/>
      <c r="E1238" s="84"/>
      <c r="F1238" s="84"/>
      <c r="G1238" s="84"/>
      <c r="H1238" s="139"/>
      <c r="I1238" s="84"/>
    </row>
    <row r="1239" spans="1:9">
      <c r="A1239" s="139"/>
      <c r="B1239" s="139"/>
      <c r="C1239" s="138"/>
      <c r="D1239" s="140"/>
      <c r="E1239" s="84"/>
      <c r="F1239" s="84"/>
      <c r="G1239" s="84"/>
      <c r="H1239" s="139"/>
      <c r="I1239" s="84"/>
    </row>
    <row r="1240" spans="1:9">
      <c r="A1240" s="139"/>
      <c r="B1240" s="139"/>
      <c r="C1240" s="138"/>
      <c r="D1240" s="140"/>
      <c r="E1240" s="84"/>
      <c r="F1240" s="84"/>
      <c r="G1240" s="84"/>
      <c r="H1240" s="139"/>
      <c r="I1240" s="84"/>
    </row>
    <row r="1241" spans="1:9">
      <c r="A1241" s="139"/>
      <c r="B1241" s="139"/>
      <c r="C1241" s="138"/>
      <c r="D1241" s="140"/>
      <c r="E1241" s="84"/>
      <c r="F1241" s="84"/>
      <c r="G1241" s="84"/>
      <c r="H1241" s="139"/>
      <c r="I1241" s="84"/>
    </row>
    <row r="1242" spans="1:9">
      <c r="A1242" s="139"/>
      <c r="B1242" s="139"/>
      <c r="C1242" s="138"/>
      <c r="D1242" s="140"/>
      <c r="E1242" s="84"/>
      <c r="F1242" s="84"/>
      <c r="G1242" s="84"/>
      <c r="H1242" s="139"/>
      <c r="I1242" s="84"/>
    </row>
    <row r="1243" spans="1:9">
      <c r="A1243" s="139"/>
      <c r="B1243" s="139"/>
      <c r="C1243" s="138"/>
      <c r="D1243" s="140"/>
      <c r="E1243" s="84"/>
      <c r="F1243" s="84"/>
      <c r="G1243" s="84"/>
      <c r="H1243" s="139"/>
      <c r="I1243" s="84"/>
    </row>
    <row r="1244" spans="1:9">
      <c r="A1244" s="139"/>
      <c r="B1244" s="139"/>
      <c r="C1244" s="138"/>
      <c r="D1244" s="140"/>
      <c r="E1244" s="84"/>
      <c r="F1244" s="84"/>
      <c r="G1244" s="84"/>
      <c r="H1244" s="139"/>
      <c r="I1244" s="84"/>
    </row>
    <row r="1245" spans="1:9">
      <c r="A1245" s="139"/>
      <c r="B1245" s="139"/>
      <c r="C1245" s="138"/>
      <c r="D1245" s="140"/>
      <c r="E1245" s="84"/>
      <c r="F1245" s="84"/>
      <c r="G1245" s="84"/>
      <c r="H1245" s="139"/>
      <c r="I1245" s="84"/>
    </row>
    <row r="1246" spans="1:9">
      <c r="A1246" s="139"/>
      <c r="B1246" s="139"/>
      <c r="C1246" s="138"/>
      <c r="D1246" s="140"/>
      <c r="E1246" s="84"/>
      <c r="F1246" s="84"/>
      <c r="G1246" s="84"/>
      <c r="H1246" s="139"/>
      <c r="I1246" s="84"/>
    </row>
    <row r="1247" spans="1:9">
      <c r="A1247" s="139"/>
      <c r="B1247" s="139"/>
      <c r="C1247" s="138"/>
      <c r="D1247" s="140"/>
      <c r="E1247" s="84"/>
      <c r="F1247" s="84"/>
      <c r="G1247" s="84"/>
      <c r="H1247" s="139"/>
      <c r="I1247" s="84"/>
    </row>
    <row r="1248" spans="1:9">
      <c r="A1248" s="139"/>
      <c r="B1248" s="139"/>
      <c r="C1248" s="138"/>
      <c r="D1248" s="140"/>
      <c r="E1248" s="84"/>
      <c r="F1248" s="84"/>
      <c r="G1248" s="84"/>
      <c r="H1248" s="139"/>
      <c r="I1248" s="84"/>
    </row>
    <row r="1249" spans="1:9">
      <c r="A1249" s="139"/>
      <c r="B1249" s="139"/>
      <c r="C1249" s="138"/>
      <c r="D1249" s="140"/>
      <c r="E1249" s="84"/>
      <c r="F1249" s="84"/>
      <c r="G1249" s="84"/>
      <c r="H1249" s="139"/>
      <c r="I1249" s="84"/>
    </row>
    <row r="1250" spans="1:9">
      <c r="A1250" s="139"/>
      <c r="B1250" s="139"/>
      <c r="C1250" s="138"/>
      <c r="D1250" s="140"/>
      <c r="E1250" s="84"/>
      <c r="F1250" s="84"/>
      <c r="G1250" s="84"/>
      <c r="H1250" s="139"/>
      <c r="I1250" s="84"/>
    </row>
    <row r="1251" spans="1:9">
      <c r="A1251" s="139"/>
      <c r="B1251" s="139"/>
      <c r="C1251" s="138"/>
      <c r="D1251" s="140"/>
      <c r="E1251" s="84"/>
      <c r="F1251" s="84"/>
      <c r="G1251" s="84"/>
      <c r="H1251" s="139"/>
      <c r="I1251" s="84"/>
    </row>
    <row r="1252" spans="1:9">
      <c r="A1252" s="139"/>
      <c r="B1252" s="139"/>
      <c r="C1252" s="138"/>
      <c r="D1252" s="140"/>
      <c r="E1252" s="84"/>
      <c r="F1252" s="84"/>
      <c r="G1252" s="84"/>
      <c r="H1252" s="139"/>
      <c r="I1252" s="84"/>
    </row>
    <row r="1253" spans="1:9">
      <c r="A1253" s="139"/>
      <c r="B1253" s="139"/>
      <c r="C1253" s="138"/>
      <c r="D1253" s="140"/>
      <c r="E1253" s="84"/>
      <c r="F1253" s="84"/>
      <c r="G1253" s="84"/>
      <c r="H1253" s="139"/>
      <c r="I1253" s="84"/>
    </row>
    <row r="1254" spans="1:9">
      <c r="A1254" s="139"/>
      <c r="B1254" s="139"/>
      <c r="C1254" s="138"/>
      <c r="D1254" s="140"/>
      <c r="E1254" s="84"/>
      <c r="F1254" s="84"/>
      <c r="G1254" s="84"/>
      <c r="H1254" s="139"/>
      <c r="I1254" s="84"/>
    </row>
    <row r="1255" spans="1:9">
      <c r="A1255" s="139"/>
      <c r="B1255" s="139"/>
      <c r="C1255" s="138"/>
      <c r="D1255" s="140"/>
      <c r="E1255" s="84"/>
      <c r="F1255" s="84"/>
      <c r="G1255" s="84"/>
      <c r="H1255" s="139"/>
      <c r="I1255" s="84"/>
    </row>
    <row r="1256" spans="1:9">
      <c r="A1256" s="139"/>
      <c r="B1256" s="139"/>
      <c r="C1256" s="138"/>
      <c r="D1256" s="140"/>
      <c r="E1256" s="84"/>
      <c r="F1256" s="84"/>
      <c r="G1256" s="84"/>
      <c r="H1256" s="139"/>
      <c r="I1256" s="84"/>
    </row>
    <row r="1257" spans="1:9">
      <c r="A1257" s="139"/>
      <c r="B1257" s="139"/>
      <c r="C1257" s="138"/>
      <c r="D1257" s="140"/>
      <c r="E1257" s="84"/>
      <c r="F1257" s="84"/>
      <c r="G1257" s="84"/>
      <c r="H1257" s="139"/>
      <c r="I1257" s="84"/>
    </row>
    <row r="1258" spans="1:9">
      <c r="A1258" s="139"/>
      <c r="B1258" s="139"/>
      <c r="C1258" s="138"/>
      <c r="D1258" s="140"/>
      <c r="E1258" s="84"/>
      <c r="F1258" s="84"/>
      <c r="G1258" s="84"/>
      <c r="H1258" s="139"/>
      <c r="I1258" s="84"/>
    </row>
    <row r="1259" spans="1:9">
      <c r="A1259" s="139"/>
      <c r="B1259" s="139"/>
      <c r="C1259" s="138"/>
      <c r="D1259" s="140"/>
      <c r="E1259" s="84"/>
      <c r="F1259" s="84"/>
      <c r="G1259" s="84"/>
      <c r="H1259" s="139"/>
      <c r="I1259" s="84"/>
    </row>
    <row r="1260" spans="1:9">
      <c r="A1260" s="139"/>
      <c r="B1260" s="139"/>
      <c r="C1260" s="138"/>
      <c r="D1260" s="140"/>
      <c r="E1260" s="84"/>
      <c r="F1260" s="84"/>
      <c r="G1260" s="84"/>
      <c r="H1260" s="139"/>
      <c r="I1260" s="84"/>
    </row>
    <row r="1261" spans="1:9">
      <c r="A1261" s="139"/>
      <c r="B1261" s="139"/>
      <c r="C1261" s="138"/>
      <c r="D1261" s="140"/>
      <c r="E1261" s="84"/>
      <c r="F1261" s="84"/>
      <c r="G1261" s="84"/>
      <c r="H1261" s="139"/>
      <c r="I1261" s="84"/>
    </row>
    <row r="1262" spans="1:9">
      <c r="A1262" s="139"/>
      <c r="B1262" s="139"/>
      <c r="C1262" s="138"/>
      <c r="D1262" s="140"/>
      <c r="E1262" s="84"/>
      <c r="F1262" s="84"/>
      <c r="G1262" s="84"/>
      <c r="H1262" s="139"/>
      <c r="I1262" s="84"/>
    </row>
    <row r="1263" spans="1:9">
      <c r="A1263" s="139"/>
      <c r="B1263" s="139"/>
      <c r="C1263" s="138"/>
      <c r="D1263" s="140"/>
      <c r="E1263" s="84"/>
      <c r="F1263" s="84"/>
      <c r="G1263" s="84"/>
      <c r="H1263" s="139"/>
      <c r="I1263" s="84"/>
    </row>
    <row r="1264" spans="1:9">
      <c r="A1264" s="139"/>
      <c r="B1264" s="139"/>
      <c r="C1264" s="138"/>
      <c r="D1264" s="140"/>
      <c r="E1264" s="84"/>
      <c r="F1264" s="84"/>
      <c r="G1264" s="84"/>
      <c r="H1264" s="139"/>
      <c r="I1264" s="84"/>
    </row>
    <row r="1265" spans="1:9">
      <c r="A1265" s="139"/>
      <c r="B1265" s="139"/>
      <c r="C1265" s="138"/>
      <c r="D1265" s="140"/>
      <c r="E1265" s="84"/>
      <c r="F1265" s="84"/>
      <c r="G1265" s="84"/>
      <c r="H1265" s="139"/>
      <c r="I1265" s="84"/>
    </row>
    <row r="1266" spans="1:9">
      <c r="A1266" s="139"/>
      <c r="B1266" s="139"/>
      <c r="C1266" s="138"/>
      <c r="D1266" s="140"/>
      <c r="E1266" s="84"/>
      <c r="F1266" s="84"/>
      <c r="G1266" s="84"/>
      <c r="H1266" s="139"/>
      <c r="I1266" s="84"/>
    </row>
    <row r="1267" spans="1:9">
      <c r="A1267" s="139"/>
      <c r="B1267" s="139"/>
      <c r="C1267" s="138"/>
      <c r="D1267" s="140"/>
      <c r="E1267" s="84"/>
      <c r="F1267" s="84"/>
      <c r="G1267" s="84"/>
      <c r="H1267" s="139"/>
      <c r="I1267" s="84"/>
    </row>
    <row r="1268" spans="1:9">
      <c r="A1268" s="139"/>
      <c r="B1268" s="139"/>
      <c r="C1268" s="138"/>
      <c r="D1268" s="140"/>
      <c r="E1268" s="84"/>
      <c r="F1268" s="84"/>
      <c r="G1268" s="84"/>
      <c r="H1268" s="139"/>
      <c r="I1268" s="84"/>
    </row>
    <row r="1269" spans="1:9">
      <c r="A1269" s="139"/>
      <c r="B1269" s="139"/>
      <c r="C1269" s="138"/>
      <c r="D1269" s="140"/>
      <c r="E1269" s="84"/>
      <c r="F1269" s="84"/>
      <c r="G1269" s="84"/>
      <c r="H1269" s="139"/>
      <c r="I1269" s="84"/>
    </row>
    <row r="1270" spans="1:9">
      <c r="A1270" s="139"/>
      <c r="B1270" s="139"/>
      <c r="C1270" s="138"/>
      <c r="D1270" s="140"/>
      <c r="E1270" s="84"/>
      <c r="F1270" s="84"/>
      <c r="G1270" s="84"/>
      <c r="H1270" s="139"/>
      <c r="I1270" s="84"/>
    </row>
    <row r="1271" spans="1:9">
      <c r="A1271" s="139"/>
      <c r="B1271" s="139"/>
      <c r="C1271" s="138"/>
      <c r="D1271" s="140"/>
      <c r="E1271" s="84"/>
      <c r="F1271" s="84"/>
      <c r="G1271" s="84"/>
      <c r="H1271" s="139"/>
      <c r="I1271" s="84"/>
    </row>
    <row r="1272" spans="1:9">
      <c r="A1272" s="139"/>
      <c r="B1272" s="139"/>
      <c r="C1272" s="138"/>
      <c r="D1272" s="140"/>
      <c r="E1272" s="84"/>
      <c r="F1272" s="84"/>
      <c r="G1272" s="84"/>
      <c r="H1272" s="139"/>
      <c r="I1272" s="84"/>
    </row>
    <row r="1273" spans="1:9">
      <c r="A1273" s="139"/>
      <c r="B1273" s="139"/>
      <c r="C1273" s="138"/>
      <c r="D1273" s="140"/>
      <c r="E1273" s="84"/>
      <c r="F1273" s="84"/>
      <c r="G1273" s="84"/>
      <c r="H1273" s="139"/>
      <c r="I1273" s="84"/>
    </row>
    <row r="1274" spans="1:9">
      <c r="A1274" s="139"/>
      <c r="B1274" s="139"/>
      <c r="C1274" s="138"/>
      <c r="D1274" s="140"/>
      <c r="E1274" s="84"/>
      <c r="F1274" s="84"/>
      <c r="G1274" s="84"/>
      <c r="H1274" s="139"/>
      <c r="I1274" s="84"/>
    </row>
    <row r="1275" spans="1:9">
      <c r="A1275" s="139"/>
      <c r="B1275" s="139"/>
      <c r="C1275" s="138"/>
      <c r="D1275" s="140"/>
      <c r="E1275" s="84"/>
      <c r="F1275" s="84"/>
      <c r="G1275" s="84"/>
      <c r="H1275" s="139"/>
      <c r="I1275" s="84"/>
    </row>
    <row r="1276" spans="1:9">
      <c r="A1276" s="139"/>
      <c r="B1276" s="139"/>
      <c r="C1276" s="138"/>
      <c r="D1276" s="140"/>
      <c r="E1276" s="84"/>
      <c r="F1276" s="84"/>
      <c r="G1276" s="84"/>
      <c r="H1276" s="139"/>
      <c r="I1276" s="84"/>
    </row>
    <row r="1277" spans="1:9">
      <c r="A1277" s="139"/>
      <c r="B1277" s="139"/>
      <c r="C1277" s="138"/>
      <c r="D1277" s="140"/>
      <c r="E1277" s="84"/>
      <c r="F1277" s="84"/>
      <c r="G1277" s="84"/>
      <c r="H1277" s="139"/>
      <c r="I1277" s="84"/>
    </row>
    <row r="1278" spans="1:9">
      <c r="A1278" s="139"/>
      <c r="B1278" s="139"/>
      <c r="C1278" s="138"/>
      <c r="D1278" s="140"/>
      <c r="E1278" s="84"/>
      <c r="F1278" s="84"/>
      <c r="G1278" s="84"/>
      <c r="H1278" s="139"/>
      <c r="I1278" s="84"/>
    </row>
    <row r="1279" spans="1:9">
      <c r="A1279" s="139"/>
      <c r="B1279" s="139"/>
      <c r="C1279" s="138"/>
      <c r="D1279" s="140"/>
      <c r="E1279" s="84"/>
      <c r="F1279" s="84"/>
      <c r="G1279" s="84"/>
      <c r="H1279" s="139"/>
      <c r="I1279" s="84"/>
    </row>
    <row r="1280" spans="1:9">
      <c r="A1280" s="139"/>
      <c r="B1280" s="139"/>
      <c r="C1280" s="138"/>
      <c r="D1280" s="140"/>
      <c r="E1280" s="84"/>
      <c r="F1280" s="84"/>
      <c r="G1280" s="84"/>
      <c r="H1280" s="139"/>
      <c r="I1280" s="84"/>
    </row>
    <row r="1281" spans="1:9">
      <c r="A1281" s="139"/>
      <c r="B1281" s="139"/>
      <c r="C1281" s="138"/>
      <c r="D1281" s="140"/>
      <c r="E1281" s="84"/>
      <c r="F1281" s="84"/>
      <c r="G1281" s="84"/>
      <c r="H1281" s="139"/>
      <c r="I1281" s="84"/>
    </row>
    <row r="1282" spans="1:9">
      <c r="A1282" s="139"/>
      <c r="B1282" s="139"/>
      <c r="C1282" s="138"/>
      <c r="D1282" s="140"/>
      <c r="E1282" s="84"/>
      <c r="F1282" s="84"/>
      <c r="G1282" s="84"/>
      <c r="H1282" s="139"/>
      <c r="I1282" s="84"/>
    </row>
    <row r="1283" spans="1:9">
      <c r="A1283" s="139"/>
      <c r="B1283" s="139"/>
      <c r="C1283" s="138"/>
      <c r="D1283" s="140"/>
      <c r="E1283" s="84"/>
      <c r="F1283" s="84"/>
      <c r="G1283" s="84"/>
      <c r="H1283" s="139"/>
      <c r="I1283" s="84"/>
    </row>
    <row r="1284" spans="1:9">
      <c r="A1284" s="139"/>
      <c r="B1284" s="139"/>
      <c r="C1284" s="138"/>
      <c r="D1284" s="140"/>
      <c r="E1284" s="84"/>
      <c r="F1284" s="84"/>
      <c r="G1284" s="84"/>
      <c r="H1284" s="139"/>
      <c r="I1284" s="84"/>
    </row>
    <row r="1285" spans="1:9">
      <c r="A1285" s="139"/>
      <c r="B1285" s="139"/>
      <c r="C1285" s="138"/>
      <c r="D1285" s="140"/>
      <c r="E1285" s="84"/>
      <c r="F1285" s="84"/>
      <c r="G1285" s="84"/>
      <c r="H1285" s="139"/>
      <c r="I1285" s="84"/>
    </row>
    <row r="1286" spans="1:9">
      <c r="A1286" s="139"/>
      <c r="B1286" s="139"/>
      <c r="C1286" s="138"/>
      <c r="D1286" s="140"/>
      <c r="E1286" s="84"/>
      <c r="F1286" s="84"/>
      <c r="G1286" s="84"/>
      <c r="H1286" s="139"/>
      <c r="I1286" s="84"/>
    </row>
    <row r="1287" spans="1:9">
      <c r="A1287" s="139"/>
      <c r="B1287" s="139"/>
      <c r="C1287" s="138"/>
      <c r="D1287" s="140"/>
      <c r="E1287" s="84"/>
      <c r="F1287" s="84"/>
      <c r="G1287" s="84"/>
      <c r="H1287" s="139"/>
      <c r="I1287" s="84"/>
    </row>
    <row r="1288" spans="1:9">
      <c r="A1288" s="139"/>
      <c r="B1288" s="139"/>
      <c r="C1288" s="138"/>
      <c r="D1288" s="140"/>
      <c r="E1288" s="84"/>
      <c r="F1288" s="84"/>
      <c r="G1288" s="84"/>
      <c r="H1288" s="139"/>
      <c r="I1288" s="84"/>
    </row>
    <row r="1289" spans="1:9">
      <c r="A1289" s="139"/>
      <c r="B1289" s="139"/>
      <c r="C1289" s="138"/>
      <c r="D1289" s="140"/>
      <c r="E1289" s="84"/>
      <c r="F1289" s="84"/>
      <c r="G1289" s="84"/>
      <c r="H1289" s="139"/>
      <c r="I1289" s="84"/>
    </row>
    <row r="1290" spans="1:9">
      <c r="A1290" s="139"/>
      <c r="B1290" s="139"/>
      <c r="C1290" s="138"/>
      <c r="D1290" s="140"/>
      <c r="E1290" s="84"/>
      <c r="F1290" s="84"/>
      <c r="G1290" s="84"/>
      <c r="H1290" s="139"/>
      <c r="I1290" s="84"/>
    </row>
    <row r="1291" spans="1:9">
      <c r="A1291" s="139"/>
      <c r="B1291" s="139"/>
      <c r="C1291" s="138"/>
      <c r="D1291" s="140"/>
      <c r="E1291" s="84"/>
      <c r="F1291" s="84"/>
      <c r="G1291" s="84"/>
      <c r="H1291" s="139"/>
      <c r="I1291" s="84"/>
    </row>
    <row r="1292" spans="1:9">
      <c r="A1292" s="139"/>
      <c r="B1292" s="139"/>
      <c r="C1292" s="138"/>
      <c r="D1292" s="140"/>
      <c r="E1292" s="84"/>
      <c r="F1292" s="84"/>
      <c r="G1292" s="84"/>
      <c r="H1292" s="139"/>
      <c r="I1292" s="84"/>
    </row>
    <row r="1293" spans="1:9">
      <c r="A1293" s="139"/>
      <c r="B1293" s="139"/>
      <c r="C1293" s="138"/>
      <c r="D1293" s="140"/>
      <c r="E1293" s="84"/>
      <c r="F1293" s="84"/>
      <c r="G1293" s="84"/>
      <c r="H1293" s="139"/>
      <c r="I1293" s="84"/>
    </row>
    <row r="1294" spans="1:9">
      <c r="A1294" s="139"/>
      <c r="B1294" s="139"/>
      <c r="C1294" s="138"/>
      <c r="D1294" s="140"/>
      <c r="E1294" s="84"/>
      <c r="F1294" s="84"/>
      <c r="G1294" s="84"/>
      <c r="H1294" s="139"/>
      <c r="I1294" s="84"/>
    </row>
    <row r="1295" spans="1:9">
      <c r="A1295" s="139"/>
      <c r="B1295" s="139"/>
      <c r="C1295" s="138"/>
      <c r="D1295" s="140"/>
      <c r="E1295" s="84"/>
      <c r="F1295" s="84"/>
      <c r="G1295" s="84"/>
      <c r="H1295" s="139"/>
      <c r="I1295" s="84"/>
    </row>
    <row r="1296" spans="1:9">
      <c r="A1296" s="139"/>
      <c r="B1296" s="139"/>
      <c r="C1296" s="138"/>
      <c r="D1296" s="140"/>
      <c r="E1296" s="84"/>
      <c r="F1296" s="84"/>
      <c r="G1296" s="84"/>
      <c r="H1296" s="139"/>
      <c r="I1296" s="84"/>
    </row>
    <row r="1297" spans="1:9">
      <c r="A1297" s="139"/>
      <c r="B1297" s="139"/>
      <c r="C1297" s="138"/>
      <c r="D1297" s="140"/>
      <c r="E1297" s="84"/>
      <c r="F1297" s="84"/>
      <c r="G1297" s="84"/>
      <c r="H1297" s="139"/>
      <c r="I1297" s="84"/>
    </row>
    <row r="1298" spans="1:9">
      <c r="A1298" s="139"/>
      <c r="B1298" s="139"/>
      <c r="C1298" s="138"/>
      <c r="D1298" s="140"/>
      <c r="E1298" s="84"/>
      <c r="F1298" s="84"/>
      <c r="G1298" s="84"/>
      <c r="H1298" s="139"/>
      <c r="I1298" s="84"/>
    </row>
    <row r="1299" spans="1:9">
      <c r="A1299" s="139"/>
      <c r="B1299" s="139"/>
      <c r="C1299" s="138"/>
      <c r="D1299" s="140"/>
      <c r="E1299" s="84"/>
      <c r="F1299" s="84"/>
      <c r="G1299" s="84"/>
      <c r="H1299" s="139"/>
      <c r="I1299" s="84"/>
    </row>
    <row r="1300" spans="1:9">
      <c r="A1300" s="139"/>
      <c r="B1300" s="139"/>
      <c r="C1300" s="138"/>
      <c r="D1300" s="140"/>
      <c r="E1300" s="84"/>
      <c r="F1300" s="84"/>
      <c r="G1300" s="84"/>
      <c r="H1300" s="139"/>
      <c r="I1300" s="84"/>
    </row>
    <row r="1301" spans="1:9">
      <c r="A1301" s="139"/>
      <c r="B1301" s="139"/>
      <c r="C1301" s="138"/>
      <c r="D1301" s="140"/>
      <c r="E1301" s="84"/>
      <c r="F1301" s="84"/>
      <c r="G1301" s="84"/>
      <c r="H1301" s="139"/>
      <c r="I1301" s="84"/>
    </row>
    <row r="1302" spans="1:9">
      <c r="A1302" s="139"/>
      <c r="B1302" s="139"/>
      <c r="C1302" s="138"/>
      <c r="D1302" s="140"/>
      <c r="E1302" s="84"/>
      <c r="F1302" s="84"/>
      <c r="G1302" s="84"/>
      <c r="H1302" s="139"/>
      <c r="I1302" s="84"/>
    </row>
    <row r="1303" spans="1:9">
      <c r="A1303" s="139"/>
      <c r="B1303" s="139"/>
      <c r="C1303" s="138"/>
      <c r="D1303" s="140"/>
      <c r="E1303" s="84"/>
      <c r="F1303" s="84"/>
      <c r="G1303" s="84"/>
      <c r="H1303" s="139"/>
      <c r="I1303" s="84"/>
    </row>
    <row r="1304" spans="1:9">
      <c r="A1304" s="139"/>
      <c r="B1304" s="139"/>
      <c r="C1304" s="138"/>
      <c r="D1304" s="140"/>
      <c r="E1304" s="84"/>
      <c r="F1304" s="84"/>
      <c r="G1304" s="84"/>
      <c r="H1304" s="139"/>
      <c r="I1304" s="84"/>
    </row>
    <row r="1305" spans="1:9">
      <c r="A1305" s="139"/>
      <c r="B1305" s="139"/>
      <c r="C1305" s="138"/>
      <c r="D1305" s="140"/>
      <c r="E1305" s="84"/>
      <c r="F1305" s="84"/>
      <c r="G1305" s="84"/>
      <c r="H1305" s="139"/>
      <c r="I1305" s="84"/>
    </row>
    <row r="1306" spans="1:9">
      <c r="A1306" s="139"/>
      <c r="B1306" s="139"/>
      <c r="C1306" s="138"/>
      <c r="D1306" s="140"/>
      <c r="E1306" s="84"/>
      <c r="F1306" s="84"/>
      <c r="G1306" s="84"/>
      <c r="H1306" s="139"/>
      <c r="I1306" s="84"/>
    </row>
    <row r="1307" spans="1:9">
      <c r="A1307" s="139"/>
      <c r="B1307" s="139"/>
      <c r="C1307" s="138"/>
      <c r="D1307" s="140"/>
      <c r="E1307" s="84"/>
      <c r="F1307" s="84"/>
      <c r="G1307" s="84"/>
      <c r="H1307" s="139"/>
      <c r="I1307" s="84"/>
    </row>
    <row r="1308" spans="1:9">
      <c r="A1308" s="139"/>
      <c r="B1308" s="139"/>
      <c r="C1308" s="138"/>
      <c r="D1308" s="140"/>
      <c r="E1308" s="84"/>
      <c r="F1308" s="84"/>
      <c r="G1308" s="84"/>
      <c r="H1308" s="139"/>
      <c r="I1308" s="84"/>
    </row>
    <row r="1309" spans="1:9">
      <c r="A1309" s="139"/>
      <c r="B1309" s="139"/>
      <c r="C1309" s="138"/>
      <c r="D1309" s="140"/>
      <c r="E1309" s="84"/>
      <c r="F1309" s="84"/>
      <c r="G1309" s="84"/>
      <c r="H1309" s="139"/>
      <c r="I1309" s="84"/>
    </row>
    <row r="1310" spans="1:9">
      <c r="A1310" s="139"/>
      <c r="B1310" s="139"/>
      <c r="C1310" s="138"/>
      <c r="D1310" s="140"/>
      <c r="E1310" s="84"/>
      <c r="F1310" s="84"/>
      <c r="G1310" s="84"/>
      <c r="H1310" s="139"/>
      <c r="I1310" s="84"/>
    </row>
    <row r="1311" spans="1:9">
      <c r="A1311" s="139"/>
      <c r="B1311" s="139"/>
      <c r="C1311" s="138"/>
      <c r="D1311" s="140"/>
      <c r="E1311" s="84"/>
      <c r="F1311" s="84"/>
      <c r="G1311" s="84"/>
      <c r="H1311" s="139"/>
      <c r="I1311" s="84"/>
    </row>
    <row r="1312" spans="1:9">
      <c r="A1312" s="139"/>
      <c r="B1312" s="139"/>
      <c r="C1312" s="138"/>
      <c r="D1312" s="140"/>
      <c r="E1312" s="84"/>
      <c r="F1312" s="84"/>
      <c r="G1312" s="84"/>
      <c r="H1312" s="139"/>
      <c r="I1312" s="84"/>
    </row>
    <row r="1313" spans="1:9">
      <c r="A1313" s="139"/>
      <c r="B1313" s="139"/>
      <c r="C1313" s="138"/>
      <c r="D1313" s="140"/>
      <c r="E1313" s="84"/>
      <c r="F1313" s="84"/>
      <c r="G1313" s="84"/>
      <c r="H1313" s="139"/>
      <c r="I1313" s="84"/>
    </row>
    <row r="1314" spans="1:9">
      <c r="A1314" s="139"/>
      <c r="B1314" s="139"/>
      <c r="C1314" s="138"/>
      <c r="D1314" s="140"/>
      <c r="E1314" s="84"/>
      <c r="F1314" s="84"/>
      <c r="G1314" s="84"/>
      <c r="H1314" s="139"/>
      <c r="I1314" s="84"/>
    </row>
    <row r="1315" spans="1:9">
      <c r="A1315" s="139"/>
      <c r="B1315" s="139"/>
      <c r="C1315" s="138"/>
      <c r="D1315" s="140"/>
      <c r="E1315" s="84"/>
      <c r="F1315" s="84"/>
      <c r="G1315" s="84"/>
      <c r="H1315" s="139"/>
      <c r="I1315" s="84"/>
    </row>
    <row r="1316" spans="1:9">
      <c r="A1316" s="139"/>
      <c r="B1316" s="139"/>
      <c r="C1316" s="138"/>
      <c r="D1316" s="140"/>
      <c r="E1316" s="84"/>
      <c r="F1316" s="84"/>
      <c r="G1316" s="84"/>
      <c r="H1316" s="139"/>
      <c r="I1316" s="84"/>
    </row>
    <row r="1317" spans="1:9">
      <c r="A1317" s="139"/>
      <c r="B1317" s="139"/>
      <c r="C1317" s="138"/>
      <c r="D1317" s="140"/>
      <c r="E1317" s="84"/>
      <c r="F1317" s="84"/>
      <c r="G1317" s="84"/>
      <c r="H1317" s="139"/>
      <c r="I1317" s="84"/>
    </row>
    <row r="1318" spans="1:9">
      <c r="A1318" s="139"/>
      <c r="B1318" s="139"/>
      <c r="C1318" s="138"/>
      <c r="D1318" s="140"/>
      <c r="E1318" s="84"/>
      <c r="F1318" s="84"/>
      <c r="G1318" s="84"/>
      <c r="H1318" s="139"/>
      <c r="I1318" s="84"/>
    </row>
    <row r="1319" spans="1:9">
      <c r="A1319" s="139"/>
      <c r="B1319" s="139"/>
      <c r="C1319" s="138"/>
      <c r="D1319" s="140"/>
      <c r="E1319" s="84"/>
      <c r="F1319" s="84"/>
      <c r="G1319" s="84"/>
      <c r="H1319" s="139"/>
      <c r="I1319" s="84"/>
    </row>
    <row r="1320" spans="1:9">
      <c r="A1320" s="139"/>
      <c r="B1320" s="139"/>
      <c r="C1320" s="138"/>
      <c r="D1320" s="140"/>
      <c r="E1320" s="84"/>
      <c r="F1320" s="84"/>
      <c r="G1320" s="84"/>
      <c r="H1320" s="139"/>
      <c r="I1320" s="84"/>
    </row>
    <row r="1321" spans="1:9">
      <c r="A1321" s="139"/>
      <c r="B1321" s="139"/>
      <c r="C1321" s="138"/>
      <c r="D1321" s="140"/>
      <c r="E1321" s="84"/>
      <c r="F1321" s="84"/>
      <c r="G1321" s="84"/>
      <c r="H1321" s="139"/>
      <c r="I1321" s="84"/>
    </row>
    <row r="1322" spans="1:9">
      <c r="A1322" s="139"/>
      <c r="B1322" s="139"/>
      <c r="C1322" s="138"/>
      <c r="D1322" s="140"/>
      <c r="E1322" s="84"/>
      <c r="F1322" s="84"/>
      <c r="G1322" s="84"/>
      <c r="H1322" s="139"/>
      <c r="I1322" s="84"/>
    </row>
    <row r="1323" spans="1:9">
      <c r="A1323" s="139"/>
      <c r="B1323" s="139"/>
      <c r="C1323" s="138"/>
      <c r="D1323" s="140"/>
      <c r="E1323" s="84"/>
      <c r="F1323" s="84"/>
      <c r="G1323" s="84"/>
      <c r="H1323" s="139"/>
      <c r="I1323" s="84"/>
    </row>
    <row r="1324" spans="1:9">
      <c r="A1324" s="139"/>
      <c r="B1324" s="139"/>
      <c r="C1324" s="138"/>
      <c r="D1324" s="140"/>
      <c r="E1324" s="84"/>
      <c r="F1324" s="84"/>
      <c r="G1324" s="84"/>
      <c r="H1324" s="139"/>
      <c r="I1324" s="84"/>
    </row>
    <row r="1325" spans="1:9">
      <c r="A1325" s="139"/>
      <c r="B1325" s="139"/>
      <c r="C1325" s="138"/>
      <c r="D1325" s="140"/>
      <c r="E1325" s="84"/>
      <c r="F1325" s="84"/>
      <c r="G1325" s="84"/>
      <c r="H1325" s="139"/>
      <c r="I1325" s="84"/>
    </row>
    <row r="1326" spans="1:9">
      <c r="A1326" s="139"/>
      <c r="B1326" s="139"/>
      <c r="C1326" s="138"/>
      <c r="D1326" s="140"/>
      <c r="E1326" s="84"/>
      <c r="F1326" s="84"/>
      <c r="G1326" s="84"/>
      <c r="H1326" s="139"/>
      <c r="I1326" s="84"/>
    </row>
    <row r="1327" spans="1:9">
      <c r="A1327" s="139"/>
      <c r="B1327" s="139"/>
      <c r="C1327" s="138"/>
      <c r="D1327" s="140"/>
      <c r="E1327" s="84"/>
      <c r="F1327" s="84"/>
      <c r="G1327" s="84"/>
      <c r="H1327" s="139"/>
      <c r="I1327" s="84"/>
    </row>
    <row r="1328" spans="1:9">
      <c r="A1328" s="139"/>
      <c r="B1328" s="139"/>
      <c r="C1328" s="138"/>
      <c r="D1328" s="140"/>
      <c r="E1328" s="84"/>
      <c r="F1328" s="84"/>
      <c r="G1328" s="84"/>
      <c r="H1328" s="139"/>
      <c r="I1328" s="84"/>
    </row>
    <row r="1329" spans="1:9">
      <c r="A1329" s="139"/>
      <c r="B1329" s="139"/>
      <c r="C1329" s="138"/>
      <c r="D1329" s="140"/>
      <c r="E1329" s="84"/>
      <c r="F1329" s="84"/>
      <c r="G1329" s="84"/>
      <c r="H1329" s="139"/>
      <c r="I1329" s="84"/>
    </row>
    <row r="1330" spans="1:9">
      <c r="A1330" s="139"/>
      <c r="B1330" s="139"/>
      <c r="C1330" s="138"/>
      <c r="D1330" s="140"/>
      <c r="E1330" s="84"/>
      <c r="F1330" s="84"/>
      <c r="G1330" s="84"/>
      <c r="H1330" s="139"/>
      <c r="I1330" s="84"/>
    </row>
    <row r="1331" spans="1:9">
      <c r="A1331" s="139"/>
      <c r="B1331" s="139"/>
      <c r="C1331" s="138"/>
      <c r="D1331" s="140"/>
      <c r="E1331" s="84"/>
      <c r="F1331" s="84"/>
      <c r="G1331" s="84"/>
      <c r="H1331" s="139"/>
      <c r="I1331" s="84"/>
    </row>
    <row r="1332" spans="1:9">
      <c r="A1332" s="139"/>
      <c r="B1332" s="139"/>
      <c r="C1332" s="138"/>
      <c r="D1332" s="140"/>
      <c r="E1332" s="84"/>
      <c r="F1332" s="84"/>
      <c r="G1332" s="84"/>
      <c r="H1332" s="139"/>
      <c r="I1332" s="84"/>
    </row>
    <row r="1333" spans="1:9">
      <c r="A1333" s="139"/>
      <c r="B1333" s="139"/>
      <c r="C1333" s="138"/>
      <c r="D1333" s="140"/>
      <c r="E1333" s="84"/>
      <c r="F1333" s="84"/>
      <c r="G1333" s="84"/>
      <c r="H1333" s="139"/>
      <c r="I1333" s="84"/>
    </row>
    <row r="1334" spans="1:9">
      <c r="A1334" s="139"/>
      <c r="B1334" s="139"/>
      <c r="C1334" s="138"/>
      <c r="D1334" s="140"/>
      <c r="E1334" s="84"/>
      <c r="F1334" s="84"/>
      <c r="G1334" s="84"/>
      <c r="H1334" s="139"/>
      <c r="I1334" s="84"/>
    </row>
    <row r="1335" spans="1:9">
      <c r="A1335" s="139"/>
      <c r="B1335" s="139"/>
      <c r="C1335" s="138"/>
      <c r="D1335" s="140"/>
      <c r="E1335" s="84"/>
      <c r="F1335" s="84"/>
      <c r="G1335" s="84"/>
      <c r="H1335" s="139"/>
      <c r="I1335" s="84"/>
    </row>
    <row r="1336" spans="1:9">
      <c r="A1336" s="139"/>
      <c r="B1336" s="139"/>
      <c r="C1336" s="138"/>
      <c r="D1336" s="140"/>
      <c r="E1336" s="84"/>
      <c r="F1336" s="84"/>
      <c r="G1336" s="84"/>
      <c r="H1336" s="139"/>
      <c r="I1336" s="84"/>
    </row>
    <row r="1337" spans="1:9">
      <c r="A1337" s="139"/>
      <c r="B1337" s="139"/>
      <c r="C1337" s="138"/>
      <c r="D1337" s="140"/>
      <c r="E1337" s="84"/>
      <c r="F1337" s="84"/>
      <c r="G1337" s="84"/>
      <c r="H1337" s="139"/>
      <c r="I1337" s="84"/>
    </row>
    <row r="1338" spans="1:9">
      <c r="A1338" s="139"/>
      <c r="B1338" s="139"/>
      <c r="C1338" s="138"/>
      <c r="D1338" s="140"/>
      <c r="E1338" s="84"/>
      <c r="F1338" s="84"/>
      <c r="G1338" s="84"/>
      <c r="H1338" s="139"/>
      <c r="I1338" s="84"/>
    </row>
    <row r="1339" spans="1:9">
      <c r="A1339" s="139"/>
      <c r="B1339" s="139"/>
      <c r="C1339" s="138"/>
      <c r="D1339" s="140"/>
      <c r="E1339" s="84"/>
      <c r="F1339" s="84"/>
      <c r="G1339" s="84"/>
      <c r="H1339" s="139"/>
      <c r="I1339" s="84"/>
    </row>
    <row r="1340" spans="1:9">
      <c r="A1340" s="139"/>
      <c r="B1340" s="139"/>
      <c r="C1340" s="138"/>
      <c r="D1340" s="140"/>
      <c r="E1340" s="84"/>
      <c r="F1340" s="84"/>
      <c r="G1340" s="84"/>
      <c r="H1340" s="139"/>
      <c r="I1340" s="84"/>
    </row>
    <row r="1341" spans="1:9">
      <c r="A1341" s="139"/>
      <c r="B1341" s="139"/>
      <c r="C1341" s="138"/>
      <c r="D1341" s="140"/>
      <c r="E1341" s="84"/>
      <c r="F1341" s="84"/>
      <c r="G1341" s="84"/>
      <c r="H1341" s="139"/>
      <c r="I1341" s="84"/>
    </row>
    <row r="1342" spans="1:9">
      <c r="A1342" s="139"/>
      <c r="B1342" s="139"/>
      <c r="C1342" s="138"/>
      <c r="D1342" s="140"/>
      <c r="E1342" s="84"/>
      <c r="F1342" s="84"/>
      <c r="G1342" s="84"/>
      <c r="H1342" s="139"/>
      <c r="I1342" s="84"/>
    </row>
    <row r="1343" spans="1:9">
      <c r="A1343" s="139"/>
      <c r="B1343" s="139"/>
      <c r="C1343" s="138"/>
      <c r="D1343" s="140"/>
      <c r="E1343" s="84"/>
      <c r="F1343" s="84"/>
      <c r="G1343" s="84"/>
      <c r="H1343" s="139"/>
      <c r="I1343" s="84"/>
    </row>
    <row r="1344" spans="1:9">
      <c r="A1344" s="139"/>
      <c r="B1344" s="139"/>
      <c r="C1344" s="138"/>
      <c r="D1344" s="140"/>
      <c r="E1344" s="84"/>
      <c r="F1344" s="84"/>
      <c r="G1344" s="84"/>
      <c r="H1344" s="139"/>
      <c r="I1344" s="84"/>
    </row>
    <row r="1345" spans="1:9">
      <c r="A1345" s="139"/>
      <c r="B1345" s="139"/>
      <c r="C1345" s="138"/>
      <c r="D1345" s="140"/>
      <c r="E1345" s="84"/>
      <c r="F1345" s="84"/>
      <c r="G1345" s="84"/>
      <c r="H1345" s="139"/>
      <c r="I1345" s="84"/>
    </row>
    <row r="1346" spans="1:9">
      <c r="A1346" s="139"/>
      <c r="B1346" s="139"/>
      <c r="C1346" s="138"/>
      <c r="D1346" s="140"/>
      <c r="E1346" s="84"/>
      <c r="F1346" s="84"/>
      <c r="G1346" s="84"/>
      <c r="H1346" s="139"/>
      <c r="I1346" s="84"/>
    </row>
    <row r="1347" spans="1:9">
      <c r="A1347" s="139"/>
      <c r="B1347" s="139"/>
      <c r="C1347" s="138"/>
      <c r="D1347" s="140"/>
      <c r="E1347" s="84"/>
      <c r="F1347" s="84"/>
      <c r="G1347" s="84"/>
      <c r="H1347" s="139"/>
      <c r="I1347" s="84"/>
    </row>
    <row r="1348" spans="1:9">
      <c r="A1348" s="139"/>
      <c r="B1348" s="139"/>
      <c r="C1348" s="138"/>
      <c r="D1348" s="140"/>
      <c r="E1348" s="84"/>
      <c r="F1348" s="84"/>
      <c r="G1348" s="84"/>
      <c r="H1348" s="139"/>
      <c r="I1348" s="84"/>
    </row>
    <row r="1349" spans="1:9">
      <c r="A1349" s="139"/>
      <c r="B1349" s="139"/>
      <c r="C1349" s="138"/>
      <c r="D1349" s="140"/>
      <c r="E1349" s="84"/>
      <c r="F1349" s="84"/>
      <c r="G1349" s="84"/>
      <c r="H1349" s="139"/>
      <c r="I1349" s="84"/>
    </row>
    <row r="1350" spans="1:9">
      <c r="A1350" s="139"/>
      <c r="B1350" s="139"/>
      <c r="C1350" s="138"/>
      <c r="D1350" s="140"/>
      <c r="E1350" s="84"/>
      <c r="F1350" s="84"/>
      <c r="G1350" s="84"/>
      <c r="H1350" s="139"/>
      <c r="I1350" s="84"/>
    </row>
    <row r="1351" spans="1:9">
      <c r="A1351" s="139"/>
      <c r="B1351" s="139"/>
      <c r="C1351" s="138"/>
      <c r="D1351" s="140"/>
      <c r="E1351" s="84"/>
      <c r="F1351" s="84"/>
      <c r="G1351" s="84"/>
      <c r="H1351" s="139"/>
      <c r="I1351" s="84"/>
    </row>
    <row r="1352" spans="1:9">
      <c r="A1352" s="139"/>
      <c r="B1352" s="139"/>
      <c r="C1352" s="138"/>
      <c r="D1352" s="140"/>
      <c r="E1352" s="84"/>
      <c r="F1352" s="84"/>
      <c r="G1352" s="84"/>
      <c r="H1352" s="139"/>
      <c r="I1352" s="84"/>
    </row>
    <row r="1353" spans="1:9">
      <c r="A1353" s="139"/>
      <c r="B1353" s="139"/>
      <c r="C1353" s="138"/>
      <c r="D1353" s="140"/>
      <c r="E1353" s="84"/>
      <c r="F1353" s="84"/>
      <c r="G1353" s="84"/>
      <c r="H1353" s="139"/>
      <c r="I1353" s="84"/>
    </row>
    <row r="1354" spans="1:9">
      <c r="A1354" s="139"/>
      <c r="B1354" s="139"/>
      <c r="C1354" s="138"/>
      <c r="D1354" s="140"/>
      <c r="E1354" s="84"/>
      <c r="F1354" s="84"/>
      <c r="G1354" s="84"/>
      <c r="H1354" s="139"/>
      <c r="I1354" s="84"/>
    </row>
    <row r="1355" spans="1:9">
      <c r="A1355" s="139"/>
      <c r="B1355" s="139"/>
      <c r="C1355" s="138"/>
      <c r="D1355" s="140"/>
      <c r="E1355" s="84"/>
      <c r="F1355" s="84"/>
      <c r="G1355" s="84"/>
      <c r="H1355" s="139"/>
      <c r="I1355" s="84"/>
    </row>
    <row r="1356" spans="1:9">
      <c r="A1356" s="139"/>
      <c r="B1356" s="139"/>
      <c r="C1356" s="138"/>
      <c r="D1356" s="140"/>
      <c r="E1356" s="84"/>
      <c r="F1356" s="84"/>
      <c r="G1356" s="84"/>
      <c r="H1356" s="139"/>
      <c r="I1356" s="84"/>
    </row>
    <row r="1357" spans="1:9">
      <c r="A1357" s="139"/>
      <c r="B1357" s="139"/>
      <c r="C1357" s="138"/>
      <c r="D1357" s="140"/>
      <c r="E1357" s="84"/>
      <c r="F1357" s="84"/>
      <c r="G1357" s="84"/>
      <c r="H1357" s="139"/>
      <c r="I1357" s="84"/>
    </row>
    <row r="1358" spans="1:9">
      <c r="A1358" s="139"/>
      <c r="B1358" s="139"/>
      <c r="C1358" s="138"/>
      <c r="D1358" s="140"/>
      <c r="E1358" s="84"/>
      <c r="F1358" s="84"/>
      <c r="G1358" s="84"/>
      <c r="H1358" s="139"/>
      <c r="I1358" s="84"/>
    </row>
    <row r="1359" spans="1:9">
      <c r="A1359" s="139"/>
      <c r="B1359" s="139"/>
      <c r="C1359" s="138"/>
      <c r="D1359" s="140"/>
      <c r="E1359" s="84"/>
      <c r="F1359" s="84"/>
      <c r="G1359" s="84"/>
      <c r="H1359" s="139"/>
      <c r="I1359" s="84"/>
    </row>
    <row r="1360" spans="1:9">
      <c r="A1360" s="139"/>
      <c r="B1360" s="139"/>
      <c r="C1360" s="138"/>
      <c r="D1360" s="140"/>
      <c r="E1360" s="84"/>
      <c r="F1360" s="84"/>
      <c r="G1360" s="84"/>
      <c r="H1360" s="139"/>
      <c r="I1360" s="84"/>
    </row>
    <row r="1361" spans="1:9">
      <c r="A1361" s="139"/>
      <c r="B1361" s="139"/>
      <c r="C1361" s="138"/>
      <c r="D1361" s="140"/>
      <c r="E1361" s="84"/>
      <c r="F1361" s="84"/>
      <c r="G1361" s="84"/>
      <c r="H1361" s="139"/>
      <c r="I1361" s="84"/>
    </row>
    <row r="1362" spans="1:9">
      <c r="A1362" s="139"/>
      <c r="B1362" s="139"/>
      <c r="C1362" s="138"/>
      <c r="D1362" s="140"/>
      <c r="E1362" s="84"/>
      <c r="F1362" s="84"/>
      <c r="G1362" s="84"/>
      <c r="H1362" s="139"/>
      <c r="I1362" s="84"/>
    </row>
    <row r="1363" spans="1:9">
      <c r="A1363" s="139"/>
      <c r="B1363" s="139"/>
      <c r="C1363" s="138"/>
      <c r="D1363" s="140"/>
      <c r="E1363" s="84"/>
      <c r="F1363" s="84"/>
      <c r="G1363" s="84"/>
      <c r="H1363" s="139"/>
      <c r="I1363" s="84"/>
    </row>
    <row r="1364" spans="1:9">
      <c r="A1364" s="139"/>
      <c r="B1364" s="139"/>
      <c r="C1364" s="138"/>
      <c r="D1364" s="140"/>
      <c r="E1364" s="84"/>
      <c r="F1364" s="84"/>
      <c r="G1364" s="84"/>
      <c r="H1364" s="139"/>
      <c r="I1364" s="84"/>
    </row>
    <row r="1365" spans="1:9">
      <c r="A1365" s="139"/>
      <c r="B1365" s="139"/>
      <c r="C1365" s="138"/>
      <c r="D1365" s="140"/>
      <c r="E1365" s="84"/>
      <c r="F1365" s="84"/>
      <c r="G1365" s="84"/>
      <c r="H1365" s="139"/>
      <c r="I1365" s="84"/>
    </row>
    <row r="1366" spans="1:9">
      <c r="A1366" s="139"/>
      <c r="B1366" s="139"/>
      <c r="C1366" s="138"/>
      <c r="D1366" s="140"/>
      <c r="E1366" s="84"/>
      <c r="F1366" s="84"/>
      <c r="G1366" s="84"/>
      <c r="H1366" s="139"/>
      <c r="I1366" s="84"/>
    </row>
    <row r="1367" spans="1:9">
      <c r="A1367" s="139"/>
      <c r="B1367" s="139"/>
      <c r="C1367" s="138"/>
      <c r="D1367" s="140"/>
      <c r="E1367" s="84"/>
      <c r="F1367" s="84"/>
      <c r="G1367" s="84"/>
      <c r="H1367" s="139"/>
      <c r="I1367" s="84"/>
    </row>
    <row r="1368" spans="1:9">
      <c r="A1368" s="139"/>
      <c r="B1368" s="139"/>
      <c r="C1368" s="138"/>
      <c r="D1368" s="140"/>
      <c r="E1368" s="84"/>
      <c r="F1368" s="84"/>
      <c r="G1368" s="84"/>
      <c r="H1368" s="139"/>
      <c r="I1368" s="84"/>
    </row>
    <row r="1369" spans="1:9">
      <c r="A1369" s="139"/>
      <c r="B1369" s="139"/>
      <c r="C1369" s="138"/>
      <c r="D1369" s="140"/>
      <c r="E1369" s="84"/>
      <c r="F1369" s="84"/>
      <c r="G1369" s="84"/>
      <c r="H1369" s="139"/>
      <c r="I1369" s="84"/>
    </row>
    <row r="1370" spans="1:9">
      <c r="A1370" s="139"/>
      <c r="B1370" s="139"/>
      <c r="C1370" s="138"/>
      <c r="D1370" s="140"/>
      <c r="E1370" s="84"/>
      <c r="F1370" s="84"/>
      <c r="G1370" s="84"/>
      <c r="H1370" s="139"/>
      <c r="I1370" s="84"/>
    </row>
    <row r="1371" spans="1:9">
      <c r="A1371" s="139"/>
      <c r="B1371" s="139"/>
      <c r="C1371" s="138"/>
      <c r="D1371" s="140"/>
      <c r="E1371" s="84"/>
      <c r="F1371" s="84"/>
      <c r="G1371" s="84"/>
      <c r="H1371" s="139"/>
      <c r="I1371" s="84"/>
    </row>
    <row r="1372" spans="1:9">
      <c r="A1372" s="139"/>
      <c r="B1372" s="139"/>
      <c r="C1372" s="138"/>
      <c r="D1372" s="140"/>
      <c r="E1372" s="84"/>
      <c r="F1372" s="84"/>
      <c r="G1372" s="84"/>
      <c r="H1372" s="139"/>
      <c r="I1372" s="84"/>
    </row>
    <row r="1373" spans="1:9">
      <c r="A1373" s="139"/>
      <c r="B1373" s="139"/>
      <c r="C1373" s="138"/>
      <c r="D1373" s="140"/>
      <c r="E1373" s="84"/>
      <c r="F1373" s="84"/>
      <c r="G1373" s="84"/>
      <c r="H1373" s="139"/>
      <c r="I1373" s="84"/>
    </row>
    <row r="1374" spans="1:9">
      <c r="A1374" s="139"/>
      <c r="B1374" s="139"/>
      <c r="C1374" s="138"/>
      <c r="D1374" s="140"/>
      <c r="E1374" s="84"/>
      <c r="F1374" s="84"/>
      <c r="G1374" s="84"/>
      <c r="H1374" s="139"/>
      <c r="I1374" s="84"/>
    </row>
    <row r="1375" spans="1:9">
      <c r="A1375" s="139"/>
      <c r="B1375" s="139"/>
      <c r="C1375" s="138"/>
      <c r="D1375" s="140"/>
      <c r="E1375" s="84"/>
      <c r="F1375" s="84"/>
      <c r="G1375" s="84"/>
      <c r="H1375" s="139"/>
      <c r="I1375" s="84"/>
    </row>
    <row r="1376" spans="1:9">
      <c r="A1376" s="139"/>
      <c r="B1376" s="139"/>
      <c r="C1376" s="138"/>
      <c r="D1376" s="140"/>
      <c r="E1376" s="84"/>
      <c r="F1376" s="84"/>
      <c r="G1376" s="84"/>
      <c r="H1376" s="139"/>
      <c r="I1376" s="84"/>
    </row>
    <row r="1377" spans="1:9">
      <c r="A1377" s="139"/>
      <c r="B1377" s="139"/>
      <c r="C1377" s="138"/>
      <c r="D1377" s="140"/>
      <c r="E1377" s="84"/>
      <c r="F1377" s="84"/>
      <c r="G1377" s="84"/>
      <c r="H1377" s="139"/>
      <c r="I1377" s="84"/>
    </row>
    <row r="1378" spans="1:9">
      <c r="A1378" s="139"/>
      <c r="B1378" s="139"/>
      <c r="C1378" s="138"/>
      <c r="D1378" s="140"/>
      <c r="E1378" s="84"/>
      <c r="F1378" s="84"/>
      <c r="G1378" s="84"/>
      <c r="H1378" s="139"/>
      <c r="I1378" s="84"/>
    </row>
    <row r="1379" spans="1:9">
      <c r="A1379" s="139"/>
      <c r="B1379" s="139"/>
      <c r="C1379" s="138"/>
      <c r="D1379" s="140"/>
      <c r="E1379" s="84"/>
      <c r="F1379" s="84"/>
      <c r="G1379" s="84"/>
      <c r="H1379" s="139"/>
      <c r="I1379" s="84"/>
    </row>
    <row r="1380" spans="1:9">
      <c r="A1380" s="139"/>
      <c r="B1380" s="139"/>
      <c r="C1380" s="138"/>
      <c r="D1380" s="140"/>
      <c r="E1380" s="84"/>
      <c r="F1380" s="84"/>
      <c r="G1380" s="84"/>
      <c r="H1380" s="139"/>
      <c r="I1380" s="84"/>
    </row>
    <row r="1381" spans="1:9">
      <c r="A1381" s="139"/>
      <c r="B1381" s="139"/>
      <c r="C1381" s="138"/>
      <c r="D1381" s="140"/>
      <c r="E1381" s="84"/>
      <c r="F1381" s="84"/>
      <c r="G1381" s="84"/>
      <c r="H1381" s="139"/>
      <c r="I1381" s="84"/>
    </row>
    <row r="1382" spans="1:9">
      <c r="A1382" s="139"/>
      <c r="B1382" s="139"/>
      <c r="C1382" s="138"/>
      <c r="D1382" s="140"/>
      <c r="E1382" s="84"/>
      <c r="F1382" s="84"/>
      <c r="G1382" s="84"/>
      <c r="H1382" s="139"/>
      <c r="I1382" s="84"/>
    </row>
    <row r="1383" spans="1:9">
      <c r="A1383" s="139"/>
      <c r="B1383" s="139"/>
      <c r="C1383" s="138"/>
      <c r="D1383" s="140"/>
      <c r="E1383" s="84"/>
      <c r="F1383" s="84"/>
      <c r="G1383" s="84"/>
      <c r="H1383" s="139"/>
      <c r="I1383" s="84"/>
    </row>
    <row r="1384" spans="1:9">
      <c r="A1384" s="139"/>
      <c r="B1384" s="139"/>
      <c r="C1384" s="138"/>
      <c r="D1384" s="140"/>
      <c r="E1384" s="84"/>
      <c r="F1384" s="84"/>
      <c r="G1384" s="84"/>
      <c r="H1384" s="139"/>
      <c r="I1384" s="84"/>
    </row>
    <row r="1385" spans="1:9">
      <c r="A1385" s="139"/>
      <c r="B1385" s="139"/>
      <c r="C1385" s="138"/>
      <c r="D1385" s="140"/>
      <c r="E1385" s="84"/>
      <c r="F1385" s="84"/>
      <c r="G1385" s="84"/>
      <c r="H1385" s="139"/>
      <c r="I1385" s="84"/>
    </row>
    <row r="1386" spans="1:9">
      <c r="A1386" s="139"/>
      <c r="B1386" s="139"/>
      <c r="C1386" s="138"/>
      <c r="D1386" s="140"/>
      <c r="E1386" s="84"/>
      <c r="F1386" s="84"/>
      <c r="G1386" s="84"/>
      <c r="H1386" s="139"/>
      <c r="I1386" s="84"/>
    </row>
    <row r="1387" spans="1:9">
      <c r="A1387" s="139"/>
      <c r="B1387" s="139"/>
      <c r="C1387" s="138"/>
      <c r="D1387" s="140"/>
      <c r="E1387" s="84"/>
      <c r="F1387" s="84"/>
      <c r="G1387" s="84"/>
      <c r="H1387" s="139"/>
      <c r="I1387" s="84"/>
    </row>
    <row r="1388" spans="1:9">
      <c r="A1388" s="139"/>
      <c r="B1388" s="139"/>
      <c r="C1388" s="138"/>
      <c r="D1388" s="140"/>
      <c r="E1388" s="84"/>
      <c r="F1388" s="84"/>
      <c r="G1388" s="84"/>
      <c r="H1388" s="139"/>
      <c r="I1388" s="84"/>
    </row>
    <row r="1389" spans="1:9">
      <c r="A1389" s="139"/>
      <c r="B1389" s="139"/>
      <c r="C1389" s="138"/>
      <c r="D1389" s="140"/>
      <c r="E1389" s="84"/>
      <c r="F1389" s="84"/>
      <c r="G1389" s="84"/>
      <c r="H1389" s="139"/>
      <c r="I1389" s="84"/>
    </row>
    <row r="1390" spans="1:9">
      <c r="A1390" s="139"/>
      <c r="B1390" s="139"/>
      <c r="C1390" s="138"/>
      <c r="D1390" s="140"/>
      <c r="E1390" s="84"/>
      <c r="F1390" s="84"/>
      <c r="G1390" s="84"/>
      <c r="H1390" s="139"/>
      <c r="I1390" s="84"/>
    </row>
    <row r="1391" spans="1:9">
      <c r="A1391" s="139"/>
      <c r="B1391" s="139"/>
      <c r="C1391" s="138"/>
      <c r="D1391" s="140"/>
      <c r="E1391" s="84"/>
      <c r="F1391" s="84"/>
      <c r="G1391" s="84"/>
      <c r="H1391" s="139"/>
      <c r="I1391" s="84"/>
    </row>
    <row r="1392" spans="1:9">
      <c r="A1392" s="139"/>
      <c r="B1392" s="139"/>
      <c r="C1392" s="138"/>
      <c r="D1392" s="140"/>
      <c r="E1392" s="84"/>
      <c r="F1392" s="84"/>
      <c r="G1392" s="84"/>
      <c r="H1392" s="139"/>
      <c r="I1392" s="84"/>
    </row>
    <row r="1393" spans="1:9">
      <c r="A1393" s="139"/>
      <c r="B1393" s="139"/>
      <c r="C1393" s="138"/>
      <c r="D1393" s="140"/>
      <c r="E1393" s="84"/>
      <c r="F1393" s="84"/>
      <c r="G1393" s="84"/>
      <c r="H1393" s="139"/>
      <c r="I1393" s="84"/>
    </row>
    <row r="1394" spans="1:9">
      <c r="A1394" s="139"/>
      <c r="B1394" s="139"/>
      <c r="C1394" s="138"/>
      <c r="D1394" s="140"/>
      <c r="E1394" s="84"/>
      <c r="F1394" s="84"/>
      <c r="G1394" s="84"/>
      <c r="H1394" s="139"/>
      <c r="I1394" s="84"/>
    </row>
    <row r="1395" spans="1:9">
      <c r="A1395" s="139"/>
      <c r="B1395" s="139"/>
      <c r="C1395" s="138"/>
      <c r="D1395" s="140"/>
      <c r="E1395" s="84"/>
      <c r="F1395" s="84"/>
      <c r="G1395" s="84"/>
      <c r="H1395" s="139"/>
      <c r="I1395" s="84"/>
    </row>
    <row r="1396" spans="1:9">
      <c r="A1396" s="139"/>
      <c r="B1396" s="139"/>
      <c r="C1396" s="138"/>
      <c r="D1396" s="140"/>
      <c r="E1396" s="84"/>
      <c r="F1396" s="84"/>
      <c r="G1396" s="84"/>
      <c r="H1396" s="139"/>
      <c r="I1396" s="84"/>
    </row>
    <row r="1397" spans="1:9">
      <c r="A1397" s="139"/>
      <c r="B1397" s="139"/>
      <c r="C1397" s="138"/>
      <c r="D1397" s="140"/>
      <c r="E1397" s="84"/>
      <c r="F1397" s="84"/>
      <c r="G1397" s="84"/>
      <c r="H1397" s="139"/>
      <c r="I1397" s="84"/>
    </row>
    <row r="1398" spans="1:9">
      <c r="A1398" s="139"/>
      <c r="B1398" s="139"/>
      <c r="C1398" s="138"/>
      <c r="D1398" s="140"/>
      <c r="E1398" s="84"/>
      <c r="F1398" s="84"/>
      <c r="G1398" s="84"/>
      <c r="H1398" s="139"/>
      <c r="I1398" s="84"/>
    </row>
    <row r="1399" spans="1:9">
      <c r="A1399" s="139"/>
      <c r="B1399" s="139"/>
      <c r="C1399" s="138"/>
      <c r="D1399" s="140"/>
      <c r="E1399" s="84"/>
      <c r="F1399" s="84"/>
      <c r="G1399" s="84"/>
      <c r="H1399" s="139"/>
      <c r="I1399" s="84"/>
    </row>
    <row r="1400" spans="1:9">
      <c r="A1400" s="139"/>
      <c r="B1400" s="139"/>
      <c r="C1400" s="138"/>
      <c r="D1400" s="140"/>
      <c r="E1400" s="84"/>
      <c r="F1400" s="84"/>
      <c r="G1400" s="84"/>
      <c r="H1400" s="139"/>
      <c r="I1400" s="84"/>
    </row>
    <row r="1401" spans="1:9">
      <c r="A1401" s="139"/>
      <c r="B1401" s="139"/>
      <c r="C1401" s="138"/>
      <c r="D1401" s="140"/>
      <c r="E1401" s="84"/>
      <c r="F1401" s="84"/>
      <c r="G1401" s="84"/>
      <c r="H1401" s="139"/>
      <c r="I1401" s="84"/>
    </row>
    <row r="1402" spans="1:9">
      <c r="A1402" s="139"/>
      <c r="B1402" s="139"/>
      <c r="C1402" s="138"/>
      <c r="D1402" s="140"/>
      <c r="E1402" s="84"/>
      <c r="F1402" s="84"/>
      <c r="G1402" s="84"/>
      <c r="H1402" s="139"/>
      <c r="I1402" s="84"/>
    </row>
    <row r="1403" spans="1:9">
      <c r="A1403" s="139"/>
      <c r="B1403" s="139"/>
      <c r="C1403" s="138"/>
      <c r="D1403" s="140"/>
      <c r="E1403" s="84"/>
      <c r="F1403" s="84"/>
      <c r="G1403" s="84"/>
      <c r="H1403" s="139"/>
      <c r="I1403" s="84"/>
    </row>
    <row r="1404" spans="1:9">
      <c r="A1404" s="139"/>
      <c r="B1404" s="139"/>
      <c r="C1404" s="138"/>
      <c r="D1404" s="140"/>
      <c r="E1404" s="84"/>
      <c r="F1404" s="84"/>
      <c r="G1404" s="84"/>
      <c r="H1404" s="139"/>
      <c r="I1404" s="84"/>
    </row>
    <row r="1405" spans="1:9">
      <c r="A1405" s="139"/>
      <c r="B1405" s="139"/>
      <c r="C1405" s="138"/>
      <c r="D1405" s="140"/>
      <c r="E1405" s="84"/>
      <c r="F1405" s="84"/>
      <c r="G1405" s="84"/>
      <c r="H1405" s="139"/>
      <c r="I1405" s="84"/>
    </row>
    <row r="1406" spans="1:9">
      <c r="A1406" s="139"/>
      <c r="B1406" s="139"/>
      <c r="C1406" s="138"/>
      <c r="D1406" s="140"/>
      <c r="E1406" s="84"/>
      <c r="F1406" s="84"/>
      <c r="G1406" s="84"/>
      <c r="H1406" s="139"/>
      <c r="I1406" s="84"/>
    </row>
    <row r="1407" spans="1:9">
      <c r="A1407" s="139"/>
      <c r="B1407" s="139"/>
      <c r="C1407" s="138"/>
      <c r="D1407" s="140"/>
      <c r="E1407" s="84"/>
      <c r="F1407" s="84"/>
      <c r="G1407" s="84"/>
      <c r="H1407" s="139"/>
      <c r="I1407" s="84"/>
    </row>
    <row r="1408" spans="1:9">
      <c r="A1408" s="139"/>
      <c r="B1408" s="139"/>
      <c r="C1408" s="138"/>
      <c r="D1408" s="140"/>
      <c r="E1408" s="84"/>
      <c r="F1408" s="84"/>
      <c r="G1408" s="84"/>
      <c r="H1408" s="139"/>
      <c r="I1408" s="84"/>
    </row>
    <row r="1409" spans="1:9">
      <c r="A1409" s="139"/>
      <c r="B1409" s="139"/>
      <c r="C1409" s="138"/>
      <c r="D1409" s="140"/>
      <c r="E1409" s="84"/>
      <c r="F1409" s="84"/>
      <c r="G1409" s="84"/>
      <c r="H1409" s="139"/>
      <c r="I1409" s="84"/>
    </row>
    <row r="1410" spans="1:9">
      <c r="A1410" s="139"/>
      <c r="B1410" s="139"/>
      <c r="C1410" s="138"/>
      <c r="D1410" s="140"/>
      <c r="E1410" s="84"/>
      <c r="F1410" s="84"/>
      <c r="G1410" s="84"/>
      <c r="H1410" s="139"/>
      <c r="I1410" s="84"/>
    </row>
    <row r="1411" spans="1:9">
      <c r="A1411" s="139"/>
      <c r="B1411" s="139"/>
      <c r="C1411" s="138"/>
      <c r="D1411" s="140"/>
      <c r="E1411" s="84"/>
      <c r="F1411" s="84"/>
      <c r="G1411" s="84"/>
      <c r="H1411" s="139"/>
      <c r="I1411" s="84"/>
    </row>
    <row r="1412" spans="1:9">
      <c r="A1412" s="139"/>
      <c r="B1412" s="139"/>
      <c r="C1412" s="138"/>
      <c r="D1412" s="140"/>
      <c r="E1412" s="84"/>
      <c r="F1412" s="84"/>
      <c r="G1412" s="84"/>
      <c r="H1412" s="139"/>
      <c r="I1412" s="84"/>
    </row>
    <row r="1413" spans="1:9">
      <c r="A1413" s="139"/>
      <c r="B1413" s="139"/>
      <c r="C1413" s="138"/>
      <c r="D1413" s="140"/>
      <c r="E1413" s="84"/>
      <c r="F1413" s="84"/>
      <c r="G1413" s="84"/>
      <c r="H1413" s="139"/>
      <c r="I1413" s="84"/>
    </row>
    <row r="1414" spans="1:9">
      <c r="A1414" s="139"/>
      <c r="B1414" s="139"/>
      <c r="C1414" s="138"/>
      <c r="D1414" s="140"/>
      <c r="E1414" s="84"/>
      <c r="F1414" s="84"/>
      <c r="G1414" s="84"/>
      <c r="H1414" s="139"/>
      <c r="I1414" s="84"/>
    </row>
    <row r="1415" spans="1:9">
      <c r="A1415" s="139"/>
      <c r="B1415" s="139"/>
      <c r="C1415" s="138"/>
      <c r="D1415" s="140"/>
      <c r="E1415" s="84"/>
      <c r="F1415" s="84"/>
      <c r="G1415" s="84"/>
      <c r="H1415" s="139"/>
      <c r="I1415" s="84"/>
    </row>
    <row r="1416" spans="1:9">
      <c r="A1416" s="139"/>
      <c r="B1416" s="139"/>
      <c r="C1416" s="138"/>
      <c r="D1416" s="140"/>
      <c r="E1416" s="84"/>
      <c r="F1416" s="84"/>
      <c r="G1416" s="84"/>
      <c r="H1416" s="139"/>
      <c r="I1416" s="84"/>
    </row>
    <row r="1417" spans="1:9">
      <c r="A1417" s="139"/>
      <c r="B1417" s="139"/>
      <c r="C1417" s="138"/>
      <c r="D1417" s="140"/>
      <c r="E1417" s="84"/>
      <c r="F1417" s="84"/>
      <c r="G1417" s="84"/>
      <c r="H1417" s="139"/>
      <c r="I1417" s="84"/>
    </row>
    <row r="1418" spans="1:9">
      <c r="A1418" s="139"/>
      <c r="B1418" s="139"/>
      <c r="C1418" s="138"/>
      <c r="D1418" s="140"/>
      <c r="E1418" s="84"/>
      <c r="F1418" s="84"/>
      <c r="G1418" s="84"/>
      <c r="H1418" s="139"/>
      <c r="I1418" s="84"/>
    </row>
    <row r="1419" spans="1:9">
      <c r="A1419" s="139"/>
      <c r="B1419" s="139"/>
      <c r="C1419" s="138"/>
      <c r="D1419" s="140"/>
      <c r="E1419" s="84"/>
      <c r="F1419" s="84"/>
      <c r="G1419" s="84"/>
      <c r="H1419" s="139"/>
      <c r="I1419" s="84"/>
    </row>
    <row r="1420" spans="1:9">
      <c r="A1420" s="139"/>
      <c r="B1420" s="139"/>
      <c r="C1420" s="138"/>
      <c r="D1420" s="140"/>
      <c r="E1420" s="84"/>
      <c r="F1420" s="84"/>
      <c r="G1420" s="84"/>
      <c r="H1420" s="139"/>
      <c r="I1420" s="84"/>
    </row>
    <row r="1421" spans="1:9">
      <c r="A1421" s="139"/>
      <c r="B1421" s="139"/>
      <c r="C1421" s="138"/>
      <c r="D1421" s="140"/>
      <c r="E1421" s="84"/>
      <c r="F1421" s="84"/>
      <c r="G1421" s="84"/>
      <c r="H1421" s="139"/>
      <c r="I1421" s="84"/>
    </row>
    <row r="1422" spans="1:9">
      <c r="A1422" s="139"/>
      <c r="B1422" s="139"/>
      <c r="C1422" s="138"/>
      <c r="D1422" s="140"/>
      <c r="E1422" s="84"/>
      <c r="F1422" s="84"/>
      <c r="G1422" s="84"/>
      <c r="H1422" s="139"/>
      <c r="I1422" s="84"/>
    </row>
    <row r="1423" spans="1:9">
      <c r="A1423" s="139"/>
      <c r="B1423" s="139"/>
      <c r="C1423" s="138"/>
      <c r="D1423" s="140"/>
      <c r="E1423" s="84"/>
      <c r="F1423" s="84"/>
      <c r="G1423" s="84"/>
      <c r="H1423" s="139"/>
      <c r="I1423" s="84"/>
    </row>
    <row r="1424" spans="1:9">
      <c r="A1424" s="139"/>
      <c r="B1424" s="139"/>
      <c r="C1424" s="138"/>
      <c r="D1424" s="140"/>
      <c r="E1424" s="84"/>
      <c r="F1424" s="84"/>
      <c r="G1424" s="84"/>
      <c r="H1424" s="139"/>
      <c r="I1424" s="84"/>
    </row>
    <row r="1425" spans="1:9">
      <c r="A1425" s="139"/>
      <c r="B1425" s="139"/>
      <c r="C1425" s="138"/>
      <c r="D1425" s="140"/>
      <c r="E1425" s="84"/>
      <c r="F1425" s="84"/>
      <c r="G1425" s="84"/>
      <c r="H1425" s="139"/>
      <c r="I1425" s="84"/>
    </row>
    <row r="1426" spans="1:9">
      <c r="A1426" s="139"/>
      <c r="B1426" s="139"/>
      <c r="C1426" s="138"/>
      <c r="D1426" s="140"/>
      <c r="E1426" s="84"/>
      <c r="F1426" s="84"/>
      <c r="G1426" s="84"/>
      <c r="H1426" s="139"/>
      <c r="I1426" s="84"/>
    </row>
    <row r="1427" spans="1:9">
      <c r="A1427" s="139"/>
      <c r="B1427" s="139"/>
      <c r="C1427" s="138"/>
      <c r="D1427" s="140"/>
      <c r="E1427" s="84"/>
      <c r="F1427" s="84"/>
      <c r="G1427" s="84"/>
      <c r="H1427" s="139"/>
      <c r="I1427" s="84"/>
    </row>
    <row r="1428" spans="1:9">
      <c r="A1428" s="139"/>
      <c r="B1428" s="139"/>
      <c r="C1428" s="138"/>
      <c r="D1428" s="140"/>
      <c r="E1428" s="84"/>
      <c r="F1428" s="84"/>
      <c r="G1428" s="84"/>
      <c r="H1428" s="139"/>
      <c r="I1428" s="84"/>
    </row>
    <row r="1429" spans="1:9">
      <c r="A1429" s="139"/>
      <c r="B1429" s="139"/>
      <c r="C1429" s="138"/>
      <c r="D1429" s="140"/>
      <c r="E1429" s="84"/>
      <c r="F1429" s="84"/>
      <c r="G1429" s="84"/>
      <c r="H1429" s="139"/>
      <c r="I1429" s="84"/>
    </row>
    <row r="1430" spans="1:9">
      <c r="A1430" s="139"/>
      <c r="B1430" s="139"/>
      <c r="C1430" s="138"/>
      <c r="D1430" s="140"/>
      <c r="E1430" s="84"/>
      <c r="F1430" s="84"/>
      <c r="G1430" s="84"/>
      <c r="H1430" s="139"/>
      <c r="I1430" s="84"/>
    </row>
    <row r="1431" spans="1:9">
      <c r="A1431" s="139"/>
      <c r="B1431" s="139"/>
      <c r="C1431" s="138"/>
      <c r="D1431" s="140"/>
      <c r="E1431" s="84"/>
      <c r="F1431" s="84"/>
      <c r="G1431" s="84"/>
      <c r="H1431" s="139"/>
      <c r="I1431" s="84"/>
    </row>
    <row r="1432" spans="1:9">
      <c r="A1432" s="139"/>
      <c r="B1432" s="139"/>
      <c r="C1432" s="138"/>
      <c r="D1432" s="140"/>
      <c r="E1432" s="84"/>
      <c r="F1432" s="84"/>
      <c r="G1432" s="84"/>
      <c r="H1432" s="139"/>
      <c r="I1432" s="84"/>
    </row>
    <row r="1433" spans="1:9">
      <c r="A1433" s="139"/>
      <c r="B1433" s="139"/>
      <c r="C1433" s="138"/>
      <c r="D1433" s="140"/>
      <c r="E1433" s="84"/>
      <c r="F1433" s="84"/>
      <c r="G1433" s="84"/>
      <c r="H1433" s="139"/>
      <c r="I1433" s="84"/>
    </row>
    <row r="1434" spans="1:9">
      <c r="A1434" s="139"/>
      <c r="B1434" s="139"/>
      <c r="C1434" s="138"/>
      <c r="D1434" s="140"/>
      <c r="E1434" s="84"/>
      <c r="F1434" s="84"/>
      <c r="G1434" s="84"/>
      <c r="H1434" s="139"/>
      <c r="I1434" s="84"/>
    </row>
    <row r="1435" spans="1:9">
      <c r="A1435" s="139"/>
      <c r="B1435" s="139"/>
      <c r="C1435" s="138"/>
      <c r="D1435" s="140"/>
      <c r="E1435" s="84"/>
      <c r="F1435" s="84"/>
      <c r="G1435" s="84"/>
      <c r="H1435" s="139"/>
      <c r="I1435" s="84"/>
    </row>
    <row r="1436" spans="1:9">
      <c r="A1436" s="139"/>
      <c r="B1436" s="139"/>
      <c r="C1436" s="138"/>
      <c r="D1436" s="140"/>
      <c r="E1436" s="84"/>
      <c r="F1436" s="84"/>
      <c r="G1436" s="84"/>
      <c r="H1436" s="139"/>
      <c r="I1436" s="84"/>
    </row>
    <row r="1437" spans="1:9">
      <c r="A1437" s="139"/>
      <c r="B1437" s="139"/>
      <c r="C1437" s="138"/>
      <c r="D1437" s="140"/>
      <c r="E1437" s="84"/>
      <c r="F1437" s="84"/>
      <c r="G1437" s="84"/>
      <c r="H1437" s="139"/>
      <c r="I1437" s="84"/>
    </row>
    <row r="1438" spans="1:9">
      <c r="A1438" s="139"/>
      <c r="B1438" s="139"/>
      <c r="C1438" s="138"/>
      <c r="D1438" s="140"/>
      <c r="E1438" s="84"/>
      <c r="F1438" s="84"/>
      <c r="G1438" s="84"/>
      <c r="H1438" s="139"/>
      <c r="I1438" s="84"/>
    </row>
    <row r="1439" spans="1:9">
      <c r="A1439" s="139"/>
      <c r="B1439" s="139"/>
      <c r="C1439" s="138"/>
      <c r="D1439" s="140"/>
      <c r="E1439" s="84"/>
      <c r="F1439" s="84"/>
      <c r="G1439" s="84"/>
      <c r="H1439" s="139"/>
      <c r="I1439" s="84"/>
    </row>
    <row r="1440" spans="1:9">
      <c r="A1440" s="139"/>
      <c r="B1440" s="139"/>
      <c r="C1440" s="138"/>
      <c r="D1440" s="140"/>
      <c r="E1440" s="84"/>
      <c r="F1440" s="84"/>
      <c r="G1440" s="84"/>
      <c r="H1440" s="139"/>
      <c r="I1440" s="84"/>
    </row>
    <row r="1441" spans="1:9">
      <c r="A1441" s="139"/>
      <c r="B1441" s="139"/>
      <c r="C1441" s="138"/>
      <c r="D1441" s="140"/>
      <c r="E1441" s="84"/>
      <c r="F1441" s="84"/>
      <c r="G1441" s="84"/>
      <c r="H1441" s="139"/>
      <c r="I1441" s="84"/>
    </row>
    <row r="1442" spans="1:9">
      <c r="A1442" s="139"/>
      <c r="B1442" s="139"/>
      <c r="C1442" s="138"/>
      <c r="D1442" s="140"/>
      <c r="E1442" s="84"/>
      <c r="F1442" s="84"/>
      <c r="G1442" s="84"/>
      <c r="H1442" s="139"/>
      <c r="I1442" s="84"/>
    </row>
    <row r="1443" spans="1:9">
      <c r="A1443" s="139"/>
      <c r="B1443" s="139"/>
      <c r="C1443" s="138"/>
      <c r="D1443" s="140"/>
      <c r="E1443" s="84"/>
      <c r="F1443" s="84"/>
      <c r="G1443" s="84"/>
      <c r="H1443" s="139"/>
      <c r="I1443" s="84"/>
    </row>
    <row r="1444" spans="1:9">
      <c r="A1444" s="139"/>
      <c r="B1444" s="139"/>
      <c r="C1444" s="138"/>
      <c r="D1444" s="140"/>
      <c r="E1444" s="84"/>
      <c r="F1444" s="84"/>
      <c r="G1444" s="84"/>
      <c r="H1444" s="139"/>
      <c r="I1444" s="84"/>
    </row>
    <row r="1445" spans="1:9">
      <c r="A1445" s="139"/>
      <c r="B1445" s="139"/>
      <c r="C1445" s="138"/>
      <c r="D1445" s="140"/>
      <c r="E1445" s="84"/>
      <c r="F1445" s="84"/>
      <c r="G1445" s="84"/>
      <c r="H1445" s="139"/>
      <c r="I1445" s="84"/>
    </row>
    <row r="1446" spans="1:9">
      <c r="A1446" s="139"/>
      <c r="B1446" s="139"/>
      <c r="C1446" s="138"/>
      <c r="D1446" s="140"/>
      <c r="E1446" s="84"/>
      <c r="F1446" s="84"/>
      <c r="G1446" s="84"/>
      <c r="H1446" s="139"/>
      <c r="I1446" s="84"/>
    </row>
    <row r="1447" spans="1:9">
      <c r="A1447" s="139"/>
      <c r="B1447" s="139"/>
      <c r="C1447" s="138"/>
      <c r="D1447" s="140"/>
      <c r="E1447" s="84"/>
      <c r="F1447" s="84"/>
      <c r="G1447" s="84"/>
      <c r="H1447" s="139"/>
      <c r="I1447" s="84"/>
    </row>
    <row r="1448" spans="1:9">
      <c r="A1448" s="139"/>
      <c r="B1448" s="139"/>
      <c r="C1448" s="138"/>
      <c r="D1448" s="140"/>
      <c r="E1448" s="84"/>
      <c r="F1448" s="84"/>
      <c r="G1448" s="84"/>
      <c r="H1448" s="139"/>
      <c r="I1448" s="84"/>
    </row>
    <row r="1449" spans="1:9">
      <c r="A1449" s="139"/>
      <c r="B1449" s="139"/>
      <c r="C1449" s="138"/>
      <c r="D1449" s="140"/>
      <c r="E1449" s="84"/>
      <c r="F1449" s="84"/>
      <c r="G1449" s="84"/>
      <c r="H1449" s="139"/>
      <c r="I1449" s="84"/>
    </row>
    <row r="1450" spans="1:9">
      <c r="A1450" s="139"/>
      <c r="B1450" s="139"/>
      <c r="C1450" s="138"/>
      <c r="D1450" s="140"/>
      <c r="E1450" s="84"/>
      <c r="F1450" s="84"/>
      <c r="G1450" s="84"/>
      <c r="H1450" s="139"/>
      <c r="I1450" s="84"/>
    </row>
    <row r="1451" spans="1:9">
      <c r="A1451" s="139"/>
      <c r="B1451" s="139"/>
      <c r="C1451" s="138"/>
      <c r="D1451" s="140"/>
      <c r="E1451" s="84"/>
      <c r="F1451" s="84"/>
      <c r="G1451" s="84"/>
      <c r="H1451" s="139"/>
      <c r="I1451" s="84"/>
    </row>
    <row r="1452" spans="1:9">
      <c r="A1452" s="139"/>
      <c r="B1452" s="139"/>
      <c r="C1452" s="138"/>
      <c r="D1452" s="140"/>
      <c r="E1452" s="84"/>
      <c r="F1452" s="84"/>
      <c r="G1452" s="84"/>
      <c r="H1452" s="139"/>
      <c r="I1452" s="84"/>
    </row>
    <row r="1453" spans="1:9">
      <c r="A1453" s="139"/>
      <c r="B1453" s="139"/>
      <c r="C1453" s="138"/>
      <c r="D1453" s="140"/>
      <c r="E1453" s="84"/>
      <c r="F1453" s="84"/>
      <c r="G1453" s="84"/>
      <c r="H1453" s="139"/>
      <c r="I1453" s="84"/>
    </row>
    <row r="1454" spans="1:9">
      <c r="A1454" s="139"/>
      <c r="B1454" s="139"/>
      <c r="C1454" s="138"/>
      <c r="D1454" s="140"/>
      <c r="E1454" s="84"/>
      <c r="F1454" s="84"/>
      <c r="G1454" s="84"/>
      <c r="H1454" s="139"/>
      <c r="I1454" s="84"/>
    </row>
    <row r="1455" spans="1:9">
      <c r="A1455" s="139"/>
      <c r="B1455" s="139"/>
      <c r="C1455" s="138"/>
      <c r="D1455" s="140"/>
      <c r="E1455" s="84"/>
      <c r="F1455" s="84"/>
      <c r="G1455" s="84"/>
      <c r="H1455" s="139"/>
      <c r="I1455" s="84"/>
    </row>
    <row r="1456" spans="1:9">
      <c r="A1456" s="139"/>
      <c r="B1456" s="139"/>
      <c r="C1456" s="138"/>
      <c r="D1456" s="140"/>
      <c r="E1456" s="84"/>
      <c r="F1456" s="84"/>
      <c r="G1456" s="84"/>
      <c r="H1456" s="139"/>
      <c r="I1456" s="84"/>
    </row>
    <row r="1457" spans="1:9">
      <c r="A1457" s="139"/>
      <c r="B1457" s="139"/>
      <c r="C1457" s="138"/>
      <c r="D1457" s="140"/>
      <c r="E1457" s="84"/>
      <c r="F1457" s="84"/>
      <c r="G1457" s="84"/>
      <c r="H1457" s="139"/>
      <c r="I1457" s="84"/>
    </row>
    <row r="1458" spans="1:9">
      <c r="A1458" s="139"/>
      <c r="B1458" s="139"/>
      <c r="C1458" s="138"/>
      <c r="D1458" s="140"/>
      <c r="E1458" s="84"/>
      <c r="F1458" s="84"/>
      <c r="G1458" s="84"/>
      <c r="H1458" s="139"/>
      <c r="I1458" s="84"/>
    </row>
    <row r="1459" spans="1:9">
      <c r="A1459" s="139"/>
      <c r="B1459" s="139"/>
      <c r="C1459" s="138"/>
      <c r="D1459" s="140"/>
      <c r="E1459" s="84"/>
      <c r="F1459" s="84"/>
      <c r="G1459" s="84"/>
      <c r="H1459" s="139"/>
      <c r="I1459" s="84"/>
    </row>
    <row r="1460" spans="1:9">
      <c r="A1460" s="139"/>
      <c r="B1460" s="139"/>
      <c r="C1460" s="138"/>
      <c r="D1460" s="140"/>
      <c r="E1460" s="84"/>
      <c r="F1460" s="84"/>
      <c r="G1460" s="84"/>
      <c r="H1460" s="139"/>
      <c r="I1460" s="84"/>
    </row>
    <row r="1461" spans="1:9">
      <c r="A1461" s="139"/>
      <c r="B1461" s="139"/>
      <c r="C1461" s="138"/>
      <c r="D1461" s="140"/>
      <c r="E1461" s="84"/>
      <c r="F1461" s="84"/>
      <c r="G1461" s="84"/>
      <c r="H1461" s="139"/>
      <c r="I1461" s="84"/>
    </row>
    <row r="1462" spans="1:9">
      <c r="A1462" s="139"/>
      <c r="B1462" s="139"/>
      <c r="C1462" s="138"/>
      <c r="D1462" s="140"/>
      <c r="E1462" s="84"/>
      <c r="F1462" s="84"/>
      <c r="G1462" s="84"/>
      <c r="H1462" s="139"/>
      <c r="I1462" s="84"/>
    </row>
    <row r="1463" spans="1:9">
      <c r="A1463" s="139"/>
      <c r="B1463" s="139"/>
      <c r="C1463" s="138"/>
      <c r="D1463" s="140"/>
      <c r="E1463" s="84"/>
      <c r="F1463" s="84"/>
      <c r="G1463" s="84"/>
      <c r="H1463" s="139"/>
      <c r="I1463" s="84"/>
    </row>
    <row r="1464" spans="1:9">
      <c r="A1464" s="139"/>
      <c r="B1464" s="139"/>
      <c r="C1464" s="138"/>
      <c r="D1464" s="140"/>
      <c r="E1464" s="84"/>
      <c r="F1464" s="84"/>
      <c r="G1464" s="84"/>
      <c r="H1464" s="139"/>
      <c r="I1464" s="84"/>
    </row>
    <row r="1465" spans="1:9">
      <c r="A1465" s="139"/>
      <c r="B1465" s="139"/>
      <c r="C1465" s="138"/>
      <c r="D1465" s="140"/>
      <c r="E1465" s="84"/>
      <c r="F1465" s="84"/>
      <c r="G1465" s="84"/>
      <c r="H1465" s="139"/>
      <c r="I1465" s="84"/>
    </row>
    <row r="1466" spans="1:9">
      <c r="A1466" s="139"/>
      <c r="B1466" s="139"/>
      <c r="C1466" s="138"/>
      <c r="D1466" s="140"/>
      <c r="E1466" s="84"/>
      <c r="F1466" s="84"/>
      <c r="G1466" s="84"/>
      <c r="H1466" s="139"/>
      <c r="I1466" s="84"/>
    </row>
    <row r="1467" spans="1:9">
      <c r="A1467" s="139"/>
      <c r="B1467" s="139"/>
      <c r="C1467" s="138"/>
      <c r="D1467" s="140"/>
      <c r="E1467" s="84"/>
      <c r="F1467" s="84"/>
      <c r="G1467" s="84"/>
      <c r="H1467" s="139"/>
      <c r="I1467" s="84"/>
    </row>
    <row r="1468" spans="1:9">
      <c r="A1468" s="139"/>
      <c r="B1468" s="139"/>
      <c r="C1468" s="138"/>
      <c r="D1468" s="140"/>
      <c r="E1468" s="84"/>
      <c r="F1468" s="84"/>
      <c r="G1468" s="84"/>
      <c r="H1468" s="139"/>
      <c r="I1468" s="84"/>
    </row>
    <row r="1469" spans="1:9">
      <c r="A1469" s="139"/>
      <c r="B1469" s="139"/>
      <c r="C1469" s="138"/>
      <c r="D1469" s="140"/>
      <c r="E1469" s="84"/>
      <c r="F1469" s="84"/>
      <c r="G1469" s="84"/>
      <c r="H1469" s="139"/>
      <c r="I1469" s="84"/>
    </row>
    <row r="1470" spans="1:9">
      <c r="A1470" s="139"/>
      <c r="B1470" s="139"/>
      <c r="C1470" s="138"/>
      <c r="D1470" s="140"/>
      <c r="E1470" s="84"/>
      <c r="F1470" s="84"/>
      <c r="G1470" s="84"/>
      <c r="H1470" s="139"/>
      <c r="I1470" s="84"/>
    </row>
    <row r="1471" spans="1:9">
      <c r="A1471" s="139"/>
      <c r="B1471" s="139"/>
      <c r="C1471" s="138"/>
      <c r="D1471" s="140"/>
      <c r="E1471" s="84"/>
      <c r="F1471" s="84"/>
      <c r="G1471" s="84"/>
      <c r="H1471" s="139"/>
      <c r="I1471" s="84"/>
    </row>
    <row r="1472" spans="1:9">
      <c r="A1472" s="139"/>
      <c r="B1472" s="139"/>
      <c r="C1472" s="138"/>
      <c r="D1472" s="140"/>
      <c r="E1472" s="84"/>
      <c r="F1472" s="84"/>
      <c r="G1472" s="84"/>
      <c r="H1472" s="139"/>
      <c r="I1472" s="84"/>
    </row>
    <row r="1473" spans="1:9">
      <c r="A1473" s="139"/>
      <c r="B1473" s="139"/>
      <c r="C1473" s="138"/>
      <c r="D1473" s="140"/>
      <c r="E1473" s="84"/>
      <c r="F1473" s="84"/>
      <c r="G1473" s="84"/>
      <c r="H1473" s="139"/>
      <c r="I1473" s="84"/>
    </row>
    <row r="1474" spans="1:9">
      <c r="A1474" s="139"/>
      <c r="B1474" s="139"/>
      <c r="C1474" s="138"/>
      <c r="D1474" s="140"/>
      <c r="E1474" s="84"/>
      <c r="F1474" s="84"/>
      <c r="G1474" s="84"/>
      <c r="H1474" s="139"/>
      <c r="I1474" s="84"/>
    </row>
    <row r="1475" spans="1:9">
      <c r="A1475" s="139"/>
      <c r="B1475" s="139"/>
      <c r="C1475" s="138"/>
      <c r="D1475" s="140"/>
      <c r="E1475" s="84"/>
      <c r="F1475" s="84"/>
      <c r="G1475" s="84"/>
      <c r="H1475" s="139"/>
      <c r="I1475" s="84"/>
    </row>
    <row r="1476" spans="1:9">
      <c r="A1476" s="139"/>
      <c r="B1476" s="139"/>
      <c r="C1476" s="138"/>
      <c r="D1476" s="140"/>
      <c r="E1476" s="84"/>
      <c r="F1476" s="84"/>
      <c r="G1476" s="84"/>
      <c r="H1476" s="139"/>
      <c r="I1476" s="84"/>
    </row>
    <row r="1477" spans="1:9">
      <c r="A1477" s="139"/>
      <c r="B1477" s="139"/>
      <c r="C1477" s="138"/>
      <c r="D1477" s="140"/>
      <c r="E1477" s="84"/>
      <c r="F1477" s="84"/>
      <c r="G1477" s="84"/>
      <c r="H1477" s="139"/>
      <c r="I1477" s="84"/>
    </row>
    <row r="1478" spans="1:9">
      <c r="A1478" s="139"/>
      <c r="B1478" s="139"/>
      <c r="C1478" s="138"/>
      <c r="D1478" s="140"/>
      <c r="E1478" s="84"/>
      <c r="F1478" s="84"/>
      <c r="G1478" s="84"/>
      <c r="H1478" s="139"/>
      <c r="I1478" s="84"/>
    </row>
    <row r="1479" spans="1:9">
      <c r="A1479" s="139"/>
      <c r="B1479" s="139"/>
      <c r="C1479" s="138"/>
      <c r="D1479" s="140"/>
      <c r="E1479" s="84"/>
      <c r="F1479" s="84"/>
      <c r="G1479" s="84"/>
      <c r="H1479" s="139"/>
      <c r="I1479" s="84"/>
    </row>
    <row r="1480" spans="1:9">
      <c r="A1480" s="139"/>
      <c r="B1480" s="139"/>
      <c r="C1480" s="138"/>
      <c r="D1480" s="140"/>
      <c r="E1480" s="84"/>
      <c r="F1480" s="84"/>
      <c r="G1480" s="84"/>
      <c r="H1480" s="139"/>
      <c r="I1480" s="84"/>
    </row>
    <row r="1481" spans="1:9">
      <c r="A1481" s="139"/>
      <c r="B1481" s="139"/>
      <c r="C1481" s="138"/>
      <c r="D1481" s="140"/>
      <c r="E1481" s="84"/>
      <c r="F1481" s="84"/>
      <c r="G1481" s="84"/>
      <c r="H1481" s="139"/>
      <c r="I1481" s="84"/>
    </row>
    <row r="1482" spans="1:9">
      <c r="A1482" s="139"/>
      <c r="B1482" s="139"/>
      <c r="C1482" s="138"/>
      <c r="D1482" s="140"/>
      <c r="E1482" s="84"/>
      <c r="F1482" s="84"/>
      <c r="G1482" s="84"/>
      <c r="H1482" s="139"/>
      <c r="I1482" s="84"/>
    </row>
    <row r="1483" spans="1:9">
      <c r="A1483" s="139"/>
      <c r="B1483" s="139"/>
      <c r="C1483" s="138"/>
      <c r="D1483" s="140"/>
      <c r="E1483" s="84"/>
      <c r="F1483" s="84"/>
      <c r="G1483" s="84"/>
      <c r="H1483" s="139"/>
      <c r="I1483" s="84"/>
    </row>
    <row r="1484" spans="1:9">
      <c r="A1484" s="139"/>
      <c r="B1484" s="139"/>
      <c r="C1484" s="138"/>
      <c r="D1484" s="140"/>
      <c r="E1484" s="84"/>
      <c r="F1484" s="84"/>
      <c r="G1484" s="84"/>
      <c r="H1484" s="139"/>
      <c r="I1484" s="84"/>
    </row>
    <row r="1485" spans="1:9">
      <c r="A1485" s="139"/>
      <c r="B1485" s="139"/>
      <c r="C1485" s="138"/>
      <c r="D1485" s="140"/>
      <c r="E1485" s="84"/>
      <c r="F1485" s="84"/>
      <c r="G1485" s="84"/>
      <c r="H1485" s="139"/>
      <c r="I1485" s="84"/>
    </row>
    <row r="1486" spans="1:9">
      <c r="A1486" s="139"/>
      <c r="B1486" s="139"/>
      <c r="C1486" s="138"/>
      <c r="D1486" s="140"/>
      <c r="E1486" s="84"/>
      <c r="F1486" s="84"/>
      <c r="G1486" s="84"/>
      <c r="H1486" s="139"/>
      <c r="I1486" s="84"/>
    </row>
    <row r="1487" spans="1:9">
      <c r="A1487" s="139"/>
      <c r="B1487" s="139"/>
      <c r="C1487" s="138"/>
      <c r="D1487" s="140"/>
      <c r="E1487" s="84"/>
      <c r="F1487" s="84"/>
      <c r="G1487" s="84"/>
      <c r="H1487" s="139"/>
      <c r="I1487" s="84"/>
    </row>
    <row r="1488" spans="1:9">
      <c r="A1488" s="139"/>
      <c r="B1488" s="139"/>
      <c r="C1488" s="138"/>
      <c r="D1488" s="140"/>
      <c r="E1488" s="84"/>
      <c r="F1488" s="84"/>
      <c r="G1488" s="84"/>
      <c r="H1488" s="139"/>
      <c r="I1488" s="84"/>
    </row>
    <row r="1489" spans="1:9">
      <c r="A1489" s="139"/>
      <c r="B1489" s="139"/>
      <c r="C1489" s="138"/>
      <c r="D1489" s="140"/>
      <c r="E1489" s="84"/>
      <c r="F1489" s="84"/>
      <c r="G1489" s="84"/>
      <c r="H1489" s="139"/>
      <c r="I1489" s="84"/>
    </row>
    <row r="1490" spans="1:9">
      <c r="A1490" s="139"/>
      <c r="B1490" s="139"/>
      <c r="C1490" s="138"/>
      <c r="D1490" s="140"/>
      <c r="E1490" s="84"/>
      <c r="F1490" s="84"/>
      <c r="G1490" s="84"/>
      <c r="H1490" s="139"/>
      <c r="I1490" s="84"/>
    </row>
    <row r="1491" spans="1:9">
      <c r="A1491" s="139"/>
      <c r="B1491" s="139"/>
      <c r="C1491" s="138"/>
      <c r="D1491" s="140"/>
      <c r="E1491" s="84"/>
      <c r="F1491" s="84"/>
      <c r="G1491" s="84"/>
      <c r="H1491" s="139"/>
      <c r="I1491" s="84"/>
    </row>
    <row r="1492" spans="1:9">
      <c r="A1492" s="139"/>
      <c r="B1492" s="139"/>
      <c r="C1492" s="138"/>
      <c r="D1492" s="140"/>
      <c r="E1492" s="84"/>
      <c r="F1492" s="84"/>
      <c r="G1492" s="84"/>
      <c r="H1492" s="139"/>
      <c r="I1492" s="84"/>
    </row>
    <row r="1493" spans="1:9">
      <c r="A1493" s="139"/>
      <c r="B1493" s="139"/>
      <c r="C1493" s="138"/>
      <c r="D1493" s="140"/>
      <c r="E1493" s="84"/>
      <c r="F1493" s="84"/>
      <c r="G1493" s="84"/>
      <c r="H1493" s="139"/>
      <c r="I1493" s="84"/>
    </row>
    <row r="1494" spans="1:9">
      <c r="A1494" s="139"/>
      <c r="B1494" s="139"/>
      <c r="C1494" s="138"/>
      <c r="D1494" s="140"/>
      <c r="E1494" s="84"/>
      <c r="F1494" s="84"/>
      <c r="G1494" s="84"/>
      <c r="H1494" s="139"/>
      <c r="I1494" s="84"/>
    </row>
    <row r="1495" spans="1:9">
      <c r="A1495" s="139"/>
      <c r="B1495" s="139"/>
      <c r="C1495" s="138"/>
      <c r="D1495" s="140"/>
      <c r="E1495" s="84"/>
      <c r="F1495" s="84"/>
      <c r="G1495" s="84"/>
      <c r="H1495" s="139"/>
      <c r="I1495" s="84"/>
    </row>
    <row r="1496" spans="1:9">
      <c r="A1496" s="139"/>
      <c r="B1496" s="139"/>
      <c r="C1496" s="138"/>
      <c r="D1496" s="140"/>
      <c r="E1496" s="84"/>
      <c r="F1496" s="84"/>
      <c r="G1496" s="84"/>
      <c r="H1496" s="139"/>
      <c r="I1496" s="84"/>
    </row>
    <row r="1497" spans="1:9">
      <c r="A1497" s="139"/>
      <c r="B1497" s="139"/>
      <c r="C1497" s="138"/>
      <c r="D1497" s="140"/>
      <c r="E1497" s="84"/>
      <c r="F1497" s="84"/>
      <c r="G1497" s="84"/>
      <c r="H1497" s="139"/>
      <c r="I1497" s="84"/>
    </row>
    <row r="1498" spans="1:9">
      <c r="A1498" s="139"/>
      <c r="B1498" s="139"/>
      <c r="C1498" s="138"/>
      <c r="D1498" s="140"/>
      <c r="E1498" s="84"/>
      <c r="F1498" s="84"/>
      <c r="G1498" s="84"/>
      <c r="H1498" s="139"/>
      <c r="I1498" s="84"/>
    </row>
    <row r="1499" spans="1:9">
      <c r="A1499" s="139"/>
      <c r="B1499" s="139"/>
      <c r="C1499" s="138"/>
      <c r="D1499" s="140"/>
      <c r="E1499" s="84"/>
      <c r="F1499" s="84"/>
      <c r="G1499" s="84"/>
      <c r="H1499" s="139"/>
      <c r="I1499" s="84"/>
    </row>
    <row r="1500" spans="1:9">
      <c r="A1500" s="139"/>
      <c r="B1500" s="139"/>
      <c r="C1500" s="138"/>
      <c r="D1500" s="140"/>
      <c r="E1500" s="84"/>
      <c r="F1500" s="84"/>
      <c r="G1500" s="84"/>
      <c r="H1500" s="139"/>
      <c r="I1500" s="84"/>
    </row>
    <row r="1501" spans="1:9">
      <c r="A1501" s="139"/>
      <c r="B1501" s="139"/>
      <c r="C1501" s="138"/>
      <c r="D1501" s="140"/>
      <c r="E1501" s="84"/>
      <c r="F1501" s="84"/>
      <c r="G1501" s="84"/>
      <c r="H1501" s="139"/>
      <c r="I1501" s="84"/>
    </row>
    <row r="1502" spans="1:9">
      <c r="A1502" s="139"/>
      <c r="B1502" s="139"/>
      <c r="C1502" s="138"/>
      <c r="D1502" s="140"/>
      <c r="E1502" s="84"/>
      <c r="F1502" s="84"/>
      <c r="G1502" s="84"/>
      <c r="H1502" s="139"/>
      <c r="I1502" s="84"/>
    </row>
    <row r="1503" spans="1:9">
      <c r="A1503" s="139"/>
      <c r="B1503" s="139"/>
      <c r="C1503" s="138"/>
      <c r="D1503" s="140"/>
      <c r="E1503" s="84"/>
      <c r="F1503" s="84"/>
      <c r="G1503" s="84"/>
      <c r="H1503" s="139"/>
      <c r="I1503" s="84"/>
    </row>
    <row r="1504" spans="1:9">
      <c r="A1504" s="139"/>
      <c r="B1504" s="139"/>
      <c r="C1504" s="138"/>
      <c r="D1504" s="140"/>
      <c r="E1504" s="84"/>
      <c r="F1504" s="84"/>
      <c r="G1504" s="84"/>
      <c r="H1504" s="139"/>
      <c r="I1504" s="84"/>
    </row>
    <row r="1505" spans="1:9">
      <c r="A1505" s="139"/>
      <c r="B1505" s="139"/>
      <c r="C1505" s="138"/>
      <c r="D1505" s="140"/>
      <c r="E1505" s="84"/>
      <c r="F1505" s="84"/>
      <c r="G1505" s="84"/>
      <c r="H1505" s="139"/>
      <c r="I1505" s="84"/>
    </row>
    <row r="1506" spans="1:9">
      <c r="A1506" s="139"/>
      <c r="B1506" s="139"/>
      <c r="C1506" s="138"/>
      <c r="D1506" s="140"/>
      <c r="E1506" s="84"/>
      <c r="F1506" s="84"/>
      <c r="G1506" s="84"/>
      <c r="H1506" s="139"/>
      <c r="I1506" s="84"/>
    </row>
    <row r="1507" spans="1:9">
      <c r="A1507" s="139"/>
      <c r="B1507" s="139"/>
      <c r="C1507" s="138"/>
      <c r="D1507" s="140"/>
      <c r="E1507" s="84"/>
      <c r="F1507" s="84"/>
      <c r="G1507" s="84"/>
      <c r="H1507" s="139"/>
      <c r="I1507" s="84"/>
    </row>
    <row r="1508" spans="1:9">
      <c r="A1508" s="139"/>
      <c r="B1508" s="139"/>
      <c r="C1508" s="138"/>
      <c r="D1508" s="140"/>
      <c r="E1508" s="84"/>
      <c r="F1508" s="84"/>
      <c r="G1508" s="84"/>
      <c r="H1508" s="139"/>
      <c r="I1508" s="84"/>
    </row>
    <row r="1509" spans="1:9">
      <c r="A1509" s="139"/>
      <c r="B1509" s="139"/>
      <c r="C1509" s="138"/>
      <c r="D1509" s="140"/>
      <c r="E1509" s="84"/>
      <c r="F1509" s="84"/>
      <c r="G1509" s="84"/>
      <c r="H1509" s="139"/>
      <c r="I1509" s="84"/>
    </row>
    <row r="1510" spans="1:9">
      <c r="A1510" s="139"/>
      <c r="B1510" s="139"/>
      <c r="C1510" s="138"/>
      <c r="D1510" s="140"/>
      <c r="E1510" s="84"/>
      <c r="F1510" s="84"/>
      <c r="G1510" s="84"/>
      <c r="H1510" s="139"/>
      <c r="I1510" s="84"/>
    </row>
    <row r="1511" spans="1:9">
      <c r="A1511" s="139"/>
      <c r="B1511" s="139"/>
      <c r="C1511" s="138"/>
      <c r="D1511" s="140"/>
      <c r="E1511" s="84"/>
      <c r="F1511" s="84"/>
      <c r="G1511" s="84"/>
      <c r="H1511" s="139"/>
      <c r="I1511" s="84"/>
    </row>
    <row r="1512" spans="1:9">
      <c r="A1512" s="139"/>
      <c r="B1512" s="139"/>
      <c r="C1512" s="138"/>
      <c r="D1512" s="140"/>
      <c r="E1512" s="84"/>
      <c r="F1512" s="84"/>
      <c r="G1512" s="84"/>
      <c r="H1512" s="139"/>
      <c r="I1512" s="84"/>
    </row>
    <row r="1513" spans="1:9">
      <c r="A1513" s="139"/>
      <c r="B1513" s="139"/>
      <c r="C1513" s="138"/>
      <c r="D1513" s="140"/>
      <c r="E1513" s="84"/>
      <c r="F1513" s="84"/>
      <c r="G1513" s="84"/>
      <c r="H1513" s="139"/>
      <c r="I1513" s="84"/>
    </row>
    <row r="1514" spans="1:9">
      <c r="A1514" s="139"/>
      <c r="B1514" s="139"/>
      <c r="C1514" s="138"/>
      <c r="D1514" s="140"/>
      <c r="E1514" s="84"/>
      <c r="F1514" s="84"/>
      <c r="G1514" s="84"/>
      <c r="H1514" s="139"/>
      <c r="I1514" s="84"/>
    </row>
    <row r="1515" spans="1:9">
      <c r="A1515" s="139"/>
      <c r="B1515" s="139"/>
      <c r="C1515" s="138"/>
      <c r="D1515" s="140"/>
      <c r="E1515" s="84"/>
      <c r="F1515" s="84"/>
      <c r="G1515" s="84"/>
      <c r="H1515" s="139"/>
      <c r="I1515" s="84"/>
    </row>
    <row r="1516" spans="1:9">
      <c r="A1516" s="139"/>
      <c r="B1516" s="139"/>
      <c r="C1516" s="138"/>
      <c r="D1516" s="140"/>
      <c r="E1516" s="84"/>
      <c r="F1516" s="84"/>
      <c r="G1516" s="84"/>
      <c r="H1516" s="139"/>
      <c r="I1516" s="84"/>
    </row>
    <row r="1517" spans="1:9">
      <c r="A1517" s="139"/>
      <c r="B1517" s="139"/>
      <c r="C1517" s="138"/>
      <c r="D1517" s="140"/>
      <c r="E1517" s="84"/>
      <c r="F1517" s="84"/>
      <c r="G1517" s="84"/>
      <c r="H1517" s="139"/>
      <c r="I1517" s="84"/>
    </row>
    <row r="1518" spans="1:9">
      <c r="A1518" s="139"/>
      <c r="B1518" s="139"/>
      <c r="C1518" s="138"/>
      <c r="D1518" s="140"/>
      <c r="E1518" s="84"/>
      <c r="F1518" s="84"/>
      <c r="G1518" s="84"/>
      <c r="H1518" s="139"/>
      <c r="I1518" s="84"/>
    </row>
    <row r="1519" spans="1:9">
      <c r="A1519" s="139"/>
      <c r="B1519" s="139"/>
      <c r="C1519" s="138"/>
      <c r="D1519" s="140"/>
      <c r="E1519" s="84"/>
      <c r="F1519" s="84"/>
      <c r="G1519" s="84"/>
      <c r="H1519" s="139"/>
      <c r="I1519" s="84"/>
    </row>
    <row r="1520" spans="1:9">
      <c r="A1520" s="139"/>
      <c r="B1520" s="139"/>
      <c r="C1520" s="138"/>
      <c r="D1520" s="140"/>
      <c r="E1520" s="84"/>
      <c r="F1520" s="84"/>
      <c r="G1520" s="84"/>
      <c r="H1520" s="139"/>
      <c r="I1520" s="84"/>
    </row>
    <row r="1521" spans="1:9">
      <c r="A1521" s="139"/>
      <c r="B1521" s="139"/>
      <c r="C1521" s="138"/>
      <c r="D1521" s="140"/>
      <c r="E1521" s="84"/>
      <c r="F1521" s="84"/>
      <c r="G1521" s="84"/>
      <c r="H1521" s="139"/>
      <c r="I1521" s="84"/>
    </row>
    <row r="1522" spans="1:9">
      <c r="A1522" s="139"/>
      <c r="B1522" s="139"/>
      <c r="C1522" s="138"/>
      <c r="D1522" s="140"/>
      <c r="E1522" s="84"/>
      <c r="F1522" s="84"/>
      <c r="G1522" s="84"/>
      <c r="H1522" s="139"/>
      <c r="I1522" s="84"/>
    </row>
    <row r="1523" spans="1:9">
      <c r="A1523" s="139"/>
      <c r="B1523" s="139"/>
      <c r="C1523" s="138"/>
      <c r="D1523" s="140"/>
      <c r="E1523" s="84"/>
      <c r="F1523" s="84"/>
      <c r="G1523" s="84"/>
      <c r="H1523" s="139"/>
      <c r="I1523" s="84"/>
    </row>
    <row r="1524" spans="1:9">
      <c r="A1524" s="139"/>
      <c r="B1524" s="139"/>
      <c r="C1524" s="138"/>
      <c r="D1524" s="140"/>
      <c r="E1524" s="84"/>
      <c r="F1524" s="84"/>
      <c r="G1524" s="84"/>
      <c r="H1524" s="139"/>
      <c r="I1524" s="84"/>
    </row>
    <row r="1525" spans="1:9">
      <c r="A1525" s="139"/>
      <c r="B1525" s="139"/>
      <c r="C1525" s="138"/>
      <c r="D1525" s="140"/>
      <c r="E1525" s="84"/>
      <c r="F1525" s="84"/>
      <c r="G1525" s="84"/>
      <c r="H1525" s="139"/>
      <c r="I1525" s="84"/>
    </row>
    <row r="1526" spans="1:9">
      <c r="A1526" s="139"/>
      <c r="B1526" s="139"/>
      <c r="C1526" s="138"/>
      <c r="D1526" s="140"/>
      <c r="E1526" s="84"/>
      <c r="F1526" s="84"/>
      <c r="G1526" s="84"/>
      <c r="H1526" s="139"/>
      <c r="I1526" s="84"/>
    </row>
    <row r="1527" spans="1:9">
      <c r="A1527" s="139"/>
      <c r="B1527" s="139"/>
      <c r="C1527" s="138"/>
      <c r="D1527" s="140"/>
      <c r="E1527" s="84"/>
      <c r="F1527" s="84"/>
      <c r="G1527" s="84"/>
      <c r="H1527" s="139"/>
      <c r="I1527" s="84"/>
    </row>
    <row r="1528" spans="1:9">
      <c r="A1528" s="139"/>
      <c r="B1528" s="139"/>
      <c r="C1528" s="138"/>
      <c r="D1528" s="140"/>
      <c r="E1528" s="84"/>
      <c r="F1528" s="84"/>
      <c r="G1528" s="84"/>
      <c r="H1528" s="139"/>
      <c r="I1528" s="84"/>
    </row>
    <row r="1529" spans="1:9">
      <c r="A1529" s="139"/>
      <c r="B1529" s="139"/>
      <c r="C1529" s="138"/>
      <c r="D1529" s="140"/>
      <c r="E1529" s="84"/>
      <c r="F1529" s="84"/>
      <c r="G1529" s="84"/>
      <c r="H1529" s="139"/>
      <c r="I1529" s="84"/>
    </row>
    <row r="1530" spans="1:9">
      <c r="A1530" s="139"/>
      <c r="B1530" s="139"/>
      <c r="C1530" s="138"/>
      <c r="D1530" s="140"/>
      <c r="E1530" s="84"/>
      <c r="F1530" s="84"/>
      <c r="G1530" s="84"/>
      <c r="H1530" s="139"/>
      <c r="I1530" s="84"/>
    </row>
    <row r="1531" spans="1:9">
      <c r="A1531" s="139"/>
      <c r="B1531" s="139"/>
      <c r="C1531" s="138"/>
      <c r="D1531" s="140"/>
      <c r="E1531" s="84"/>
      <c r="F1531" s="84"/>
      <c r="G1531" s="84"/>
      <c r="H1531" s="139"/>
      <c r="I1531" s="84"/>
    </row>
    <row r="1532" spans="1:9">
      <c r="A1532" s="139"/>
      <c r="B1532" s="139"/>
      <c r="C1532" s="138"/>
      <c r="D1532" s="140"/>
      <c r="E1532" s="84"/>
      <c r="F1532" s="84"/>
      <c r="G1532" s="84"/>
      <c r="H1532" s="139"/>
      <c r="I1532" s="84"/>
    </row>
    <row r="1533" spans="1:9">
      <c r="A1533" s="139"/>
      <c r="B1533" s="139"/>
      <c r="C1533" s="138"/>
      <c r="D1533" s="140"/>
      <c r="E1533" s="84"/>
      <c r="F1533" s="84"/>
      <c r="G1533" s="84"/>
      <c r="H1533" s="139"/>
      <c r="I1533" s="84"/>
    </row>
    <row r="1534" spans="1:9">
      <c r="A1534" s="139"/>
      <c r="B1534" s="139"/>
      <c r="C1534" s="138"/>
      <c r="D1534" s="140"/>
      <c r="E1534" s="84"/>
      <c r="F1534" s="84"/>
      <c r="G1534" s="84"/>
      <c r="H1534" s="139"/>
      <c r="I1534" s="84"/>
    </row>
    <row r="1535" spans="1:9">
      <c r="A1535" s="139"/>
      <c r="B1535" s="139"/>
      <c r="C1535" s="138"/>
      <c r="D1535" s="140"/>
      <c r="E1535" s="84"/>
      <c r="F1535" s="84"/>
      <c r="G1535" s="84"/>
      <c r="H1535" s="139"/>
      <c r="I1535" s="84"/>
    </row>
    <row r="1536" spans="1:9">
      <c r="A1536" s="139"/>
      <c r="B1536" s="139"/>
      <c r="C1536" s="138"/>
      <c r="D1536" s="140"/>
      <c r="E1536" s="84"/>
      <c r="F1536" s="84"/>
      <c r="G1536" s="84"/>
      <c r="H1536" s="139"/>
      <c r="I1536" s="84"/>
    </row>
    <row r="1537" spans="1:9">
      <c r="A1537" s="139"/>
      <c r="B1537" s="139"/>
      <c r="C1537" s="138"/>
      <c r="D1537" s="140"/>
      <c r="E1537" s="84"/>
      <c r="F1537" s="84"/>
      <c r="G1537" s="84"/>
      <c r="H1537" s="139"/>
      <c r="I1537" s="84"/>
    </row>
    <row r="1538" spans="1:9">
      <c r="A1538" s="139"/>
      <c r="B1538" s="139"/>
      <c r="C1538" s="138"/>
      <c r="D1538" s="140"/>
      <c r="E1538" s="84"/>
      <c r="F1538" s="84"/>
      <c r="G1538" s="84"/>
      <c r="H1538" s="139"/>
      <c r="I1538" s="84"/>
    </row>
    <row r="1539" spans="1:9">
      <c r="A1539" s="139"/>
      <c r="B1539" s="139"/>
      <c r="C1539" s="138"/>
      <c r="D1539" s="140"/>
      <c r="E1539" s="84"/>
      <c r="F1539" s="84"/>
      <c r="G1539" s="84"/>
      <c r="H1539" s="139"/>
      <c r="I1539" s="84"/>
    </row>
    <row r="1540" spans="1:9">
      <c r="A1540" s="139"/>
      <c r="B1540" s="139"/>
      <c r="C1540" s="138"/>
      <c r="D1540" s="140"/>
      <c r="E1540" s="84"/>
      <c r="F1540" s="84"/>
      <c r="G1540" s="84"/>
      <c r="H1540" s="139"/>
      <c r="I1540" s="84"/>
    </row>
    <row r="1541" spans="1:9">
      <c r="A1541" s="139"/>
      <c r="B1541" s="139"/>
      <c r="C1541" s="138"/>
      <c r="D1541" s="140"/>
      <c r="E1541" s="84"/>
      <c r="F1541" s="84"/>
      <c r="G1541" s="84"/>
      <c r="H1541" s="139"/>
      <c r="I1541" s="84"/>
    </row>
    <row r="1542" spans="1:9">
      <c r="A1542" s="139"/>
      <c r="B1542" s="139"/>
      <c r="C1542" s="138"/>
      <c r="D1542" s="140"/>
      <c r="E1542" s="84"/>
      <c r="F1542" s="84"/>
      <c r="G1542" s="84"/>
      <c r="H1542" s="139"/>
      <c r="I1542" s="84"/>
    </row>
    <row r="1543" spans="1:9">
      <c r="A1543" s="139"/>
      <c r="B1543" s="139"/>
      <c r="C1543" s="138"/>
      <c r="D1543" s="140"/>
      <c r="E1543" s="84"/>
      <c r="F1543" s="84"/>
      <c r="G1543" s="84"/>
      <c r="H1543" s="139"/>
      <c r="I1543" s="84"/>
    </row>
    <row r="1544" spans="1:9">
      <c r="A1544" s="139"/>
      <c r="B1544" s="139"/>
      <c r="C1544" s="138"/>
      <c r="D1544" s="140"/>
      <c r="E1544" s="84"/>
      <c r="F1544" s="84"/>
      <c r="G1544" s="84"/>
      <c r="H1544" s="139"/>
      <c r="I1544" s="84"/>
    </row>
    <row r="1545" spans="1:9">
      <c r="A1545" s="139"/>
      <c r="B1545" s="139"/>
      <c r="C1545" s="138"/>
      <c r="D1545" s="140"/>
      <c r="E1545" s="84"/>
      <c r="F1545" s="84"/>
      <c r="G1545" s="84"/>
      <c r="H1545" s="139"/>
      <c r="I1545" s="84"/>
    </row>
    <row r="1546" spans="1:9">
      <c r="A1546" s="139"/>
      <c r="B1546" s="139"/>
      <c r="C1546" s="138"/>
      <c r="D1546" s="140"/>
      <c r="E1546" s="84"/>
      <c r="F1546" s="84"/>
      <c r="G1546" s="84"/>
      <c r="H1546" s="139"/>
      <c r="I1546" s="84"/>
    </row>
    <row r="1547" spans="1:9">
      <c r="A1547" s="139"/>
      <c r="B1547" s="139"/>
      <c r="C1547" s="138"/>
      <c r="D1547" s="140"/>
      <c r="E1547" s="84"/>
      <c r="F1547" s="84"/>
      <c r="G1547" s="84"/>
      <c r="H1547" s="139"/>
      <c r="I1547" s="84"/>
    </row>
    <row r="1548" spans="1:9">
      <c r="A1548" s="139"/>
      <c r="B1548" s="139"/>
      <c r="C1548" s="138"/>
      <c r="D1548" s="140"/>
      <c r="E1548" s="84"/>
      <c r="F1548" s="84"/>
      <c r="G1548" s="84"/>
      <c r="H1548" s="139"/>
      <c r="I1548" s="84"/>
    </row>
    <row r="1549" spans="1:9">
      <c r="A1549" s="139"/>
      <c r="B1549" s="139"/>
      <c r="C1549" s="138"/>
      <c r="D1549" s="140"/>
      <c r="E1549" s="84"/>
      <c r="F1549" s="84"/>
      <c r="G1549" s="84"/>
      <c r="H1549" s="139"/>
      <c r="I1549" s="84"/>
    </row>
    <row r="1550" spans="1:9">
      <c r="A1550" s="139"/>
      <c r="B1550" s="139"/>
      <c r="C1550" s="138"/>
      <c r="D1550" s="140"/>
      <c r="E1550" s="84"/>
      <c r="F1550" s="84"/>
      <c r="G1550" s="84"/>
      <c r="H1550" s="139"/>
      <c r="I1550" s="84"/>
    </row>
    <row r="1551" spans="1:9">
      <c r="A1551" s="139"/>
      <c r="B1551" s="139"/>
      <c r="C1551" s="138"/>
      <c r="D1551" s="140"/>
      <c r="E1551" s="84"/>
      <c r="F1551" s="84"/>
      <c r="G1551" s="84"/>
      <c r="H1551" s="139"/>
      <c r="I1551" s="84"/>
    </row>
    <row r="1552" spans="1:9">
      <c r="A1552" s="139"/>
      <c r="B1552" s="139"/>
      <c r="C1552" s="138"/>
      <c r="D1552" s="140"/>
      <c r="E1552" s="84"/>
      <c r="F1552" s="84"/>
      <c r="G1552" s="84"/>
      <c r="H1552" s="139"/>
      <c r="I1552" s="84"/>
    </row>
    <row r="1553" spans="1:9">
      <c r="A1553" s="139"/>
      <c r="B1553" s="139"/>
      <c r="C1553" s="138"/>
      <c r="D1553" s="140"/>
      <c r="E1553" s="84"/>
      <c r="F1553" s="84"/>
      <c r="G1553" s="84"/>
      <c r="H1553" s="139"/>
      <c r="I1553" s="84"/>
    </row>
    <row r="1554" spans="1:9">
      <c r="A1554" s="139"/>
      <c r="B1554" s="139"/>
      <c r="C1554" s="138"/>
      <c r="D1554" s="140"/>
      <c r="E1554" s="84"/>
      <c r="F1554" s="84"/>
      <c r="G1554" s="84"/>
      <c r="H1554" s="139"/>
      <c r="I1554" s="84"/>
    </row>
    <row r="1555" spans="1:9">
      <c r="A1555" s="139"/>
      <c r="B1555" s="139"/>
      <c r="C1555" s="138"/>
      <c r="D1555" s="140"/>
      <c r="E1555" s="84"/>
      <c r="F1555" s="84"/>
      <c r="G1555" s="84"/>
      <c r="H1555" s="139"/>
      <c r="I1555" s="84"/>
    </row>
    <row r="1556" spans="1:9">
      <c r="A1556" s="139"/>
      <c r="B1556" s="139"/>
      <c r="C1556" s="138"/>
      <c r="D1556" s="140"/>
      <c r="E1556" s="84"/>
      <c r="F1556" s="84"/>
      <c r="G1556" s="84"/>
      <c r="H1556" s="139"/>
      <c r="I1556" s="84"/>
    </row>
    <row r="1557" spans="1:9">
      <c r="A1557" s="139"/>
      <c r="B1557" s="139"/>
      <c r="C1557" s="138"/>
      <c r="D1557" s="140"/>
      <c r="E1557" s="84"/>
      <c r="F1557" s="84"/>
      <c r="G1557" s="84"/>
      <c r="H1557" s="139"/>
      <c r="I1557" s="84"/>
    </row>
    <row r="1558" spans="1:9">
      <c r="A1558" s="139"/>
      <c r="B1558" s="139"/>
      <c r="C1558" s="138"/>
      <c r="D1558" s="140"/>
      <c r="E1558" s="84"/>
      <c r="F1558" s="84"/>
      <c r="G1558" s="84"/>
      <c r="H1558" s="139"/>
      <c r="I1558" s="84"/>
    </row>
    <row r="1559" spans="1:9">
      <c r="A1559" s="139"/>
      <c r="B1559" s="139"/>
      <c r="C1559" s="138"/>
      <c r="D1559" s="140"/>
      <c r="E1559" s="84"/>
      <c r="F1559" s="84"/>
      <c r="G1559" s="84"/>
      <c r="H1559" s="139"/>
      <c r="I1559" s="84"/>
    </row>
    <row r="1560" spans="1:9">
      <c r="A1560" s="139"/>
      <c r="B1560" s="139"/>
      <c r="C1560" s="138"/>
      <c r="D1560" s="140"/>
      <c r="E1560" s="84"/>
      <c r="F1560" s="84"/>
      <c r="G1560" s="84"/>
      <c r="H1560" s="139"/>
      <c r="I1560" s="84"/>
    </row>
    <row r="1561" spans="1:9">
      <c r="A1561" s="139"/>
      <c r="B1561" s="139"/>
      <c r="C1561" s="138"/>
      <c r="D1561" s="140"/>
      <c r="E1561" s="84"/>
      <c r="F1561" s="84"/>
      <c r="G1561" s="84"/>
      <c r="H1561" s="139"/>
      <c r="I1561" s="84"/>
    </row>
    <row r="1562" spans="1:9">
      <c r="A1562" s="139"/>
      <c r="B1562" s="139"/>
      <c r="C1562" s="138"/>
      <c r="D1562" s="140"/>
      <c r="E1562" s="84"/>
      <c r="F1562" s="84"/>
      <c r="G1562" s="84"/>
      <c r="H1562" s="139"/>
      <c r="I1562" s="84"/>
    </row>
    <row r="1563" spans="1:9">
      <c r="A1563" s="139"/>
      <c r="B1563" s="139"/>
      <c r="C1563" s="138"/>
      <c r="D1563" s="140"/>
      <c r="E1563" s="84"/>
      <c r="F1563" s="84"/>
      <c r="G1563" s="84"/>
      <c r="H1563" s="139"/>
      <c r="I1563" s="84"/>
    </row>
    <row r="1564" spans="1:9">
      <c r="A1564" s="139"/>
      <c r="B1564" s="139"/>
      <c r="C1564" s="138"/>
      <c r="D1564" s="140"/>
      <c r="E1564" s="84"/>
      <c r="F1564" s="84"/>
      <c r="G1564" s="84"/>
      <c r="H1564" s="139"/>
      <c r="I1564" s="84"/>
    </row>
    <row r="1565" spans="1:9">
      <c r="A1565" s="139"/>
      <c r="B1565" s="139"/>
      <c r="C1565" s="138"/>
      <c r="D1565" s="140"/>
      <c r="E1565" s="84"/>
      <c r="F1565" s="84"/>
      <c r="G1565" s="84"/>
      <c r="H1565" s="139"/>
      <c r="I1565" s="84"/>
    </row>
    <row r="1566" spans="1:9">
      <c r="A1566" s="139"/>
      <c r="B1566" s="139"/>
      <c r="C1566" s="138"/>
      <c r="D1566" s="140"/>
      <c r="E1566" s="84"/>
      <c r="F1566" s="84"/>
      <c r="G1566" s="84"/>
      <c r="H1566" s="139"/>
      <c r="I1566" s="84"/>
    </row>
    <row r="1567" spans="1:9">
      <c r="A1567" s="139"/>
      <c r="B1567" s="139"/>
      <c r="C1567" s="138"/>
      <c r="D1567" s="140"/>
      <c r="E1567" s="84"/>
      <c r="F1567" s="84"/>
      <c r="G1567" s="84"/>
      <c r="H1567" s="139"/>
      <c r="I1567" s="84"/>
    </row>
    <row r="1568" spans="1:9">
      <c r="A1568" s="139"/>
      <c r="B1568" s="139"/>
      <c r="C1568" s="138"/>
      <c r="D1568" s="140"/>
      <c r="E1568" s="84"/>
      <c r="F1568" s="84"/>
      <c r="G1568" s="84"/>
      <c r="H1568" s="139"/>
      <c r="I1568" s="84"/>
    </row>
    <row r="1569" spans="1:9">
      <c r="A1569" s="139"/>
      <c r="B1569" s="139"/>
      <c r="C1569" s="138"/>
      <c r="D1569" s="140"/>
      <c r="E1569" s="84"/>
      <c r="F1569" s="84"/>
      <c r="G1569" s="84"/>
      <c r="H1569" s="139"/>
      <c r="I1569" s="84"/>
    </row>
    <row r="1570" spans="1:9">
      <c r="A1570" s="139"/>
      <c r="B1570" s="139"/>
      <c r="C1570" s="138"/>
      <c r="D1570" s="140"/>
      <c r="E1570" s="84"/>
      <c r="F1570" s="84"/>
      <c r="G1570" s="84"/>
      <c r="H1570" s="139"/>
      <c r="I1570" s="84"/>
    </row>
    <row r="1571" spans="1:9">
      <c r="A1571" s="139"/>
      <c r="B1571" s="139"/>
      <c r="C1571" s="138"/>
      <c r="D1571" s="140"/>
      <c r="E1571" s="84"/>
      <c r="F1571" s="84"/>
      <c r="G1571" s="84"/>
      <c r="H1571" s="139"/>
      <c r="I1571" s="84"/>
    </row>
    <row r="1572" spans="1:9">
      <c r="A1572" s="139"/>
      <c r="B1572" s="139"/>
      <c r="C1572" s="138"/>
      <c r="D1572" s="140"/>
      <c r="E1572" s="84"/>
      <c r="F1572" s="84"/>
      <c r="G1572" s="84"/>
      <c r="H1572" s="139"/>
      <c r="I1572" s="84"/>
    </row>
    <row r="1573" spans="1:9">
      <c r="A1573" s="139"/>
      <c r="B1573" s="139"/>
      <c r="C1573" s="138"/>
      <c r="D1573" s="140"/>
      <c r="E1573" s="84"/>
      <c r="F1573" s="84"/>
      <c r="G1573" s="84"/>
      <c r="H1573" s="139"/>
      <c r="I1573" s="84"/>
    </row>
    <row r="1574" spans="1:9">
      <c r="A1574" s="139"/>
      <c r="B1574" s="139"/>
      <c r="C1574" s="138"/>
      <c r="D1574" s="140"/>
      <c r="E1574" s="84"/>
      <c r="F1574" s="84"/>
      <c r="G1574" s="84"/>
      <c r="H1574" s="139"/>
      <c r="I1574" s="84"/>
    </row>
    <row r="1575" spans="1:9">
      <c r="A1575" s="139"/>
      <c r="B1575" s="139"/>
      <c r="C1575" s="138"/>
      <c r="D1575" s="140"/>
      <c r="E1575" s="84"/>
      <c r="F1575" s="84"/>
      <c r="G1575" s="84"/>
      <c r="H1575" s="139"/>
      <c r="I1575" s="84"/>
    </row>
    <row r="1576" spans="1:9">
      <c r="A1576" s="139"/>
      <c r="B1576" s="139"/>
      <c r="C1576" s="138"/>
      <c r="D1576" s="140"/>
      <c r="E1576" s="84"/>
      <c r="F1576" s="84"/>
      <c r="G1576" s="84"/>
      <c r="H1576" s="139"/>
      <c r="I1576" s="84"/>
    </row>
    <row r="1577" spans="1:9">
      <c r="A1577" s="139"/>
      <c r="B1577" s="139"/>
      <c r="C1577" s="138"/>
      <c r="D1577" s="140"/>
      <c r="E1577" s="84"/>
      <c r="F1577" s="84"/>
      <c r="G1577" s="84"/>
      <c r="H1577" s="139"/>
      <c r="I1577" s="84"/>
    </row>
    <row r="1578" spans="1:9">
      <c r="A1578" s="139"/>
      <c r="B1578" s="139"/>
      <c r="C1578" s="138"/>
      <c r="D1578" s="140"/>
      <c r="E1578" s="84"/>
      <c r="F1578" s="84"/>
      <c r="G1578" s="84"/>
      <c r="H1578" s="139"/>
      <c r="I1578" s="84"/>
    </row>
    <row r="1579" spans="1:9">
      <c r="A1579" s="139"/>
      <c r="B1579" s="139"/>
      <c r="C1579" s="138"/>
      <c r="D1579" s="140"/>
      <c r="E1579" s="84"/>
      <c r="F1579" s="84"/>
      <c r="G1579" s="84"/>
      <c r="H1579" s="139"/>
      <c r="I1579" s="84"/>
    </row>
    <row r="1580" spans="1:9">
      <c r="A1580" s="139"/>
      <c r="B1580" s="139"/>
      <c r="C1580" s="138"/>
      <c r="D1580" s="140"/>
      <c r="E1580" s="84"/>
      <c r="F1580" s="84"/>
      <c r="G1580" s="84"/>
      <c r="H1580" s="139"/>
      <c r="I1580" s="84"/>
    </row>
    <row r="1581" spans="1:9">
      <c r="A1581" s="139"/>
      <c r="B1581" s="139"/>
      <c r="C1581" s="138"/>
      <c r="D1581" s="140"/>
      <c r="E1581" s="84"/>
      <c r="F1581" s="84"/>
      <c r="G1581" s="84"/>
      <c r="H1581" s="139"/>
      <c r="I1581" s="84"/>
    </row>
    <row r="1582" spans="1:9">
      <c r="A1582" s="139"/>
      <c r="B1582" s="139"/>
      <c r="C1582" s="138"/>
      <c r="D1582" s="140"/>
      <c r="E1582" s="84"/>
      <c r="F1582" s="84"/>
      <c r="G1582" s="84"/>
      <c r="H1582" s="139"/>
      <c r="I1582" s="84"/>
    </row>
    <row r="1583" spans="1:9">
      <c r="A1583" s="139"/>
      <c r="B1583" s="139"/>
      <c r="C1583" s="138"/>
      <c r="D1583" s="140"/>
      <c r="E1583" s="84"/>
      <c r="F1583" s="84"/>
      <c r="G1583" s="84"/>
      <c r="H1583" s="139"/>
      <c r="I1583" s="84"/>
    </row>
    <row r="1584" spans="1:9">
      <c r="A1584" s="139"/>
      <c r="B1584" s="139"/>
      <c r="C1584" s="138"/>
      <c r="D1584" s="140"/>
      <c r="E1584" s="84"/>
      <c r="F1584" s="84"/>
      <c r="G1584" s="84"/>
      <c r="H1584" s="139"/>
      <c r="I1584" s="84"/>
    </row>
    <row r="1585" spans="1:9">
      <c r="A1585" s="139"/>
      <c r="B1585" s="139"/>
      <c r="C1585" s="138"/>
      <c r="D1585" s="140"/>
      <c r="E1585" s="84"/>
      <c r="F1585" s="84"/>
      <c r="G1585" s="84"/>
      <c r="H1585" s="139"/>
      <c r="I1585" s="84"/>
    </row>
    <row r="1586" spans="1:9">
      <c r="A1586" s="139"/>
      <c r="B1586" s="139"/>
      <c r="C1586" s="138"/>
      <c r="D1586" s="140"/>
      <c r="E1586" s="84"/>
      <c r="F1586" s="84"/>
      <c r="G1586" s="84"/>
      <c r="H1586" s="139"/>
      <c r="I1586" s="84"/>
    </row>
    <row r="1587" spans="1:9">
      <c r="A1587" s="139"/>
      <c r="B1587" s="139"/>
      <c r="C1587" s="138"/>
      <c r="D1587" s="140"/>
      <c r="E1587" s="84"/>
      <c r="F1587" s="84"/>
      <c r="G1587" s="84"/>
      <c r="H1587" s="139"/>
      <c r="I1587" s="84"/>
    </row>
    <row r="1588" spans="1:9">
      <c r="A1588" s="139"/>
      <c r="B1588" s="139"/>
      <c r="C1588" s="138"/>
      <c r="D1588" s="140"/>
      <c r="E1588" s="84"/>
      <c r="F1588" s="84"/>
      <c r="G1588" s="84"/>
      <c r="H1588" s="139"/>
      <c r="I1588" s="84"/>
    </row>
    <row r="1589" spans="1:9">
      <c r="A1589" s="139"/>
      <c r="B1589" s="139"/>
      <c r="C1589" s="138"/>
      <c r="D1589" s="140"/>
      <c r="E1589" s="84"/>
      <c r="F1589" s="84"/>
      <c r="G1589" s="84"/>
      <c r="H1589" s="139"/>
      <c r="I1589" s="84"/>
    </row>
    <row r="1590" spans="1:9">
      <c r="A1590" s="139"/>
      <c r="B1590" s="139"/>
      <c r="C1590" s="138"/>
      <c r="D1590" s="140"/>
      <c r="E1590" s="84"/>
      <c r="F1590" s="84"/>
      <c r="G1590" s="84"/>
      <c r="H1590" s="139"/>
      <c r="I1590" s="84"/>
    </row>
    <row r="1591" spans="1:9">
      <c r="A1591" s="139"/>
      <c r="B1591" s="139"/>
      <c r="C1591" s="138"/>
      <c r="D1591" s="140"/>
      <c r="E1591" s="84"/>
      <c r="F1591" s="84"/>
      <c r="G1591" s="84"/>
      <c r="H1591" s="139"/>
      <c r="I1591" s="84"/>
    </row>
    <row r="1592" spans="1:9">
      <c r="A1592" s="139"/>
      <c r="B1592" s="139"/>
      <c r="C1592" s="138"/>
      <c r="D1592" s="140"/>
      <c r="E1592" s="84"/>
      <c r="F1592" s="84"/>
      <c r="G1592" s="84"/>
      <c r="H1592" s="139"/>
      <c r="I1592" s="84"/>
    </row>
    <row r="1593" spans="1:9">
      <c r="A1593" s="139"/>
      <c r="B1593" s="139"/>
      <c r="C1593" s="138"/>
      <c r="D1593" s="140"/>
      <c r="E1593" s="84"/>
      <c r="F1593" s="84"/>
      <c r="G1593" s="84"/>
      <c r="H1593" s="139"/>
      <c r="I1593" s="84"/>
    </row>
    <row r="1594" spans="1:9">
      <c r="A1594" s="139"/>
      <c r="B1594" s="139"/>
      <c r="C1594" s="138"/>
      <c r="D1594" s="140"/>
      <c r="E1594" s="84"/>
      <c r="F1594" s="84"/>
      <c r="G1594" s="84"/>
      <c r="H1594" s="139"/>
      <c r="I1594" s="84"/>
    </row>
    <row r="1595" spans="1:9">
      <c r="A1595" s="139"/>
      <c r="B1595" s="139"/>
      <c r="C1595" s="138"/>
      <c r="D1595" s="140"/>
      <c r="E1595" s="84"/>
      <c r="F1595" s="84"/>
      <c r="G1595" s="84"/>
      <c r="H1595" s="139"/>
      <c r="I1595" s="84"/>
    </row>
    <row r="1596" spans="1:9">
      <c r="A1596" s="139"/>
      <c r="B1596" s="139"/>
      <c r="C1596" s="138"/>
      <c r="D1596" s="140"/>
      <c r="E1596" s="84"/>
      <c r="F1596" s="84"/>
      <c r="G1596" s="84"/>
      <c r="H1596" s="139"/>
      <c r="I1596" s="84"/>
    </row>
    <row r="1597" spans="1:9">
      <c r="A1597" s="139"/>
      <c r="B1597" s="139"/>
      <c r="C1597" s="138"/>
      <c r="D1597" s="140"/>
      <c r="E1597" s="84"/>
      <c r="F1597" s="84"/>
      <c r="G1597" s="84"/>
      <c r="H1597" s="139"/>
      <c r="I1597" s="84"/>
    </row>
    <row r="1598" spans="1:9">
      <c r="A1598" s="139"/>
      <c r="B1598" s="139"/>
      <c r="C1598" s="138"/>
      <c r="D1598" s="140"/>
      <c r="E1598" s="84"/>
      <c r="F1598" s="84"/>
      <c r="G1598" s="84"/>
      <c r="H1598" s="139"/>
      <c r="I1598" s="84"/>
    </row>
    <row r="1599" spans="1:9">
      <c r="A1599" s="139"/>
      <c r="B1599" s="139"/>
      <c r="C1599" s="138"/>
      <c r="D1599" s="140"/>
      <c r="E1599" s="84"/>
      <c r="F1599" s="84"/>
      <c r="G1599" s="84"/>
      <c r="H1599" s="139"/>
      <c r="I1599" s="84"/>
    </row>
    <row r="1600" spans="1:9">
      <c r="A1600" s="139"/>
      <c r="B1600" s="139"/>
      <c r="C1600" s="138"/>
      <c r="D1600" s="140"/>
      <c r="E1600" s="84"/>
      <c r="F1600" s="84"/>
      <c r="G1600" s="84"/>
      <c r="H1600" s="139"/>
      <c r="I1600" s="84"/>
    </row>
    <row r="1601" spans="1:9">
      <c r="A1601" s="139"/>
      <c r="B1601" s="139"/>
      <c r="C1601" s="138"/>
      <c r="D1601" s="140"/>
      <c r="E1601" s="84"/>
      <c r="F1601" s="84"/>
      <c r="G1601" s="84"/>
      <c r="H1601" s="139"/>
      <c r="I1601" s="84"/>
    </row>
    <row r="1602" spans="1:9">
      <c r="A1602" s="139"/>
      <c r="B1602" s="139"/>
      <c r="C1602" s="138"/>
      <c r="D1602" s="140"/>
      <c r="E1602" s="84"/>
      <c r="F1602" s="84"/>
      <c r="G1602" s="84"/>
      <c r="H1602" s="139"/>
      <c r="I1602" s="84"/>
    </row>
    <row r="1603" spans="1:9">
      <c r="A1603" s="139"/>
      <c r="B1603" s="139"/>
      <c r="C1603" s="138"/>
      <c r="D1603" s="140"/>
      <c r="E1603" s="84"/>
      <c r="F1603" s="84"/>
      <c r="G1603" s="84"/>
      <c r="H1603" s="139"/>
      <c r="I1603" s="84"/>
    </row>
    <row r="1604" spans="1:9">
      <c r="A1604" s="139"/>
      <c r="B1604" s="139"/>
      <c r="C1604" s="138"/>
      <c r="D1604" s="140"/>
      <c r="E1604" s="84"/>
      <c r="F1604" s="84"/>
      <c r="G1604" s="84"/>
      <c r="H1604" s="139"/>
      <c r="I1604" s="84"/>
    </row>
    <row r="1605" spans="1:9">
      <c r="A1605" s="139"/>
      <c r="B1605" s="139"/>
      <c r="C1605" s="138"/>
      <c r="D1605" s="140"/>
      <c r="E1605" s="84"/>
      <c r="F1605" s="84"/>
      <c r="G1605" s="84"/>
      <c r="H1605" s="139"/>
      <c r="I1605" s="84"/>
    </row>
    <row r="1606" spans="1:9">
      <c r="A1606" s="139"/>
      <c r="B1606" s="139"/>
      <c r="C1606" s="138"/>
      <c r="D1606" s="140"/>
      <c r="E1606" s="84"/>
      <c r="F1606" s="84"/>
      <c r="G1606" s="84"/>
      <c r="H1606" s="139"/>
      <c r="I1606" s="84"/>
    </row>
    <row r="1607" spans="1:9">
      <c r="A1607" s="139"/>
      <c r="B1607" s="139"/>
      <c r="C1607" s="138"/>
      <c r="D1607" s="140"/>
      <c r="E1607" s="84"/>
      <c r="F1607" s="84"/>
      <c r="G1607" s="84"/>
      <c r="H1607" s="139"/>
      <c r="I1607" s="84"/>
    </row>
    <row r="1608" spans="1:9">
      <c r="A1608" s="139"/>
      <c r="B1608" s="139"/>
      <c r="C1608" s="138"/>
      <c r="D1608" s="140"/>
      <c r="E1608" s="84"/>
      <c r="F1608" s="84"/>
      <c r="G1608" s="84"/>
      <c r="H1608" s="139"/>
      <c r="I1608" s="84"/>
    </row>
    <row r="1609" spans="1:9">
      <c r="A1609" s="139"/>
      <c r="B1609" s="139"/>
      <c r="C1609" s="138"/>
      <c r="D1609" s="140"/>
      <c r="E1609" s="84"/>
      <c r="F1609" s="84"/>
      <c r="G1609" s="84"/>
      <c r="H1609" s="139"/>
      <c r="I1609" s="84"/>
    </row>
    <row r="1610" spans="1:9">
      <c r="A1610" s="139"/>
      <c r="B1610" s="139"/>
      <c r="C1610" s="138"/>
      <c r="D1610" s="140"/>
      <c r="E1610" s="84"/>
      <c r="F1610" s="84"/>
      <c r="G1610" s="84"/>
      <c r="H1610" s="139"/>
      <c r="I1610" s="84"/>
    </row>
    <row r="1611" spans="1:9">
      <c r="A1611" s="139"/>
      <c r="B1611" s="139"/>
      <c r="C1611" s="138"/>
      <c r="D1611" s="140"/>
      <c r="E1611" s="84"/>
      <c r="F1611" s="84"/>
      <c r="G1611" s="84"/>
      <c r="H1611" s="139"/>
      <c r="I1611" s="84"/>
    </row>
    <row r="1612" spans="1:9">
      <c r="A1612" s="139"/>
      <c r="B1612" s="139"/>
      <c r="C1612" s="138"/>
      <c r="D1612" s="140"/>
      <c r="E1612" s="84"/>
      <c r="F1612" s="84"/>
      <c r="G1612" s="84"/>
      <c r="H1612" s="139"/>
      <c r="I1612" s="84"/>
    </row>
    <row r="1613" spans="1:9">
      <c r="A1613" s="139"/>
      <c r="B1613" s="139"/>
      <c r="C1613" s="138"/>
      <c r="D1613" s="140"/>
      <c r="E1613" s="84"/>
      <c r="F1613" s="84"/>
      <c r="G1613" s="84"/>
      <c r="H1613" s="139"/>
      <c r="I1613" s="84"/>
    </row>
    <row r="1614" spans="1:9">
      <c r="A1614" s="139"/>
      <c r="B1614" s="139"/>
      <c r="C1614" s="138"/>
      <c r="D1614" s="140"/>
      <c r="E1614" s="84"/>
      <c r="F1614" s="84"/>
      <c r="G1614" s="84"/>
      <c r="H1614" s="139"/>
      <c r="I1614" s="84"/>
    </row>
    <row r="1615" spans="1:9">
      <c r="A1615" s="139"/>
      <c r="B1615" s="139"/>
      <c r="C1615" s="138"/>
      <c r="D1615" s="140"/>
      <c r="E1615" s="84"/>
      <c r="F1615" s="84"/>
      <c r="G1615" s="84"/>
      <c r="H1615" s="139"/>
      <c r="I1615" s="84"/>
    </row>
    <row r="1616" spans="1:9">
      <c r="A1616" s="139"/>
      <c r="B1616" s="139"/>
      <c r="C1616" s="138"/>
      <c r="D1616" s="140"/>
      <c r="E1616" s="84"/>
      <c r="F1616" s="84"/>
      <c r="G1616" s="84"/>
      <c r="H1616" s="139"/>
      <c r="I1616" s="84"/>
    </row>
    <row r="1617" spans="1:9">
      <c r="A1617" s="139"/>
      <c r="B1617" s="139"/>
      <c r="C1617" s="138"/>
      <c r="D1617" s="140"/>
      <c r="E1617" s="84"/>
      <c r="F1617" s="84"/>
      <c r="G1617" s="84"/>
      <c r="H1617" s="139"/>
      <c r="I1617" s="84"/>
    </row>
    <row r="1618" spans="1:9">
      <c r="A1618" s="139"/>
      <c r="B1618" s="139"/>
      <c r="C1618" s="138"/>
      <c r="D1618" s="140"/>
      <c r="E1618" s="84"/>
      <c r="F1618" s="84"/>
      <c r="G1618" s="84"/>
      <c r="H1618" s="139"/>
      <c r="I1618" s="84"/>
    </row>
    <row r="1619" spans="1:9">
      <c r="A1619" s="139"/>
      <c r="B1619" s="139"/>
      <c r="C1619" s="138"/>
      <c r="D1619" s="140"/>
      <c r="E1619" s="84"/>
      <c r="F1619" s="84"/>
      <c r="G1619" s="84"/>
      <c r="H1619" s="139"/>
      <c r="I1619" s="84"/>
    </row>
    <row r="1620" spans="1:9">
      <c r="A1620" s="139"/>
      <c r="B1620" s="139"/>
      <c r="C1620" s="138"/>
      <c r="D1620" s="140"/>
      <c r="E1620" s="84"/>
      <c r="F1620" s="84"/>
      <c r="G1620" s="84"/>
      <c r="H1620" s="139"/>
      <c r="I1620" s="84"/>
    </row>
    <row r="1621" spans="1:9">
      <c r="A1621" s="139"/>
      <c r="B1621" s="139"/>
      <c r="C1621" s="138"/>
      <c r="D1621" s="140"/>
      <c r="E1621" s="84"/>
      <c r="F1621" s="84"/>
      <c r="G1621" s="84"/>
      <c r="H1621" s="139"/>
      <c r="I1621" s="84"/>
    </row>
    <row r="1622" spans="1:9">
      <c r="A1622" s="139"/>
      <c r="B1622" s="139"/>
      <c r="C1622" s="138"/>
      <c r="D1622" s="140"/>
      <c r="E1622" s="84"/>
      <c r="F1622" s="84"/>
      <c r="G1622" s="84"/>
      <c r="H1622" s="139"/>
      <c r="I1622" s="84"/>
    </row>
    <row r="1623" spans="1:9">
      <c r="A1623" s="139"/>
      <c r="B1623" s="139"/>
      <c r="C1623" s="138"/>
      <c r="D1623" s="140"/>
      <c r="E1623" s="84"/>
      <c r="F1623" s="84"/>
      <c r="G1623" s="84"/>
      <c r="H1623" s="139"/>
      <c r="I1623" s="84"/>
    </row>
    <row r="1624" spans="1:9">
      <c r="A1624" s="139"/>
      <c r="B1624" s="139"/>
      <c r="C1624" s="138"/>
      <c r="D1624" s="140"/>
      <c r="E1624" s="84"/>
      <c r="F1624" s="84"/>
      <c r="G1624" s="84"/>
      <c r="H1624" s="139"/>
      <c r="I1624" s="84"/>
    </row>
    <row r="1625" spans="1:9">
      <c r="A1625" s="139"/>
      <c r="B1625" s="139"/>
      <c r="C1625" s="138"/>
      <c r="D1625" s="140"/>
      <c r="E1625" s="84"/>
      <c r="F1625" s="84"/>
      <c r="G1625" s="84"/>
      <c r="H1625" s="139"/>
      <c r="I1625" s="84"/>
    </row>
    <row r="1626" spans="1:9">
      <c r="A1626" s="139"/>
      <c r="B1626" s="139"/>
      <c r="C1626" s="138"/>
      <c r="D1626" s="140"/>
      <c r="E1626" s="84"/>
      <c r="F1626" s="84"/>
      <c r="G1626" s="84"/>
      <c r="H1626" s="139"/>
      <c r="I1626" s="84"/>
    </row>
    <row r="1627" spans="1:9">
      <c r="A1627" s="139"/>
      <c r="B1627" s="139"/>
      <c r="C1627" s="138"/>
      <c r="D1627" s="140"/>
      <c r="E1627" s="84"/>
      <c r="F1627" s="84"/>
      <c r="G1627" s="84"/>
      <c r="H1627" s="139"/>
      <c r="I1627" s="84"/>
    </row>
    <row r="1628" spans="1:9">
      <c r="A1628" s="139"/>
      <c r="B1628" s="139"/>
      <c r="C1628" s="138"/>
      <c r="D1628" s="140"/>
      <c r="E1628" s="84"/>
      <c r="F1628" s="84"/>
      <c r="G1628" s="84"/>
      <c r="H1628" s="139"/>
      <c r="I1628" s="84"/>
    </row>
    <row r="1629" spans="1:9">
      <c r="A1629" s="139"/>
      <c r="B1629" s="139"/>
      <c r="C1629" s="138"/>
      <c r="D1629" s="140"/>
      <c r="E1629" s="84"/>
      <c r="F1629" s="84"/>
      <c r="G1629" s="84"/>
      <c r="H1629" s="139"/>
      <c r="I1629" s="84"/>
    </row>
    <row r="1630" spans="1:9">
      <c r="A1630" s="139"/>
      <c r="B1630" s="139"/>
      <c r="C1630" s="138"/>
      <c r="D1630" s="140"/>
      <c r="E1630" s="84"/>
      <c r="F1630" s="84"/>
      <c r="G1630" s="84"/>
      <c r="H1630" s="139"/>
      <c r="I1630" s="84"/>
    </row>
    <row r="1631" spans="1:9">
      <c r="A1631" s="139"/>
      <c r="B1631" s="139"/>
      <c r="C1631" s="138"/>
      <c r="D1631" s="140"/>
      <c r="E1631" s="84"/>
      <c r="F1631" s="84"/>
      <c r="G1631" s="84"/>
      <c r="H1631" s="139"/>
      <c r="I1631" s="84"/>
    </row>
    <row r="1632" spans="1:9">
      <c r="A1632" s="139"/>
      <c r="B1632" s="139"/>
      <c r="C1632" s="138"/>
      <c r="D1632" s="140"/>
      <c r="E1632" s="84"/>
      <c r="F1632" s="84"/>
      <c r="G1632" s="84"/>
      <c r="H1632" s="139"/>
      <c r="I1632" s="84"/>
    </row>
    <row r="1633" spans="1:9">
      <c r="A1633" s="139"/>
      <c r="B1633" s="139"/>
      <c r="C1633" s="138"/>
      <c r="D1633" s="140"/>
      <c r="E1633" s="84"/>
      <c r="F1633" s="84"/>
      <c r="G1633" s="84"/>
      <c r="H1633" s="139"/>
      <c r="I1633" s="84"/>
    </row>
    <row r="1634" spans="1:9">
      <c r="A1634" s="139"/>
      <c r="B1634" s="139"/>
      <c r="C1634" s="138"/>
      <c r="D1634" s="140"/>
      <c r="E1634" s="84"/>
      <c r="F1634" s="84"/>
      <c r="G1634" s="84"/>
      <c r="H1634" s="139"/>
      <c r="I1634" s="84"/>
    </row>
    <row r="1635" spans="1:9">
      <c r="A1635" s="139"/>
      <c r="B1635" s="139"/>
      <c r="C1635" s="138"/>
      <c r="D1635" s="140"/>
      <c r="E1635" s="84"/>
      <c r="F1635" s="84"/>
      <c r="G1635" s="84"/>
      <c r="H1635" s="139"/>
      <c r="I1635" s="84"/>
    </row>
    <row r="1636" spans="1:9">
      <c r="A1636" s="139"/>
      <c r="B1636" s="139"/>
      <c r="C1636" s="138"/>
      <c r="D1636" s="140"/>
      <c r="E1636" s="84"/>
      <c r="F1636" s="84"/>
      <c r="G1636" s="84"/>
      <c r="H1636" s="139"/>
      <c r="I1636" s="84"/>
    </row>
    <row r="1637" spans="1:9">
      <c r="A1637" s="139"/>
      <c r="B1637" s="139"/>
      <c r="C1637" s="138"/>
      <c r="D1637" s="140"/>
      <c r="E1637" s="84"/>
      <c r="F1637" s="84"/>
      <c r="G1637" s="84"/>
      <c r="H1637" s="139"/>
      <c r="I1637" s="84"/>
    </row>
    <row r="1638" spans="1:9">
      <c r="A1638" s="139"/>
      <c r="B1638" s="139"/>
      <c r="C1638" s="138"/>
      <c r="D1638" s="140"/>
      <c r="E1638" s="84"/>
      <c r="F1638" s="84"/>
      <c r="G1638" s="84"/>
      <c r="H1638" s="139"/>
      <c r="I1638" s="84"/>
    </row>
    <row r="1639" spans="1:9">
      <c r="A1639" s="139"/>
      <c r="B1639" s="139"/>
      <c r="C1639" s="138"/>
      <c r="D1639" s="140"/>
      <c r="E1639" s="84"/>
      <c r="F1639" s="84"/>
      <c r="G1639" s="84"/>
      <c r="H1639" s="139"/>
      <c r="I1639" s="84"/>
    </row>
    <row r="1640" spans="1:9">
      <c r="A1640" s="139"/>
      <c r="B1640" s="139"/>
      <c r="C1640" s="138"/>
      <c r="D1640" s="140"/>
      <c r="E1640" s="84"/>
      <c r="F1640" s="84"/>
      <c r="G1640" s="84"/>
      <c r="H1640" s="139"/>
      <c r="I1640" s="84"/>
    </row>
    <row r="1641" spans="1:9">
      <c r="A1641" s="139"/>
      <c r="B1641" s="139"/>
      <c r="C1641" s="138"/>
      <c r="D1641" s="140"/>
      <c r="E1641" s="84"/>
      <c r="F1641" s="84"/>
      <c r="G1641" s="84"/>
      <c r="H1641" s="139"/>
      <c r="I1641" s="84"/>
    </row>
    <row r="1642" spans="1:9">
      <c r="A1642" s="139"/>
      <c r="B1642" s="139"/>
      <c r="C1642" s="138"/>
      <c r="D1642" s="140"/>
      <c r="E1642" s="84"/>
      <c r="F1642" s="84"/>
      <c r="G1642" s="84"/>
      <c r="H1642" s="139"/>
      <c r="I1642" s="84"/>
    </row>
    <row r="1643" spans="1:9">
      <c r="A1643" s="139"/>
      <c r="B1643" s="139"/>
      <c r="C1643" s="138"/>
      <c r="D1643" s="140"/>
      <c r="E1643" s="84"/>
      <c r="F1643" s="84"/>
      <c r="G1643" s="84"/>
      <c r="H1643" s="139"/>
      <c r="I1643" s="84"/>
    </row>
    <row r="1644" spans="1:9">
      <c r="A1644" s="139"/>
      <c r="B1644" s="139"/>
      <c r="C1644" s="138"/>
      <c r="D1644" s="140"/>
      <c r="E1644" s="84"/>
      <c r="F1644" s="84"/>
      <c r="G1644" s="84"/>
      <c r="H1644" s="139"/>
      <c r="I1644" s="84"/>
    </row>
    <row r="1645" spans="1:9">
      <c r="A1645" s="139"/>
      <c r="B1645" s="139"/>
      <c r="C1645" s="138"/>
      <c r="D1645" s="140"/>
      <c r="E1645" s="84"/>
      <c r="F1645" s="84"/>
      <c r="G1645" s="84"/>
      <c r="H1645" s="139"/>
      <c r="I1645" s="84"/>
    </row>
    <row r="1646" spans="1:9">
      <c r="A1646" s="139"/>
      <c r="B1646" s="139"/>
      <c r="C1646" s="138"/>
      <c r="D1646" s="140"/>
      <c r="E1646" s="84"/>
      <c r="F1646" s="84"/>
      <c r="G1646" s="84"/>
      <c r="H1646" s="139"/>
      <c r="I1646" s="84"/>
    </row>
    <row r="1647" spans="1:9">
      <c r="A1647" s="139"/>
      <c r="B1647" s="139"/>
      <c r="C1647" s="138"/>
      <c r="D1647" s="140"/>
      <c r="E1647" s="84"/>
      <c r="F1647" s="84"/>
      <c r="G1647" s="84"/>
      <c r="H1647" s="139"/>
      <c r="I1647" s="84"/>
    </row>
    <row r="1648" spans="1:9">
      <c r="A1648" s="139"/>
      <c r="B1648" s="139"/>
      <c r="C1648" s="138"/>
      <c r="D1648" s="140"/>
      <c r="E1648" s="84"/>
      <c r="F1648" s="84"/>
      <c r="G1648" s="84"/>
      <c r="H1648" s="139"/>
      <c r="I1648" s="84"/>
    </row>
    <row r="1649" spans="1:9">
      <c r="A1649" s="139"/>
      <c r="B1649" s="139"/>
      <c r="C1649" s="138"/>
      <c r="D1649" s="140"/>
      <c r="E1649" s="84"/>
      <c r="F1649" s="84"/>
      <c r="G1649" s="84"/>
      <c r="H1649" s="139"/>
      <c r="I1649" s="84"/>
    </row>
    <row r="1650" spans="1:9">
      <c r="A1650" s="139"/>
      <c r="B1650" s="139"/>
      <c r="C1650" s="138"/>
      <c r="D1650" s="140"/>
      <c r="E1650" s="84"/>
      <c r="F1650" s="84"/>
      <c r="G1650" s="84"/>
      <c r="H1650" s="139"/>
      <c r="I1650" s="84"/>
    </row>
    <row r="1651" spans="1:9">
      <c r="A1651" s="139"/>
      <c r="B1651" s="139"/>
      <c r="C1651" s="138"/>
      <c r="D1651" s="140"/>
      <c r="E1651" s="84"/>
      <c r="F1651" s="84"/>
      <c r="G1651" s="84"/>
      <c r="H1651" s="139"/>
      <c r="I1651" s="84"/>
    </row>
    <row r="1652" spans="1:9">
      <c r="A1652" s="139"/>
      <c r="B1652" s="139"/>
      <c r="C1652" s="138"/>
      <c r="D1652" s="140"/>
      <c r="E1652" s="84"/>
      <c r="F1652" s="84"/>
      <c r="G1652" s="84"/>
      <c r="H1652" s="139"/>
      <c r="I1652" s="84"/>
    </row>
    <row r="1653" spans="1:9">
      <c r="A1653" s="139"/>
      <c r="B1653" s="139"/>
      <c r="C1653" s="138"/>
      <c r="D1653" s="140"/>
      <c r="E1653" s="84"/>
      <c r="F1653" s="84"/>
      <c r="G1653" s="84"/>
      <c r="H1653" s="139"/>
      <c r="I1653" s="84"/>
    </row>
    <row r="1654" spans="1:9">
      <c r="A1654" s="139"/>
      <c r="B1654" s="139"/>
      <c r="C1654" s="138"/>
      <c r="D1654" s="140"/>
      <c r="E1654" s="84"/>
      <c r="F1654" s="84"/>
      <c r="G1654" s="84"/>
      <c r="H1654" s="139"/>
      <c r="I1654" s="84"/>
    </row>
    <row r="1655" spans="1:9">
      <c r="A1655" s="139"/>
      <c r="B1655" s="139"/>
      <c r="C1655" s="138"/>
      <c r="D1655" s="140"/>
      <c r="E1655" s="84"/>
      <c r="F1655" s="84"/>
      <c r="G1655" s="84"/>
      <c r="H1655" s="139"/>
      <c r="I1655" s="84"/>
    </row>
    <row r="1656" spans="1:9">
      <c r="A1656" s="139"/>
      <c r="B1656" s="139"/>
      <c r="C1656" s="138"/>
      <c r="D1656" s="140"/>
      <c r="E1656" s="84"/>
      <c r="F1656" s="84"/>
      <c r="G1656" s="84"/>
      <c r="H1656" s="139"/>
      <c r="I1656" s="84"/>
    </row>
    <row r="1657" spans="1:9">
      <c r="A1657" s="139"/>
      <c r="B1657" s="139"/>
      <c r="C1657" s="138"/>
      <c r="D1657" s="140"/>
      <c r="E1657" s="84"/>
      <c r="F1657" s="84"/>
      <c r="G1657" s="84"/>
      <c r="H1657" s="139"/>
      <c r="I1657" s="84"/>
    </row>
    <row r="1658" spans="1:9">
      <c r="A1658" s="139"/>
      <c r="B1658" s="139"/>
      <c r="C1658" s="138"/>
      <c r="D1658" s="140"/>
      <c r="E1658" s="84"/>
      <c r="F1658" s="84"/>
      <c r="G1658" s="84"/>
      <c r="H1658" s="139"/>
      <c r="I1658" s="84"/>
    </row>
    <row r="1659" spans="1:9">
      <c r="A1659" s="139"/>
      <c r="B1659" s="139"/>
      <c r="C1659" s="138"/>
      <c r="D1659" s="140"/>
      <c r="E1659" s="84"/>
      <c r="F1659" s="84"/>
      <c r="G1659" s="84"/>
      <c r="H1659" s="139"/>
      <c r="I1659" s="84"/>
    </row>
    <row r="1660" spans="1:9">
      <c r="A1660" s="139"/>
      <c r="B1660" s="139"/>
      <c r="C1660" s="138"/>
      <c r="D1660" s="140"/>
      <c r="E1660" s="84"/>
      <c r="F1660" s="84"/>
      <c r="G1660" s="84"/>
      <c r="H1660" s="139"/>
      <c r="I1660" s="84"/>
    </row>
    <row r="1661" spans="1:9">
      <c r="A1661" s="139"/>
      <c r="B1661" s="139"/>
      <c r="C1661" s="138"/>
      <c r="D1661" s="140"/>
      <c r="E1661" s="84"/>
      <c r="F1661" s="84"/>
      <c r="G1661" s="84"/>
      <c r="H1661" s="139"/>
      <c r="I1661" s="84"/>
    </row>
    <row r="1662" spans="1:9">
      <c r="A1662" s="139"/>
      <c r="B1662" s="139"/>
      <c r="C1662" s="138"/>
      <c r="D1662" s="140"/>
      <c r="E1662" s="84"/>
      <c r="F1662" s="84"/>
      <c r="G1662" s="84"/>
      <c r="H1662" s="139"/>
      <c r="I1662" s="84"/>
    </row>
    <row r="1663" spans="1:9">
      <c r="A1663" s="139"/>
      <c r="B1663" s="139"/>
      <c r="C1663" s="138"/>
      <c r="D1663" s="140"/>
      <c r="E1663" s="84"/>
      <c r="F1663" s="84"/>
      <c r="G1663" s="84"/>
      <c r="H1663" s="139"/>
      <c r="I1663" s="84"/>
    </row>
    <row r="1664" spans="1:9">
      <c r="A1664" s="139"/>
      <c r="B1664" s="139"/>
      <c r="C1664" s="138"/>
      <c r="D1664" s="140"/>
      <c r="E1664" s="84"/>
      <c r="F1664" s="84"/>
      <c r="G1664" s="84"/>
      <c r="H1664" s="139"/>
      <c r="I1664" s="84"/>
    </row>
    <row r="1665" spans="1:9">
      <c r="A1665" s="139"/>
      <c r="B1665" s="139"/>
      <c r="C1665" s="138"/>
      <c r="D1665" s="140"/>
      <c r="E1665" s="84"/>
      <c r="F1665" s="84"/>
      <c r="G1665" s="84"/>
      <c r="H1665" s="139"/>
      <c r="I1665" s="84"/>
    </row>
    <row r="1666" spans="1:9">
      <c r="A1666" s="139"/>
      <c r="B1666" s="139"/>
      <c r="C1666" s="138"/>
      <c r="D1666" s="140"/>
      <c r="E1666" s="84"/>
      <c r="F1666" s="84"/>
      <c r="G1666" s="84"/>
      <c r="H1666" s="139"/>
      <c r="I1666" s="84"/>
    </row>
    <row r="1667" spans="1:9">
      <c r="A1667" s="139"/>
      <c r="B1667" s="139"/>
      <c r="C1667" s="138"/>
      <c r="D1667" s="140"/>
      <c r="E1667" s="84"/>
      <c r="F1667" s="84"/>
      <c r="G1667" s="84"/>
      <c r="H1667" s="139"/>
      <c r="I1667" s="84"/>
    </row>
    <row r="1668" spans="1:9">
      <c r="A1668" s="139"/>
      <c r="B1668" s="139"/>
      <c r="C1668" s="138"/>
      <c r="D1668" s="140"/>
      <c r="E1668" s="84"/>
      <c r="F1668" s="84"/>
      <c r="G1668" s="84"/>
      <c r="H1668" s="139"/>
      <c r="I1668" s="84"/>
    </row>
    <row r="1669" spans="1:9">
      <c r="A1669" s="139"/>
      <c r="B1669" s="139"/>
      <c r="C1669" s="138"/>
      <c r="D1669" s="140"/>
      <c r="E1669" s="84"/>
      <c r="F1669" s="84"/>
      <c r="G1669" s="84"/>
      <c r="H1669" s="139"/>
      <c r="I1669" s="84"/>
    </row>
    <row r="1670" spans="1:9">
      <c r="A1670" s="139"/>
      <c r="B1670" s="139"/>
      <c r="C1670" s="138"/>
      <c r="D1670" s="140"/>
      <c r="E1670" s="84"/>
      <c r="F1670" s="84"/>
      <c r="G1670" s="84"/>
      <c r="H1670" s="139"/>
      <c r="I1670" s="84"/>
    </row>
    <row r="1671" spans="1:9">
      <c r="A1671" s="139"/>
      <c r="B1671" s="139"/>
      <c r="C1671" s="138"/>
      <c r="D1671" s="140"/>
      <c r="E1671" s="84"/>
      <c r="F1671" s="84"/>
      <c r="G1671" s="84"/>
      <c r="H1671" s="139"/>
      <c r="I1671" s="84"/>
    </row>
    <row r="1672" spans="1:9">
      <c r="A1672" s="139"/>
      <c r="B1672" s="139"/>
      <c r="C1672" s="138"/>
      <c r="D1672" s="140"/>
      <c r="E1672" s="84"/>
      <c r="F1672" s="84"/>
      <c r="G1672" s="84"/>
      <c r="H1672" s="139"/>
      <c r="I1672" s="84"/>
    </row>
    <row r="1673" spans="1:9">
      <c r="A1673" s="139"/>
      <c r="B1673" s="139"/>
      <c r="C1673" s="138"/>
      <c r="D1673" s="140"/>
      <c r="E1673" s="84"/>
      <c r="F1673" s="84"/>
      <c r="G1673" s="84"/>
      <c r="H1673" s="139"/>
      <c r="I1673" s="84"/>
    </row>
    <row r="1674" spans="1:9">
      <c r="A1674" s="139"/>
      <c r="B1674" s="139"/>
      <c r="C1674" s="138"/>
      <c r="D1674" s="140"/>
      <c r="E1674" s="84"/>
      <c r="F1674" s="84"/>
      <c r="G1674" s="84"/>
      <c r="H1674" s="139"/>
      <c r="I1674" s="84"/>
    </row>
    <row r="1675" spans="1:9">
      <c r="A1675" s="139"/>
      <c r="B1675" s="139"/>
      <c r="C1675" s="138"/>
      <c r="D1675" s="140"/>
      <c r="E1675" s="84"/>
      <c r="F1675" s="84"/>
      <c r="G1675" s="84"/>
      <c r="H1675" s="139"/>
      <c r="I1675" s="84"/>
    </row>
    <row r="1676" spans="1:9">
      <c r="A1676" s="139"/>
      <c r="B1676" s="139"/>
      <c r="C1676" s="138"/>
      <c r="D1676" s="140"/>
      <c r="E1676" s="84"/>
      <c r="F1676" s="84"/>
      <c r="G1676" s="84"/>
      <c r="H1676" s="139"/>
      <c r="I1676" s="84"/>
    </row>
    <row r="1677" spans="1:9">
      <c r="A1677" s="139"/>
      <c r="B1677" s="139"/>
      <c r="C1677" s="138"/>
      <c r="D1677" s="140"/>
      <c r="E1677" s="84"/>
      <c r="F1677" s="84"/>
      <c r="G1677" s="84"/>
      <c r="H1677" s="139"/>
      <c r="I1677" s="84"/>
    </row>
    <row r="1678" spans="1:9">
      <c r="A1678" s="139"/>
      <c r="B1678" s="139"/>
      <c r="C1678" s="138"/>
      <c r="D1678" s="140"/>
      <c r="E1678" s="84"/>
      <c r="F1678" s="84"/>
      <c r="G1678" s="84"/>
      <c r="H1678" s="139"/>
      <c r="I1678" s="84"/>
    </row>
    <row r="1679" spans="1:9">
      <c r="A1679" s="139"/>
      <c r="B1679" s="139"/>
      <c r="C1679" s="138"/>
      <c r="D1679" s="140"/>
      <c r="E1679" s="84"/>
      <c r="F1679" s="84"/>
      <c r="G1679" s="84"/>
      <c r="H1679" s="139"/>
      <c r="I1679" s="84"/>
    </row>
    <row r="1680" spans="1:9">
      <c r="A1680" s="139"/>
      <c r="B1680" s="139"/>
      <c r="C1680" s="138"/>
      <c r="D1680" s="140"/>
      <c r="E1680" s="84"/>
      <c r="F1680" s="84"/>
      <c r="G1680" s="84"/>
      <c r="H1680" s="139"/>
      <c r="I1680" s="84"/>
    </row>
    <row r="1681" spans="1:9">
      <c r="A1681" s="139"/>
      <c r="B1681" s="139"/>
      <c r="C1681" s="138"/>
      <c r="D1681" s="140"/>
      <c r="E1681" s="84"/>
      <c r="F1681" s="84"/>
      <c r="G1681" s="84"/>
      <c r="H1681" s="139"/>
      <c r="I1681" s="84"/>
    </row>
    <row r="1682" spans="1:9">
      <c r="A1682" s="139"/>
      <c r="B1682" s="139"/>
      <c r="C1682" s="138"/>
      <c r="D1682" s="140"/>
      <c r="E1682" s="84"/>
      <c r="F1682" s="84"/>
      <c r="G1682" s="84"/>
      <c r="H1682" s="139"/>
      <c r="I1682" s="84"/>
    </row>
    <row r="1683" spans="1:9">
      <c r="A1683" s="139"/>
      <c r="B1683" s="139"/>
      <c r="C1683" s="138"/>
      <c r="D1683" s="140"/>
      <c r="E1683" s="84"/>
      <c r="F1683" s="84"/>
      <c r="G1683" s="84"/>
      <c r="H1683" s="139"/>
      <c r="I1683" s="84"/>
    </row>
    <row r="1684" spans="1:9">
      <c r="A1684" s="139"/>
      <c r="B1684" s="139"/>
      <c r="C1684" s="138"/>
      <c r="D1684" s="140"/>
      <c r="E1684" s="84"/>
      <c r="F1684" s="84"/>
      <c r="G1684" s="84"/>
      <c r="H1684" s="139"/>
      <c r="I1684" s="84"/>
    </row>
    <row r="1685" spans="1:9">
      <c r="A1685" s="139"/>
      <c r="B1685" s="139"/>
      <c r="C1685" s="138"/>
      <c r="D1685" s="140"/>
      <c r="E1685" s="84"/>
      <c r="F1685" s="84"/>
      <c r="G1685" s="84"/>
      <c r="H1685" s="139"/>
      <c r="I1685" s="84"/>
    </row>
    <row r="1686" spans="1:9">
      <c r="A1686" s="139"/>
      <c r="B1686" s="139"/>
      <c r="C1686" s="138"/>
      <c r="D1686" s="140"/>
      <c r="E1686" s="84"/>
      <c r="F1686" s="84"/>
      <c r="G1686" s="84"/>
      <c r="H1686" s="139"/>
      <c r="I1686" s="84"/>
    </row>
    <row r="1687" spans="1:9">
      <c r="A1687" s="139"/>
      <c r="B1687" s="139"/>
      <c r="C1687" s="138"/>
      <c r="D1687" s="140"/>
      <c r="E1687" s="84"/>
      <c r="F1687" s="84"/>
      <c r="G1687" s="84"/>
      <c r="H1687" s="139"/>
      <c r="I1687" s="84"/>
    </row>
    <row r="1688" spans="1:9">
      <c r="A1688" s="139"/>
      <c r="B1688" s="139"/>
      <c r="C1688" s="138"/>
      <c r="D1688" s="140"/>
      <c r="E1688" s="84"/>
      <c r="F1688" s="84"/>
      <c r="G1688" s="84"/>
      <c r="H1688" s="139"/>
      <c r="I1688" s="84"/>
    </row>
    <row r="1689" spans="1:9">
      <c r="A1689" s="139"/>
      <c r="B1689" s="139"/>
      <c r="C1689" s="138"/>
      <c r="D1689" s="140"/>
      <c r="E1689" s="84"/>
      <c r="F1689" s="84"/>
      <c r="G1689" s="84"/>
      <c r="H1689" s="139"/>
      <c r="I1689" s="84"/>
    </row>
    <row r="1690" spans="1:9">
      <c r="A1690" s="139"/>
      <c r="B1690" s="139"/>
      <c r="C1690" s="138"/>
      <c r="D1690" s="140"/>
      <c r="E1690" s="84"/>
      <c r="F1690" s="84"/>
      <c r="G1690" s="84"/>
      <c r="H1690" s="139"/>
      <c r="I1690" s="84"/>
    </row>
    <row r="1691" spans="1:9">
      <c r="A1691" s="139"/>
      <c r="B1691" s="139"/>
      <c r="C1691" s="138"/>
      <c r="D1691" s="140"/>
      <c r="E1691" s="84"/>
      <c r="F1691" s="84"/>
      <c r="G1691" s="84"/>
      <c r="H1691" s="139"/>
      <c r="I1691" s="84"/>
    </row>
    <row r="1692" spans="1:9">
      <c r="A1692" s="139"/>
      <c r="B1692" s="139"/>
      <c r="C1692" s="138"/>
      <c r="D1692" s="140"/>
      <c r="E1692" s="84"/>
      <c r="F1692" s="84"/>
      <c r="G1692" s="84"/>
      <c r="H1692" s="139"/>
      <c r="I1692" s="84"/>
    </row>
    <row r="1693" spans="1:9">
      <c r="A1693" s="139"/>
      <c r="B1693" s="139"/>
      <c r="C1693" s="138"/>
      <c r="D1693" s="140"/>
      <c r="E1693" s="84"/>
      <c r="F1693" s="84"/>
      <c r="G1693" s="84"/>
      <c r="H1693" s="139"/>
      <c r="I1693" s="84"/>
    </row>
    <row r="1694" spans="1:9">
      <c r="A1694" s="139"/>
      <c r="B1694" s="139"/>
      <c r="C1694" s="138"/>
      <c r="D1694" s="140"/>
      <c r="E1694" s="84"/>
      <c r="F1694" s="84"/>
      <c r="G1694" s="84"/>
      <c r="H1694" s="139"/>
      <c r="I1694" s="84"/>
    </row>
    <row r="1695" spans="1:9">
      <c r="A1695" s="139"/>
      <c r="B1695" s="139"/>
      <c r="C1695" s="138"/>
      <c r="D1695" s="140"/>
      <c r="E1695" s="84"/>
      <c r="F1695" s="84"/>
      <c r="G1695" s="84"/>
      <c r="H1695" s="139"/>
      <c r="I1695" s="84"/>
    </row>
    <row r="1696" spans="1:9">
      <c r="A1696" s="139"/>
      <c r="B1696" s="139"/>
      <c r="C1696" s="138"/>
      <c r="D1696" s="140"/>
      <c r="E1696" s="84"/>
      <c r="F1696" s="84"/>
      <c r="G1696" s="84"/>
      <c r="H1696" s="139"/>
      <c r="I1696" s="84"/>
    </row>
    <row r="1697" spans="1:9">
      <c r="A1697" s="139"/>
      <c r="B1697" s="139"/>
      <c r="C1697" s="138"/>
      <c r="D1697" s="140"/>
      <c r="E1697" s="84"/>
      <c r="F1697" s="84"/>
      <c r="G1697" s="84"/>
      <c r="H1697" s="139"/>
      <c r="I1697" s="84"/>
    </row>
    <row r="1698" spans="1:9">
      <c r="A1698" s="139"/>
      <c r="B1698" s="139"/>
      <c r="C1698" s="138"/>
      <c r="D1698" s="140"/>
      <c r="E1698" s="84"/>
      <c r="F1698" s="84"/>
      <c r="G1698" s="84"/>
      <c r="H1698" s="139"/>
      <c r="I1698" s="84"/>
    </row>
    <row r="1699" spans="1:9">
      <c r="A1699" s="139"/>
      <c r="B1699" s="139"/>
      <c r="C1699" s="138"/>
      <c r="D1699" s="140"/>
      <c r="E1699" s="84"/>
      <c r="F1699" s="84"/>
      <c r="G1699" s="84"/>
      <c r="H1699" s="139"/>
      <c r="I1699" s="84"/>
    </row>
    <row r="1700" spans="1:9">
      <c r="A1700" s="139"/>
      <c r="B1700" s="139"/>
      <c r="C1700" s="138"/>
      <c r="D1700" s="140"/>
      <c r="E1700" s="84"/>
      <c r="F1700" s="84"/>
      <c r="G1700" s="84"/>
      <c r="H1700" s="139"/>
      <c r="I1700" s="84"/>
    </row>
    <row r="1701" spans="1:9">
      <c r="A1701" s="139"/>
      <c r="B1701" s="139"/>
      <c r="C1701" s="138"/>
      <c r="D1701" s="140"/>
      <c r="E1701" s="84"/>
      <c r="F1701" s="84"/>
      <c r="G1701" s="84"/>
      <c r="H1701" s="139"/>
      <c r="I1701" s="84"/>
    </row>
    <row r="1702" spans="1:9">
      <c r="A1702" s="139"/>
      <c r="B1702" s="139"/>
      <c r="C1702" s="138"/>
      <c r="D1702" s="140"/>
      <c r="E1702" s="84"/>
      <c r="F1702" s="84"/>
      <c r="G1702" s="84"/>
      <c r="H1702" s="139"/>
      <c r="I1702" s="84"/>
    </row>
    <row r="1703" spans="1:9">
      <c r="A1703" s="139"/>
      <c r="B1703" s="139"/>
      <c r="C1703" s="138"/>
      <c r="D1703" s="140"/>
      <c r="E1703" s="84"/>
      <c r="F1703" s="84"/>
      <c r="G1703" s="84"/>
      <c r="H1703" s="139"/>
      <c r="I1703" s="84"/>
    </row>
    <row r="1704" spans="1:9">
      <c r="A1704" s="139"/>
      <c r="B1704" s="139"/>
      <c r="C1704" s="138"/>
      <c r="D1704" s="140"/>
      <c r="E1704" s="84"/>
      <c r="F1704" s="84"/>
      <c r="G1704" s="84"/>
      <c r="H1704" s="139"/>
      <c r="I1704" s="84"/>
    </row>
    <row r="1705" spans="1:9">
      <c r="A1705" s="139"/>
      <c r="B1705" s="139"/>
      <c r="C1705" s="138"/>
      <c r="D1705" s="140"/>
      <c r="E1705" s="84"/>
      <c r="F1705" s="84"/>
      <c r="G1705" s="84"/>
      <c r="H1705" s="139"/>
      <c r="I1705" s="84"/>
    </row>
    <row r="1706" spans="1:9">
      <c r="A1706" s="139"/>
      <c r="B1706" s="139"/>
      <c r="C1706" s="138"/>
      <c r="D1706" s="140"/>
      <c r="E1706" s="84"/>
      <c r="F1706" s="84"/>
      <c r="G1706" s="84"/>
      <c r="H1706" s="139"/>
      <c r="I1706" s="84"/>
    </row>
    <row r="1707" spans="1:9">
      <c r="A1707" s="139"/>
      <c r="B1707" s="139"/>
      <c r="C1707" s="138"/>
      <c r="D1707" s="140"/>
      <c r="E1707" s="84"/>
      <c r="F1707" s="84"/>
      <c r="G1707" s="84"/>
      <c r="H1707" s="139"/>
      <c r="I1707" s="84"/>
    </row>
    <row r="1708" spans="1:9">
      <c r="A1708" s="139"/>
      <c r="B1708" s="139"/>
      <c r="C1708" s="138"/>
      <c r="D1708" s="140"/>
      <c r="E1708" s="84"/>
      <c r="F1708" s="84"/>
      <c r="G1708" s="84"/>
      <c r="H1708" s="139"/>
      <c r="I1708" s="84"/>
    </row>
    <row r="1709" spans="1:9">
      <c r="A1709" s="139"/>
      <c r="B1709" s="139"/>
      <c r="C1709" s="138"/>
      <c r="D1709" s="140"/>
      <c r="E1709" s="84"/>
      <c r="F1709" s="84"/>
      <c r="G1709" s="84"/>
      <c r="H1709" s="139"/>
      <c r="I1709" s="84"/>
    </row>
    <row r="1710" spans="1:9">
      <c r="A1710" s="139"/>
      <c r="B1710" s="139"/>
      <c r="C1710" s="138"/>
      <c r="D1710" s="140"/>
      <c r="E1710" s="84"/>
      <c r="F1710" s="84"/>
      <c r="G1710" s="84"/>
      <c r="H1710" s="139"/>
      <c r="I1710" s="84"/>
    </row>
    <row r="1711" spans="1:9">
      <c r="A1711" s="139"/>
      <c r="B1711" s="139"/>
      <c r="C1711" s="138"/>
      <c r="D1711" s="140"/>
      <c r="E1711" s="84"/>
      <c r="F1711" s="84"/>
      <c r="G1711" s="84"/>
      <c r="H1711" s="139"/>
      <c r="I1711" s="84"/>
    </row>
    <row r="1712" spans="1:9">
      <c r="A1712" s="139"/>
      <c r="B1712" s="139"/>
      <c r="C1712" s="138"/>
      <c r="D1712" s="140"/>
      <c r="E1712" s="84"/>
      <c r="F1712" s="84"/>
      <c r="G1712" s="84"/>
      <c r="H1712" s="139"/>
      <c r="I1712" s="84"/>
    </row>
    <row r="1713" spans="1:9">
      <c r="A1713" s="139"/>
      <c r="B1713" s="139"/>
      <c r="C1713" s="138"/>
      <c r="D1713" s="140"/>
      <c r="E1713" s="84"/>
      <c r="F1713" s="84"/>
      <c r="G1713" s="84"/>
      <c r="H1713" s="139"/>
      <c r="I1713" s="84"/>
    </row>
    <row r="1714" spans="1:9">
      <c r="A1714" s="139"/>
      <c r="B1714" s="139"/>
      <c r="C1714" s="138"/>
      <c r="D1714" s="140"/>
      <c r="E1714" s="84"/>
      <c r="F1714" s="84"/>
      <c r="G1714" s="84"/>
      <c r="H1714" s="139"/>
      <c r="I1714" s="84"/>
    </row>
    <row r="1715" spans="1:9">
      <c r="A1715" s="139"/>
      <c r="B1715" s="139"/>
      <c r="C1715" s="138"/>
      <c r="D1715" s="140"/>
      <c r="E1715" s="84"/>
      <c r="F1715" s="84"/>
      <c r="G1715" s="84"/>
      <c r="H1715" s="139"/>
      <c r="I1715" s="84"/>
    </row>
    <row r="1716" spans="1:9">
      <c r="A1716" s="139"/>
      <c r="B1716" s="139"/>
      <c r="C1716" s="138"/>
      <c r="D1716" s="140"/>
      <c r="E1716" s="84"/>
      <c r="F1716" s="84"/>
      <c r="G1716" s="84"/>
      <c r="H1716" s="139"/>
      <c r="I1716" s="84"/>
    </row>
    <row r="1717" spans="1:9">
      <c r="A1717" s="139"/>
      <c r="B1717" s="139"/>
      <c r="C1717" s="138"/>
      <c r="D1717" s="140"/>
      <c r="E1717" s="84"/>
      <c r="F1717" s="84"/>
      <c r="G1717" s="84"/>
      <c r="H1717" s="139"/>
      <c r="I1717" s="84"/>
    </row>
    <row r="1718" spans="1:9">
      <c r="A1718" s="139"/>
      <c r="B1718" s="139"/>
      <c r="C1718" s="138"/>
      <c r="D1718" s="140"/>
      <c r="E1718" s="84"/>
      <c r="F1718" s="84"/>
      <c r="G1718" s="84"/>
      <c r="H1718" s="139"/>
      <c r="I1718" s="84"/>
    </row>
    <row r="1719" spans="1:9">
      <c r="A1719" s="139"/>
      <c r="B1719" s="139"/>
      <c r="C1719" s="138"/>
      <c r="D1719" s="140"/>
      <c r="E1719" s="84"/>
      <c r="F1719" s="84"/>
      <c r="G1719" s="84"/>
      <c r="H1719" s="139"/>
      <c r="I1719" s="84"/>
    </row>
    <row r="1720" spans="1:9">
      <c r="A1720" s="139"/>
      <c r="B1720" s="139"/>
      <c r="C1720" s="138"/>
      <c r="D1720" s="140"/>
      <c r="E1720" s="84"/>
      <c r="F1720" s="84"/>
      <c r="G1720" s="84"/>
      <c r="H1720" s="139"/>
      <c r="I1720" s="84"/>
    </row>
    <row r="1721" spans="1:9">
      <c r="A1721" s="139"/>
      <c r="B1721" s="139"/>
      <c r="C1721" s="138"/>
      <c r="D1721" s="140"/>
      <c r="E1721" s="84"/>
      <c r="F1721" s="84"/>
      <c r="G1721" s="84"/>
      <c r="H1721" s="139"/>
      <c r="I1721" s="84"/>
    </row>
    <row r="1722" spans="1:9">
      <c r="A1722" s="139"/>
      <c r="B1722" s="139"/>
      <c r="C1722" s="138"/>
      <c r="D1722" s="140"/>
      <c r="E1722" s="84"/>
      <c r="F1722" s="84"/>
      <c r="G1722" s="84"/>
      <c r="H1722" s="139"/>
      <c r="I1722" s="84"/>
    </row>
    <row r="1723" spans="1:9">
      <c r="A1723" s="139"/>
      <c r="B1723" s="139"/>
      <c r="C1723" s="138"/>
      <c r="D1723" s="140"/>
      <c r="E1723" s="84"/>
      <c r="F1723" s="84"/>
      <c r="G1723" s="84"/>
      <c r="H1723" s="139"/>
      <c r="I1723" s="84"/>
    </row>
    <row r="1724" spans="1:9">
      <c r="A1724" s="139"/>
      <c r="B1724" s="139"/>
      <c r="C1724" s="138"/>
      <c r="D1724" s="140"/>
      <c r="E1724" s="84"/>
      <c r="F1724" s="84"/>
      <c r="G1724" s="84"/>
      <c r="H1724" s="139"/>
      <c r="I1724" s="84"/>
    </row>
    <row r="1725" spans="1:9">
      <c r="A1725" s="139"/>
      <c r="B1725" s="139"/>
      <c r="C1725" s="138"/>
      <c r="D1725" s="140"/>
      <c r="E1725" s="84"/>
      <c r="F1725" s="84"/>
      <c r="G1725" s="84"/>
      <c r="H1725" s="139"/>
      <c r="I1725" s="84"/>
    </row>
    <row r="1726" spans="1:9">
      <c r="A1726" s="139"/>
      <c r="B1726" s="139"/>
      <c r="C1726" s="138"/>
      <c r="D1726" s="140"/>
      <c r="E1726" s="84"/>
      <c r="F1726" s="84"/>
      <c r="G1726" s="84"/>
      <c r="H1726" s="139"/>
      <c r="I1726" s="84"/>
    </row>
    <row r="1727" spans="1:9">
      <c r="A1727" s="139"/>
      <c r="B1727" s="139"/>
      <c r="C1727" s="138"/>
      <c r="D1727" s="140"/>
      <c r="E1727" s="84"/>
      <c r="F1727" s="84"/>
      <c r="G1727" s="84"/>
      <c r="H1727" s="139"/>
      <c r="I1727" s="84"/>
    </row>
    <row r="1728" spans="1:9">
      <c r="A1728" s="139"/>
      <c r="B1728" s="139"/>
      <c r="C1728" s="138"/>
      <c r="D1728" s="140"/>
      <c r="E1728" s="84"/>
      <c r="F1728" s="84"/>
      <c r="G1728" s="84"/>
      <c r="H1728" s="139"/>
      <c r="I1728" s="84"/>
    </row>
    <row r="1729" spans="1:9">
      <c r="A1729" s="139"/>
      <c r="B1729" s="139"/>
      <c r="C1729" s="138"/>
      <c r="D1729" s="140"/>
      <c r="E1729" s="84"/>
      <c r="F1729" s="84"/>
      <c r="G1729" s="84"/>
      <c r="H1729" s="139"/>
      <c r="I1729" s="84"/>
    </row>
    <row r="1730" spans="1:9">
      <c r="A1730" s="139"/>
      <c r="B1730" s="139"/>
      <c r="C1730" s="138"/>
      <c r="D1730" s="140"/>
      <c r="E1730" s="84"/>
      <c r="F1730" s="84"/>
      <c r="G1730" s="84"/>
      <c r="H1730" s="139"/>
      <c r="I1730" s="84"/>
    </row>
    <row r="1731" spans="1:9">
      <c r="A1731" s="139"/>
      <c r="B1731" s="139"/>
      <c r="C1731" s="138"/>
      <c r="D1731" s="140"/>
      <c r="E1731" s="84"/>
      <c r="F1731" s="84"/>
      <c r="G1731" s="84"/>
      <c r="H1731" s="139"/>
      <c r="I1731" s="84"/>
    </row>
    <row r="1732" spans="1:9">
      <c r="A1732" s="139"/>
      <c r="B1732" s="139"/>
      <c r="C1732" s="138"/>
      <c r="D1732" s="140"/>
      <c r="E1732" s="84"/>
      <c r="F1732" s="84"/>
      <c r="G1732" s="84"/>
      <c r="H1732" s="139"/>
      <c r="I1732" s="84"/>
    </row>
    <row r="1733" spans="1:9">
      <c r="A1733" s="139"/>
      <c r="B1733" s="139"/>
      <c r="C1733" s="138"/>
      <c r="D1733" s="140"/>
      <c r="E1733" s="84"/>
      <c r="F1733" s="84"/>
      <c r="G1733" s="84"/>
      <c r="H1733" s="139"/>
      <c r="I1733" s="84"/>
    </row>
    <row r="1734" spans="1:9">
      <c r="A1734" s="139"/>
      <c r="B1734" s="139"/>
      <c r="C1734" s="138"/>
      <c r="D1734" s="140"/>
      <c r="E1734" s="84"/>
      <c r="F1734" s="84"/>
      <c r="G1734" s="84"/>
      <c r="H1734" s="139"/>
      <c r="I1734" s="84"/>
    </row>
    <row r="1735" spans="1:9">
      <c r="A1735" s="139"/>
      <c r="B1735" s="139"/>
      <c r="C1735" s="138"/>
      <c r="D1735" s="140"/>
      <c r="E1735" s="84"/>
      <c r="F1735" s="84"/>
      <c r="G1735" s="84"/>
      <c r="H1735" s="139"/>
      <c r="I1735" s="84"/>
    </row>
    <row r="1736" spans="1:9">
      <c r="A1736" s="139"/>
      <c r="B1736" s="139"/>
      <c r="C1736" s="138"/>
      <c r="D1736" s="140"/>
      <c r="E1736" s="84"/>
      <c r="F1736" s="84"/>
      <c r="G1736" s="84"/>
      <c r="H1736" s="139"/>
      <c r="I1736" s="84"/>
    </row>
    <row r="1737" spans="1:9">
      <c r="A1737" s="139"/>
      <c r="B1737" s="139"/>
      <c r="C1737" s="138"/>
      <c r="D1737" s="140"/>
      <c r="E1737" s="84"/>
      <c r="F1737" s="84"/>
      <c r="G1737" s="84"/>
      <c r="H1737" s="139"/>
      <c r="I1737" s="84"/>
    </row>
    <row r="1738" spans="1:9">
      <c r="A1738" s="139"/>
      <c r="B1738" s="139"/>
      <c r="C1738" s="138"/>
      <c r="D1738" s="140"/>
      <c r="E1738" s="84"/>
      <c r="F1738" s="84"/>
      <c r="G1738" s="84"/>
      <c r="H1738" s="139"/>
      <c r="I1738" s="84"/>
    </row>
    <row r="1739" spans="1:9">
      <c r="A1739" s="139"/>
      <c r="B1739" s="139"/>
      <c r="C1739" s="138"/>
      <c r="D1739" s="140"/>
      <c r="E1739" s="84"/>
      <c r="F1739" s="84"/>
      <c r="G1739" s="84"/>
      <c r="H1739" s="139"/>
      <c r="I1739" s="84"/>
    </row>
    <row r="1740" spans="1:9">
      <c r="A1740" s="139"/>
      <c r="B1740" s="139"/>
      <c r="C1740" s="138"/>
      <c r="D1740" s="140"/>
      <c r="E1740" s="84"/>
      <c r="F1740" s="84"/>
      <c r="G1740" s="84"/>
      <c r="H1740" s="139"/>
      <c r="I1740" s="84"/>
    </row>
    <row r="1741" spans="1:9">
      <c r="A1741" s="139"/>
      <c r="B1741" s="139"/>
      <c r="C1741" s="138"/>
      <c r="D1741" s="140"/>
      <c r="E1741" s="84"/>
      <c r="F1741" s="84"/>
      <c r="G1741" s="84"/>
      <c r="H1741" s="139"/>
      <c r="I1741" s="84"/>
    </row>
    <row r="1742" spans="1:9">
      <c r="A1742" s="139"/>
      <c r="B1742" s="139"/>
      <c r="C1742" s="138"/>
      <c r="D1742" s="140"/>
      <c r="E1742" s="84"/>
      <c r="F1742" s="84"/>
      <c r="G1742" s="84"/>
      <c r="H1742" s="139"/>
      <c r="I1742" s="84"/>
    </row>
    <row r="1743" spans="1:9">
      <c r="A1743" s="139"/>
      <c r="B1743" s="139"/>
      <c r="C1743" s="138"/>
      <c r="D1743" s="140"/>
      <c r="E1743" s="84"/>
      <c r="F1743" s="84"/>
      <c r="G1743" s="84"/>
      <c r="H1743" s="139"/>
      <c r="I1743" s="84"/>
    </row>
    <row r="1744" spans="1:9">
      <c r="A1744" s="139"/>
      <c r="B1744" s="139"/>
      <c r="C1744" s="138"/>
      <c r="D1744" s="140"/>
      <c r="E1744" s="84"/>
      <c r="F1744" s="84"/>
      <c r="G1744" s="84"/>
      <c r="H1744" s="139"/>
      <c r="I1744" s="84"/>
    </row>
    <row r="1745" spans="1:9">
      <c r="A1745" s="139"/>
      <c r="B1745" s="139"/>
      <c r="C1745" s="138"/>
      <c r="D1745" s="140"/>
      <c r="E1745" s="84"/>
      <c r="F1745" s="84"/>
      <c r="G1745" s="84"/>
      <c r="H1745" s="139"/>
      <c r="I1745" s="84"/>
    </row>
    <row r="1746" spans="1:9">
      <c r="A1746" s="139"/>
      <c r="B1746" s="139"/>
      <c r="C1746" s="138"/>
      <c r="D1746" s="140"/>
      <c r="E1746" s="84"/>
      <c r="F1746" s="84"/>
      <c r="G1746" s="84"/>
      <c r="H1746" s="139"/>
      <c r="I1746" s="84"/>
    </row>
    <row r="1747" spans="1:9">
      <c r="A1747" s="139"/>
      <c r="B1747" s="139"/>
      <c r="C1747" s="138"/>
      <c r="D1747" s="140"/>
      <c r="E1747" s="84"/>
      <c r="F1747" s="84"/>
      <c r="G1747" s="84"/>
      <c r="H1747" s="139"/>
      <c r="I1747" s="84"/>
    </row>
    <row r="1748" spans="1:9">
      <c r="A1748" s="139"/>
      <c r="B1748" s="139"/>
      <c r="C1748" s="138"/>
      <c r="D1748" s="140"/>
      <c r="E1748" s="84"/>
      <c r="F1748" s="84"/>
      <c r="G1748" s="84"/>
      <c r="H1748" s="139"/>
      <c r="I1748" s="84"/>
    </row>
    <row r="1749" spans="1:9">
      <c r="A1749" s="139"/>
      <c r="B1749" s="139"/>
      <c r="C1749" s="138"/>
      <c r="D1749" s="140"/>
      <c r="E1749" s="84"/>
      <c r="F1749" s="84"/>
      <c r="G1749" s="84"/>
      <c r="H1749" s="139"/>
      <c r="I1749" s="84"/>
    </row>
    <row r="1750" spans="1:9">
      <c r="A1750" s="139"/>
      <c r="B1750" s="139"/>
      <c r="C1750" s="138"/>
      <c r="D1750" s="140"/>
      <c r="E1750" s="84"/>
      <c r="F1750" s="84"/>
      <c r="G1750" s="84"/>
      <c r="H1750" s="139"/>
      <c r="I1750" s="84"/>
    </row>
    <row r="1751" spans="1:9">
      <c r="A1751" s="139"/>
      <c r="B1751" s="139"/>
      <c r="C1751" s="138"/>
      <c r="D1751" s="140"/>
      <c r="E1751" s="84"/>
      <c r="F1751" s="84"/>
      <c r="G1751" s="84"/>
      <c r="H1751" s="139"/>
      <c r="I1751" s="84"/>
    </row>
    <row r="1752" spans="1:9">
      <c r="A1752" s="139"/>
      <c r="B1752" s="139"/>
      <c r="C1752" s="138"/>
      <c r="D1752" s="140"/>
      <c r="E1752" s="84"/>
      <c r="F1752" s="84"/>
      <c r="G1752" s="84"/>
      <c r="H1752" s="139"/>
      <c r="I1752" s="84"/>
    </row>
    <row r="1753" spans="1:9">
      <c r="A1753" s="139"/>
      <c r="B1753" s="139"/>
      <c r="C1753" s="138"/>
      <c r="D1753" s="140"/>
      <c r="E1753" s="84"/>
      <c r="F1753" s="84"/>
      <c r="G1753" s="84"/>
      <c r="H1753" s="139"/>
      <c r="I1753" s="84"/>
    </row>
    <row r="1754" spans="1:9">
      <c r="A1754" s="139"/>
      <c r="B1754" s="139"/>
      <c r="C1754" s="138"/>
      <c r="D1754" s="140"/>
      <c r="E1754" s="84"/>
      <c r="F1754" s="84"/>
      <c r="G1754" s="84"/>
      <c r="H1754" s="139"/>
      <c r="I1754" s="84"/>
    </row>
    <row r="1755" spans="1:9">
      <c r="A1755" s="139"/>
      <c r="B1755" s="139"/>
      <c r="C1755" s="138"/>
      <c r="D1755" s="140"/>
      <c r="E1755" s="84"/>
      <c r="F1755" s="84"/>
      <c r="G1755" s="84"/>
      <c r="H1755" s="139"/>
      <c r="I1755" s="84"/>
    </row>
    <row r="1756" spans="1:9">
      <c r="A1756" s="139"/>
      <c r="B1756" s="139"/>
      <c r="C1756" s="138"/>
      <c r="D1756" s="140"/>
      <c r="E1756" s="84"/>
      <c r="F1756" s="84"/>
      <c r="G1756" s="84"/>
      <c r="H1756" s="139"/>
      <c r="I1756" s="84"/>
    </row>
    <row r="1757" spans="1:9">
      <c r="A1757" s="139"/>
      <c r="B1757" s="139"/>
      <c r="C1757" s="138"/>
      <c r="D1757" s="140"/>
      <c r="E1757" s="84"/>
      <c r="F1757" s="84"/>
      <c r="G1757" s="84"/>
      <c r="H1757" s="139"/>
      <c r="I1757" s="84"/>
    </row>
    <row r="1758" spans="1:9">
      <c r="A1758" s="139"/>
      <c r="B1758" s="139"/>
      <c r="C1758" s="138"/>
      <c r="D1758" s="140"/>
      <c r="E1758" s="84"/>
      <c r="F1758" s="84"/>
      <c r="G1758" s="84"/>
      <c r="H1758" s="139"/>
      <c r="I1758" s="84"/>
    </row>
    <row r="1759" spans="1:9">
      <c r="A1759" s="139"/>
      <c r="B1759" s="139"/>
      <c r="C1759" s="138"/>
      <c r="D1759" s="140"/>
      <c r="E1759" s="84"/>
      <c r="F1759" s="84"/>
      <c r="G1759" s="84"/>
      <c r="H1759" s="139"/>
      <c r="I1759" s="84"/>
    </row>
    <row r="1760" spans="1:9">
      <c r="A1760" s="139"/>
      <c r="B1760" s="139"/>
      <c r="C1760" s="138"/>
      <c r="D1760" s="140"/>
      <c r="E1760" s="84"/>
      <c r="F1760" s="84"/>
      <c r="G1760" s="84"/>
      <c r="H1760" s="139"/>
      <c r="I1760" s="84"/>
    </row>
    <row r="1761" spans="1:9">
      <c r="A1761" s="139"/>
      <c r="B1761" s="139"/>
      <c r="C1761" s="138"/>
      <c r="D1761" s="140"/>
      <c r="E1761" s="84"/>
      <c r="F1761" s="84"/>
      <c r="G1761" s="84"/>
      <c r="H1761" s="139"/>
      <c r="I1761" s="84"/>
    </row>
    <row r="1762" spans="1:9">
      <c r="A1762" s="139"/>
      <c r="B1762" s="139"/>
      <c r="C1762" s="138"/>
      <c r="D1762" s="140"/>
      <c r="E1762" s="84"/>
      <c r="F1762" s="84"/>
      <c r="G1762" s="84"/>
      <c r="H1762" s="139"/>
      <c r="I1762" s="84"/>
    </row>
    <row r="1763" spans="1:9">
      <c r="A1763" s="139"/>
      <c r="B1763" s="139"/>
      <c r="C1763" s="138"/>
      <c r="D1763" s="140"/>
      <c r="E1763" s="84"/>
      <c r="F1763" s="84"/>
      <c r="G1763" s="84"/>
      <c r="H1763" s="139"/>
      <c r="I1763" s="84"/>
    </row>
    <row r="1764" spans="1:9">
      <c r="A1764" s="139"/>
      <c r="B1764" s="139"/>
      <c r="C1764" s="138"/>
      <c r="D1764" s="140"/>
      <c r="E1764" s="84"/>
      <c r="F1764" s="84"/>
      <c r="G1764" s="84"/>
      <c r="H1764" s="139"/>
      <c r="I1764" s="84"/>
    </row>
    <row r="1765" spans="1:9">
      <c r="A1765" s="139"/>
      <c r="B1765" s="139"/>
      <c r="C1765" s="138"/>
      <c r="D1765" s="140"/>
      <c r="E1765" s="84"/>
      <c r="F1765" s="84"/>
      <c r="G1765" s="84"/>
      <c r="H1765" s="139"/>
      <c r="I1765" s="84"/>
    </row>
    <row r="1766" spans="1:9" ht="15.75">
      <c r="A1766" s="139"/>
      <c r="B1766" s="139"/>
      <c r="C1766" s="137"/>
      <c r="D1766" s="140"/>
      <c r="E1766" s="84"/>
      <c r="F1766" s="84"/>
      <c r="G1766" s="84"/>
      <c r="H1766" s="139"/>
      <c r="I1766" s="84"/>
    </row>
    <row r="1767" spans="1:9" ht="15.75">
      <c r="A1767" s="139"/>
      <c r="B1767" s="139"/>
      <c r="C1767" s="137"/>
      <c r="D1767" s="140"/>
      <c r="E1767" s="84"/>
      <c r="F1767" s="84"/>
      <c r="G1767" s="84"/>
      <c r="H1767" s="139"/>
      <c r="I1767" s="84"/>
    </row>
    <row r="1768" spans="1:9" ht="15.75">
      <c r="A1768" s="139"/>
      <c r="B1768" s="31"/>
      <c r="C1768" s="137"/>
      <c r="D1768" s="140"/>
      <c r="E1768" s="84"/>
      <c r="F1768" s="84"/>
      <c r="G1768" s="84"/>
      <c r="H1768" s="139"/>
      <c r="I1768" s="84"/>
    </row>
    <row r="1769" spans="1:9" ht="15.75">
      <c r="A1769" s="139"/>
      <c r="B1769" s="31"/>
      <c r="C1769" s="137"/>
      <c r="D1769" s="140"/>
      <c r="E1769" s="84"/>
      <c r="F1769" s="84"/>
      <c r="G1769" s="84"/>
      <c r="H1769" s="139"/>
      <c r="I1769" s="84"/>
    </row>
    <row r="1770" spans="1:9" ht="15.75">
      <c r="A1770" s="139"/>
      <c r="B1770" s="31"/>
      <c r="C1770" s="137"/>
      <c r="D1770" s="140"/>
      <c r="E1770" s="84"/>
      <c r="F1770" s="84"/>
      <c r="G1770" s="84"/>
      <c r="H1770" s="139"/>
      <c r="I1770" s="84"/>
    </row>
    <row r="1771" spans="1:9" ht="15.75">
      <c r="A1771" s="139"/>
      <c r="B1771" s="31"/>
      <c r="C1771" s="137"/>
      <c r="D1771" s="140"/>
      <c r="E1771" s="84"/>
      <c r="F1771" s="84"/>
      <c r="G1771" s="84"/>
      <c r="H1771" s="139"/>
      <c r="I1771" s="84"/>
    </row>
    <row r="1772" spans="1:9">
      <c r="A1772" s="139"/>
      <c r="H1772" s="139"/>
      <c r="I1772" s="84"/>
    </row>
    <row r="1773" spans="1:9">
      <c r="A1773" s="139"/>
      <c r="H1773" s="139"/>
      <c r="I1773" s="84"/>
    </row>
    <row r="1774" spans="1:9">
      <c r="A1774" s="139"/>
      <c r="H1774" s="139"/>
      <c r="I1774" s="84"/>
    </row>
    <row r="1775" spans="1:9">
      <c r="A1775" s="139"/>
      <c r="H1775" s="139"/>
      <c r="I1775" s="84"/>
    </row>
    <row r="1776" spans="1:9">
      <c r="A1776" s="139"/>
      <c r="H1776" s="139"/>
      <c r="I1776" s="84"/>
    </row>
    <row r="1777" spans="1:9">
      <c r="A1777" s="139"/>
      <c r="H1777" s="139"/>
      <c r="I1777" s="84"/>
    </row>
    <row r="1778" spans="1:9">
      <c r="A1778" s="139"/>
      <c r="H1778" s="139"/>
      <c r="I1778" s="84"/>
    </row>
    <row r="1779" spans="1:9">
      <c r="A1779" s="139"/>
      <c r="H1779" s="139"/>
      <c r="I1779" s="84"/>
    </row>
    <row r="1780" spans="1:9">
      <c r="A1780" s="139"/>
      <c r="H1780" s="139"/>
      <c r="I1780" s="84"/>
    </row>
    <row r="1781" spans="1:9">
      <c r="A1781" s="139"/>
      <c r="H1781" s="139"/>
      <c r="I1781" s="84"/>
    </row>
    <row r="1782" spans="1:9">
      <c r="A1782" s="139"/>
      <c r="H1782" s="139"/>
      <c r="I1782" s="84"/>
    </row>
    <row r="1783" spans="1:9" ht="15.75">
      <c r="A1783" s="31"/>
      <c r="H1783" s="31"/>
      <c r="I1783" s="84"/>
    </row>
    <row r="1784" spans="1:9" ht="15.75">
      <c r="A1784" s="31"/>
      <c r="H1784" s="31"/>
      <c r="I1784" s="84"/>
    </row>
    <row r="1785" spans="1:9" ht="15.75">
      <c r="A1785" s="31"/>
      <c r="H1785" s="31"/>
      <c r="I1785" s="84"/>
    </row>
    <row r="1786" spans="1:9" ht="15.75">
      <c r="A1786" s="31"/>
      <c r="H1786" s="31"/>
      <c r="I1786" s="84"/>
    </row>
  </sheetData>
  <protectedRanges>
    <protectedRange sqref="E10 E73 E136" name="Tabela 3A_1_2_1"/>
  </protectedRanges>
  <mergeCells count="10">
    <mergeCell ref="C73:D73"/>
    <mergeCell ref="B134:B135"/>
    <mergeCell ref="C134:D135"/>
    <mergeCell ref="C136:D136"/>
    <mergeCell ref="C5:I5"/>
    <mergeCell ref="B8:B9"/>
    <mergeCell ref="C8:D9"/>
    <mergeCell ref="C10:D10"/>
    <mergeCell ref="B71:B72"/>
    <mergeCell ref="C71:D72"/>
  </mergeCells>
  <hyperlinks>
    <hyperlink ref="C1" location="Spis!B32" display="&gt;&gt; powrót do spisu treści" xr:uid="{00000000-0004-0000-0900-000000000000}"/>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59">
    <pageSetUpPr fitToPage="1"/>
  </sheetPr>
  <dimension ref="A1:K618"/>
  <sheetViews>
    <sheetView zoomScale="90" zoomScaleNormal="90" workbookViewId="0">
      <pane ySplit="7" topLeftCell="A8" activePane="bottomLeft" state="frozen"/>
      <selection pane="bottomLeft" activeCell="C1" sqref="C1"/>
    </sheetView>
  </sheetViews>
  <sheetFormatPr defaultColWidth="8.88671875" defaultRowHeight="12.75" outlineLevelRow="1"/>
  <cols>
    <col min="1" max="1" width="3.77734375" style="126" customWidth="1"/>
    <col min="2" max="2" width="4.77734375" style="126" customWidth="1"/>
    <col min="3" max="3" width="40.77734375" style="126" customWidth="1"/>
    <col min="4" max="4" width="20.77734375" style="126" customWidth="1"/>
    <col min="5" max="5" width="44.77734375" style="126" customWidth="1"/>
    <col min="6" max="6" width="40.77734375" style="126" customWidth="1"/>
    <col min="7" max="7" width="36.77734375" style="126" customWidth="1"/>
    <col min="8" max="8" width="35.77734375" style="126" customWidth="1"/>
    <col min="9" max="9" width="15.77734375" style="126" customWidth="1"/>
    <col min="10" max="10" width="35.77734375" style="126" customWidth="1"/>
    <col min="11" max="26" width="10.77734375" style="126" customWidth="1"/>
    <col min="27" max="16384" width="8.88671875" style="126"/>
  </cols>
  <sheetData>
    <row r="1" spans="1:11" s="83" customFormat="1" ht="15.75">
      <c r="A1" s="878"/>
      <c r="B1" s="878"/>
      <c r="C1" s="931" t="s">
        <v>9</v>
      </c>
      <c r="D1" s="878"/>
      <c r="E1" s="878"/>
      <c r="F1" s="878"/>
      <c r="G1" s="878"/>
      <c r="H1" s="878"/>
      <c r="I1" s="878"/>
      <c r="J1" s="878"/>
      <c r="K1" s="878"/>
    </row>
    <row r="2" spans="1:11" s="83" customFormat="1" ht="9.9499999999999993" customHeight="1">
      <c r="A2" s="878"/>
      <c r="B2" s="879"/>
      <c r="C2" s="1114"/>
      <c r="D2" s="1115"/>
      <c r="E2" s="1115"/>
      <c r="F2" s="1115"/>
      <c r="G2" s="1115"/>
      <c r="H2" s="878"/>
      <c r="I2" s="878"/>
      <c r="J2" s="878"/>
      <c r="K2" s="878"/>
    </row>
    <row r="3" spans="1:11" s="83" customFormat="1" ht="15" customHeight="1">
      <c r="A3" s="878"/>
      <c r="B3" s="897" t="s">
        <v>13</v>
      </c>
      <c r="C3" s="1116" t="s">
        <v>34</v>
      </c>
      <c r="D3" s="1117"/>
      <c r="E3" s="1117"/>
      <c r="F3" s="1117"/>
      <c r="G3" s="1117"/>
      <c r="H3" s="1118"/>
      <c r="I3" s="878"/>
      <c r="J3" s="878"/>
      <c r="K3" s="878"/>
    </row>
    <row r="4" spans="1:11" s="83" customFormat="1" ht="15" customHeight="1">
      <c r="A4" s="878"/>
      <c r="B4" s="897" t="s">
        <v>27</v>
      </c>
      <c r="C4" s="1116" t="s">
        <v>178</v>
      </c>
      <c r="D4" s="1119"/>
      <c r="E4" s="1119"/>
      <c r="F4" s="1119"/>
      <c r="G4" s="1119"/>
      <c r="H4" s="1118"/>
      <c r="I4" s="878"/>
      <c r="J4" s="878"/>
      <c r="K4" s="878"/>
    </row>
    <row r="5" spans="1:11" s="78" customFormat="1" ht="15" customHeight="1">
      <c r="A5" s="880"/>
      <c r="B5" s="897" t="s">
        <v>28</v>
      </c>
      <c r="C5" s="1116" t="s">
        <v>103</v>
      </c>
      <c r="D5" s="1116"/>
      <c r="E5" s="1116"/>
      <c r="F5" s="1116"/>
      <c r="G5" s="1116"/>
      <c r="H5" s="1063"/>
      <c r="I5" s="880"/>
      <c r="J5" s="880"/>
      <c r="K5" s="880"/>
    </row>
    <row r="6" spans="1:11" s="78" customFormat="1" ht="15" customHeight="1">
      <c r="A6" s="880"/>
      <c r="B6" s="897" t="s">
        <v>35</v>
      </c>
      <c r="C6" s="1116" t="s">
        <v>102</v>
      </c>
      <c r="D6" s="1116"/>
      <c r="E6" s="1116"/>
      <c r="F6" s="1116"/>
      <c r="G6" s="1116"/>
      <c r="H6" s="1063"/>
      <c r="I6" s="880"/>
      <c r="J6" s="880"/>
      <c r="K6" s="880"/>
    </row>
    <row r="7" spans="1:11" s="78" customFormat="1" ht="50.1" customHeight="1">
      <c r="A7" s="880"/>
      <c r="B7" s="897" t="s">
        <v>38</v>
      </c>
      <c r="C7" s="1116" t="s">
        <v>176</v>
      </c>
      <c r="D7" s="1120"/>
      <c r="E7" s="1120"/>
      <c r="F7" s="1120"/>
      <c r="G7" s="1120"/>
      <c r="H7" s="1063"/>
      <c r="I7" s="880"/>
      <c r="J7" s="880"/>
      <c r="K7" s="880"/>
    </row>
    <row r="8" spans="1:11" s="83" customFormat="1" ht="30" customHeight="1" thickBot="1">
      <c r="A8" s="878"/>
      <c r="B8" s="881" t="s">
        <v>173</v>
      </c>
      <c r="C8" s="878"/>
      <c r="D8" s="878"/>
      <c r="E8" s="878"/>
      <c r="F8" s="878"/>
      <c r="G8" s="878"/>
      <c r="H8" s="878"/>
      <c r="I8" s="882"/>
      <c r="J8" s="882"/>
      <c r="K8" s="878"/>
    </row>
    <row r="9" spans="1:11" s="112" customFormat="1" ht="20.100000000000001" customHeight="1" thickBot="1">
      <c r="A9" s="883"/>
      <c r="B9" s="1086" t="str">
        <f>'Tab.G1.1-4'!$B$8</f>
        <v>LP</v>
      </c>
      <c r="C9" s="1105" t="str">
        <f>"Nazwa projektu inwestycyjnego"</f>
        <v>Nazwa projektu inwestycyjnego</v>
      </c>
      <c r="D9" s="1105" t="str">
        <f>"Lokalizacja projektu inwestycyjnego"</f>
        <v>Lokalizacja projektu inwestycyjnego</v>
      </c>
      <c r="E9" s="1105" t="str">
        <f>"Cel realizacji projektu"</f>
        <v>Cel realizacji projektu</v>
      </c>
      <c r="F9" s="1103" t="str">
        <f>"Spodziewane efekty, wynikające z realizacji projektu"</f>
        <v>Spodziewane efekty, wynikające z realizacji projektu</v>
      </c>
      <c r="G9" s="1104" t="str">
        <f>"Wartość dla poszczególnych spodziewanych efektów"</f>
        <v>Wartość dla poszczególnych spodziewanych efektów</v>
      </c>
      <c r="H9" s="1105" t="str">
        <f>"Zakres prac"</f>
        <v>Zakres prac</v>
      </c>
      <c r="I9" s="627" t="str">
        <f>'Tab.G1.1-4'!$E$8</f>
        <v>Wykonanie</v>
      </c>
      <c r="J9" s="1101" t="str">
        <f>"UWAGI"</f>
        <v>UWAGI</v>
      </c>
      <c r="K9" s="878"/>
    </row>
    <row r="10" spans="1:11" s="112" customFormat="1" ht="20.100000000000001" customHeight="1" thickBot="1">
      <c r="A10" s="883"/>
      <c r="B10" s="1087"/>
      <c r="C10" s="1087"/>
      <c r="D10" s="1087"/>
      <c r="E10" s="1087"/>
      <c r="F10" s="1103"/>
      <c r="G10" s="1106"/>
      <c r="H10" s="1087"/>
      <c r="I10" s="628">
        <f>Rok_ZPR</f>
        <v>2023</v>
      </c>
      <c r="J10" s="1102"/>
      <c r="K10" s="878"/>
    </row>
    <row r="11" spans="1:11" s="113" customFormat="1" ht="20.100000000000001" customHeight="1">
      <c r="A11" s="884"/>
      <c r="B11" s="1088"/>
      <c r="C11" s="1088"/>
      <c r="D11" s="1088"/>
      <c r="E11" s="1088"/>
      <c r="F11" s="1104"/>
      <c r="G11" s="1106"/>
      <c r="H11" s="1088"/>
      <c r="I11" s="628" t="str">
        <f>'Tab.G1.1-4'!$D$11</f>
        <v>[tys. zł]</v>
      </c>
      <c r="J11" s="1102"/>
      <c r="K11" s="891"/>
    </row>
    <row r="12" spans="1:11" s="114" customFormat="1" ht="13.5" customHeight="1" thickBot="1">
      <c r="A12" s="885"/>
      <c r="B12" s="632" t="str">
        <f t="array" ref="B12:J12">TRANSPOSE(Tab.G17!$B$10:$B$18)</f>
        <v>01</v>
      </c>
      <c r="C12" s="632" t="str">
        <v>02</v>
      </c>
      <c r="D12" s="632" t="str">
        <v>03</v>
      </c>
      <c r="E12" s="632" t="str">
        <v>04</v>
      </c>
      <c r="F12" s="632" t="str">
        <v>05</v>
      </c>
      <c r="G12" s="632" t="str">
        <v>06</v>
      </c>
      <c r="H12" s="632" t="str">
        <v>07</v>
      </c>
      <c r="I12" s="632" t="str">
        <v>08</v>
      </c>
      <c r="J12" s="632" t="str">
        <v>09</v>
      </c>
      <c r="K12" s="892"/>
    </row>
    <row r="13" spans="1:11" s="114" customFormat="1" ht="12.75" customHeight="1">
      <c r="A13" s="885"/>
      <c r="B13" s="1089">
        <v>1</v>
      </c>
      <c r="C13" s="1092"/>
      <c r="D13" s="1097"/>
      <c r="E13" s="1092"/>
      <c r="F13" s="115"/>
      <c r="G13" s="116"/>
      <c r="H13" s="1092"/>
      <c r="I13" s="1098"/>
      <c r="J13" s="1098"/>
      <c r="K13" s="893"/>
    </row>
    <row r="14" spans="1:11" s="114" customFormat="1">
      <c r="A14" s="885"/>
      <c r="B14" s="1090"/>
      <c r="C14" s="1093"/>
      <c r="D14" s="1093"/>
      <c r="E14" s="1093"/>
      <c r="F14" s="117"/>
      <c r="G14" s="118"/>
      <c r="H14" s="1093"/>
      <c r="I14" s="1099"/>
      <c r="J14" s="1099"/>
      <c r="K14" s="893"/>
    </row>
    <row r="15" spans="1:11" s="114" customFormat="1" ht="13.5" thickBot="1">
      <c r="A15" s="885"/>
      <c r="B15" s="1091"/>
      <c r="C15" s="1094"/>
      <c r="D15" s="1094"/>
      <c r="E15" s="1094"/>
      <c r="F15" s="119"/>
      <c r="G15" s="120"/>
      <c r="H15" s="1094"/>
      <c r="I15" s="1100"/>
      <c r="J15" s="1100"/>
      <c r="K15" s="893"/>
    </row>
    <row r="16" spans="1:11" s="114" customFormat="1" ht="12.75" customHeight="1">
      <c r="A16" s="885"/>
      <c r="B16" s="1089">
        <v>2</v>
      </c>
      <c r="C16" s="1095"/>
      <c r="D16" s="1097"/>
      <c r="E16" s="1092"/>
      <c r="F16" s="115"/>
      <c r="G16" s="116"/>
      <c r="H16" s="1092"/>
      <c r="I16" s="1098"/>
      <c r="J16" s="1098"/>
      <c r="K16" s="893"/>
    </row>
    <row r="17" spans="1:11" s="114" customFormat="1">
      <c r="A17" s="885"/>
      <c r="B17" s="1090"/>
      <c r="C17" s="1096"/>
      <c r="D17" s="1093"/>
      <c r="E17" s="1093"/>
      <c r="F17" s="117"/>
      <c r="G17" s="118"/>
      <c r="H17" s="1093"/>
      <c r="I17" s="1099"/>
      <c r="J17" s="1099"/>
      <c r="K17" s="893"/>
    </row>
    <row r="18" spans="1:11" s="114" customFormat="1" ht="13.5" thickBot="1">
      <c r="A18" s="885"/>
      <c r="B18" s="1091"/>
      <c r="C18" s="1094"/>
      <c r="D18" s="1094"/>
      <c r="E18" s="1094"/>
      <c r="F18" s="119"/>
      <c r="G18" s="120"/>
      <c r="H18" s="1094"/>
      <c r="I18" s="1100"/>
      <c r="J18" s="1100"/>
      <c r="K18" s="893"/>
    </row>
    <row r="19" spans="1:11" s="114" customFormat="1" ht="12.75" customHeight="1">
      <c r="A19" s="885"/>
      <c r="B19" s="1089">
        <v>3</v>
      </c>
      <c r="C19" s="1092"/>
      <c r="D19" s="1097"/>
      <c r="E19" s="1092"/>
      <c r="F19" s="115"/>
      <c r="G19" s="116"/>
      <c r="H19" s="1092"/>
      <c r="I19" s="1098"/>
      <c r="J19" s="1098"/>
      <c r="K19" s="893"/>
    </row>
    <row r="20" spans="1:11" s="114" customFormat="1">
      <c r="A20" s="885"/>
      <c r="B20" s="1090"/>
      <c r="C20" s="1093"/>
      <c r="D20" s="1093"/>
      <c r="E20" s="1093"/>
      <c r="F20" s="117"/>
      <c r="G20" s="118"/>
      <c r="H20" s="1093"/>
      <c r="I20" s="1099"/>
      <c r="J20" s="1099"/>
      <c r="K20" s="893"/>
    </row>
    <row r="21" spans="1:11" s="114" customFormat="1" ht="13.5" thickBot="1">
      <c r="A21" s="885"/>
      <c r="B21" s="1091"/>
      <c r="C21" s="1094"/>
      <c r="D21" s="1094"/>
      <c r="E21" s="1094"/>
      <c r="F21" s="119"/>
      <c r="G21" s="120"/>
      <c r="H21" s="1094"/>
      <c r="I21" s="1100"/>
      <c r="J21" s="1100"/>
      <c r="K21" s="893"/>
    </row>
    <row r="22" spans="1:11" s="114" customFormat="1" ht="12.75" customHeight="1">
      <c r="A22" s="885"/>
      <c r="B22" s="1089">
        <v>4</v>
      </c>
      <c r="C22" s="1092"/>
      <c r="D22" s="1097"/>
      <c r="E22" s="1092"/>
      <c r="F22" s="115"/>
      <c r="G22" s="116"/>
      <c r="H22" s="1092"/>
      <c r="I22" s="1098"/>
      <c r="J22" s="1098"/>
      <c r="K22" s="893"/>
    </row>
    <row r="23" spans="1:11" s="114" customFormat="1">
      <c r="A23" s="885"/>
      <c r="B23" s="1090"/>
      <c r="C23" s="1093"/>
      <c r="D23" s="1093"/>
      <c r="E23" s="1093"/>
      <c r="F23" s="117"/>
      <c r="G23" s="118"/>
      <c r="H23" s="1093"/>
      <c r="I23" s="1099"/>
      <c r="J23" s="1099"/>
      <c r="K23" s="893"/>
    </row>
    <row r="24" spans="1:11" s="114" customFormat="1" ht="13.5" thickBot="1">
      <c r="A24" s="885"/>
      <c r="B24" s="1091"/>
      <c r="C24" s="1094"/>
      <c r="D24" s="1094"/>
      <c r="E24" s="1094"/>
      <c r="F24" s="119"/>
      <c r="G24" s="120"/>
      <c r="H24" s="1094"/>
      <c r="I24" s="1100"/>
      <c r="J24" s="1100"/>
      <c r="K24" s="893"/>
    </row>
    <row r="25" spans="1:11" s="114" customFormat="1" ht="12.75" customHeight="1">
      <c r="A25" s="885"/>
      <c r="B25" s="1089">
        <v>5</v>
      </c>
      <c r="C25" s="1092"/>
      <c r="D25" s="1097"/>
      <c r="E25" s="1092"/>
      <c r="F25" s="115"/>
      <c r="G25" s="116"/>
      <c r="H25" s="1092"/>
      <c r="I25" s="1098"/>
      <c r="J25" s="1098"/>
      <c r="K25" s="893"/>
    </row>
    <row r="26" spans="1:11" s="114" customFormat="1">
      <c r="A26" s="885"/>
      <c r="B26" s="1090"/>
      <c r="C26" s="1093"/>
      <c r="D26" s="1093"/>
      <c r="E26" s="1093"/>
      <c r="F26" s="117"/>
      <c r="G26" s="118"/>
      <c r="H26" s="1093"/>
      <c r="I26" s="1099"/>
      <c r="J26" s="1099"/>
      <c r="K26" s="893"/>
    </row>
    <row r="27" spans="1:11" s="114" customFormat="1" ht="13.5" thickBot="1">
      <c r="A27" s="885"/>
      <c r="B27" s="1091"/>
      <c r="C27" s="1094"/>
      <c r="D27" s="1094"/>
      <c r="E27" s="1094"/>
      <c r="F27" s="119"/>
      <c r="G27" s="120"/>
      <c r="H27" s="1094"/>
      <c r="I27" s="1100"/>
      <c r="J27" s="1100"/>
      <c r="K27" s="893"/>
    </row>
    <row r="28" spans="1:11" s="114" customFormat="1" ht="12.75" customHeight="1">
      <c r="A28" s="885"/>
      <c r="B28" s="1089">
        <v>6</v>
      </c>
      <c r="C28" s="1092"/>
      <c r="D28" s="1097"/>
      <c r="E28" s="1092"/>
      <c r="F28" s="115"/>
      <c r="G28" s="116"/>
      <c r="H28" s="1092"/>
      <c r="I28" s="1098"/>
      <c r="J28" s="1098"/>
      <c r="K28" s="893"/>
    </row>
    <row r="29" spans="1:11" s="114" customFormat="1">
      <c r="A29" s="885"/>
      <c r="B29" s="1090"/>
      <c r="C29" s="1093"/>
      <c r="D29" s="1093"/>
      <c r="E29" s="1093"/>
      <c r="F29" s="117"/>
      <c r="G29" s="118"/>
      <c r="H29" s="1093"/>
      <c r="I29" s="1099"/>
      <c r="J29" s="1099"/>
      <c r="K29" s="893"/>
    </row>
    <row r="30" spans="1:11" s="114" customFormat="1" ht="13.5" thickBot="1">
      <c r="A30" s="885"/>
      <c r="B30" s="1091"/>
      <c r="C30" s="1094"/>
      <c r="D30" s="1094"/>
      <c r="E30" s="1094"/>
      <c r="F30" s="119"/>
      <c r="G30" s="120"/>
      <c r="H30" s="1094"/>
      <c r="I30" s="1100"/>
      <c r="J30" s="1100"/>
      <c r="K30" s="893"/>
    </row>
    <row r="31" spans="1:11" s="114" customFormat="1" ht="12.75" customHeight="1">
      <c r="A31" s="885"/>
      <c r="B31" s="1089">
        <v>7</v>
      </c>
      <c r="C31" s="1092"/>
      <c r="D31" s="1097"/>
      <c r="E31" s="1092"/>
      <c r="F31" s="115"/>
      <c r="G31" s="116"/>
      <c r="H31" s="1092"/>
      <c r="I31" s="1098"/>
      <c r="J31" s="1098"/>
      <c r="K31" s="894"/>
    </row>
    <row r="32" spans="1:11" s="114" customFormat="1">
      <c r="A32" s="885"/>
      <c r="B32" s="1090"/>
      <c r="C32" s="1093"/>
      <c r="D32" s="1093"/>
      <c r="E32" s="1093"/>
      <c r="F32" s="117"/>
      <c r="G32" s="118"/>
      <c r="H32" s="1093"/>
      <c r="I32" s="1099"/>
      <c r="J32" s="1099"/>
      <c r="K32" s="894"/>
    </row>
    <row r="33" spans="1:11" s="114" customFormat="1" ht="13.5" thickBot="1">
      <c r="A33" s="885"/>
      <c r="B33" s="1091"/>
      <c r="C33" s="1094"/>
      <c r="D33" s="1094"/>
      <c r="E33" s="1094"/>
      <c r="F33" s="119"/>
      <c r="G33" s="120"/>
      <c r="H33" s="1094"/>
      <c r="I33" s="1100"/>
      <c r="J33" s="1100"/>
      <c r="K33" s="894"/>
    </row>
    <row r="34" spans="1:11" s="114" customFormat="1" ht="12.75" customHeight="1">
      <c r="A34" s="885"/>
      <c r="B34" s="1089">
        <v>8</v>
      </c>
      <c r="C34" s="1092"/>
      <c r="D34" s="1097"/>
      <c r="E34" s="1092"/>
      <c r="F34" s="115"/>
      <c r="G34" s="116"/>
      <c r="H34" s="1092"/>
      <c r="I34" s="1098"/>
      <c r="J34" s="1098"/>
      <c r="K34" s="894"/>
    </row>
    <row r="35" spans="1:11" s="114" customFormat="1">
      <c r="A35" s="885"/>
      <c r="B35" s="1090"/>
      <c r="C35" s="1093"/>
      <c r="D35" s="1093"/>
      <c r="E35" s="1093"/>
      <c r="F35" s="117"/>
      <c r="G35" s="118"/>
      <c r="H35" s="1093"/>
      <c r="I35" s="1099"/>
      <c r="J35" s="1099"/>
      <c r="K35" s="894"/>
    </row>
    <row r="36" spans="1:11" s="114" customFormat="1" ht="13.5" thickBot="1">
      <c r="A36" s="885"/>
      <c r="B36" s="1090"/>
      <c r="C36" s="1093"/>
      <c r="D36" s="1093"/>
      <c r="E36" s="1093"/>
      <c r="F36" s="117"/>
      <c r="G36" s="121"/>
      <c r="H36" s="1093"/>
      <c r="I36" s="1099"/>
      <c r="J36" s="1099"/>
      <c r="K36" s="894"/>
    </row>
    <row r="37" spans="1:11" s="114" customFormat="1" ht="12.75" customHeight="1">
      <c r="A37" s="885"/>
      <c r="B37" s="1107">
        <v>9</v>
      </c>
      <c r="C37" s="1107"/>
      <c r="D37" s="1107"/>
      <c r="E37" s="1107"/>
      <c r="F37" s="115"/>
      <c r="G37" s="1107"/>
      <c r="H37" s="1107"/>
      <c r="I37" s="1110"/>
      <c r="J37" s="1110"/>
      <c r="K37" s="894"/>
    </row>
    <row r="38" spans="1:11" s="114" customFormat="1">
      <c r="A38" s="885"/>
      <c r="B38" s="1108"/>
      <c r="C38" s="1108"/>
      <c r="D38" s="1108"/>
      <c r="E38" s="1108"/>
      <c r="F38" s="117"/>
      <c r="G38" s="1108"/>
      <c r="H38" s="1108"/>
      <c r="I38" s="1111"/>
      <c r="J38" s="1111"/>
      <c r="K38" s="894"/>
    </row>
    <row r="39" spans="1:11" s="114" customFormat="1" ht="13.5" thickBot="1">
      <c r="A39" s="885"/>
      <c r="B39" s="1109"/>
      <c r="C39" s="1109"/>
      <c r="D39" s="1109"/>
      <c r="E39" s="1109"/>
      <c r="F39" s="117"/>
      <c r="G39" s="1109"/>
      <c r="H39" s="1109"/>
      <c r="I39" s="1112"/>
      <c r="J39" s="1112"/>
      <c r="K39" s="894"/>
    </row>
    <row r="40" spans="1:11" s="122" customFormat="1" ht="14.25">
      <c r="A40" s="886"/>
      <c r="B40" s="1089">
        <v>10</v>
      </c>
      <c r="C40" s="1092"/>
      <c r="D40" s="1097"/>
      <c r="E40" s="1092"/>
      <c r="F40" s="115"/>
      <c r="G40" s="116"/>
      <c r="H40" s="1092"/>
      <c r="I40" s="1098"/>
      <c r="J40" s="1098"/>
      <c r="K40" s="895"/>
    </row>
    <row r="41" spans="1:11" s="122" customFormat="1" ht="14.25">
      <c r="A41" s="886"/>
      <c r="B41" s="1090"/>
      <c r="C41" s="1093"/>
      <c r="D41" s="1093"/>
      <c r="E41" s="1093"/>
      <c r="F41" s="117"/>
      <c r="G41" s="118"/>
      <c r="H41" s="1093"/>
      <c r="I41" s="1099"/>
      <c r="J41" s="1099"/>
      <c r="K41" s="895"/>
    </row>
    <row r="42" spans="1:11" s="122" customFormat="1" ht="14.25">
      <c r="A42" s="886"/>
      <c r="B42" s="1091"/>
      <c r="C42" s="1094"/>
      <c r="D42" s="1094"/>
      <c r="E42" s="1094"/>
      <c r="F42" s="119"/>
      <c r="G42" s="120"/>
      <c r="H42" s="1094"/>
      <c r="I42" s="1100"/>
      <c r="J42" s="1100"/>
      <c r="K42" s="895"/>
    </row>
    <row r="43" spans="1:11" s="122" customFormat="1" ht="15.75" hidden="1" customHeight="1" outlineLevel="1">
      <c r="A43" s="886"/>
      <c r="B43" s="1089">
        <v>11</v>
      </c>
      <c r="C43" s="1092"/>
      <c r="D43" s="1097"/>
      <c r="E43" s="1092"/>
      <c r="F43" s="115"/>
      <c r="G43" s="116"/>
      <c r="H43" s="1092"/>
      <c r="I43" s="1113"/>
      <c r="J43" s="1113"/>
      <c r="K43" s="895"/>
    </row>
    <row r="44" spans="1:11" s="122" customFormat="1" ht="15.75" hidden="1" customHeight="1" outlineLevel="1">
      <c r="A44" s="886"/>
      <c r="B44" s="1090"/>
      <c r="C44" s="1093"/>
      <c r="D44" s="1093"/>
      <c r="E44" s="1093"/>
      <c r="F44" s="117"/>
      <c r="G44" s="118"/>
      <c r="H44" s="1093"/>
      <c r="I44" s="1093"/>
      <c r="J44" s="1093"/>
      <c r="K44" s="895"/>
    </row>
    <row r="45" spans="1:11" s="122" customFormat="1" ht="15" hidden="1" customHeight="1" outlineLevel="1" thickBot="1">
      <c r="A45" s="886"/>
      <c r="B45" s="1091"/>
      <c r="C45" s="1094"/>
      <c r="D45" s="1094"/>
      <c r="E45" s="1094"/>
      <c r="F45" s="119"/>
      <c r="G45" s="120"/>
      <c r="H45" s="1094"/>
      <c r="I45" s="1094"/>
      <c r="J45" s="1094"/>
      <c r="K45" s="895"/>
    </row>
    <row r="46" spans="1:11" s="122" customFormat="1" ht="14.25" hidden="1" customHeight="1" outlineLevel="1">
      <c r="A46" s="886"/>
      <c r="B46" s="1089">
        <v>12</v>
      </c>
      <c r="C46" s="1092">
        <f>C18</f>
        <v>0</v>
      </c>
      <c r="D46" s="1097"/>
      <c r="E46" s="1092"/>
      <c r="F46" s="115"/>
      <c r="G46" s="116"/>
      <c r="H46" s="1092"/>
      <c r="I46" s="1113"/>
      <c r="J46" s="1113"/>
      <c r="K46" s="895"/>
    </row>
    <row r="47" spans="1:11" s="122" customFormat="1" ht="14.25" hidden="1" customHeight="1" outlineLevel="1">
      <c r="A47" s="886"/>
      <c r="B47" s="1090"/>
      <c r="C47" s="1093"/>
      <c r="D47" s="1093"/>
      <c r="E47" s="1093"/>
      <c r="F47" s="117"/>
      <c r="G47" s="118"/>
      <c r="H47" s="1093"/>
      <c r="I47" s="1093"/>
      <c r="J47" s="1093"/>
      <c r="K47" s="895"/>
    </row>
    <row r="48" spans="1:11" s="122" customFormat="1" ht="15" hidden="1" customHeight="1" outlineLevel="1" thickBot="1">
      <c r="A48" s="886"/>
      <c r="B48" s="1091"/>
      <c r="C48" s="1094"/>
      <c r="D48" s="1094"/>
      <c r="E48" s="1094"/>
      <c r="F48" s="119"/>
      <c r="G48" s="120"/>
      <c r="H48" s="1094"/>
      <c r="I48" s="1094"/>
      <c r="J48" s="1094"/>
      <c r="K48" s="895"/>
    </row>
    <row r="49" spans="1:11" s="122" customFormat="1" ht="14.25" hidden="1" customHeight="1" outlineLevel="1">
      <c r="A49" s="886"/>
      <c r="B49" s="1089">
        <v>13</v>
      </c>
      <c r="C49" s="1092"/>
      <c r="D49" s="1097"/>
      <c r="E49" s="1092"/>
      <c r="F49" s="115"/>
      <c r="G49" s="116"/>
      <c r="H49" s="1092"/>
      <c r="I49" s="1113"/>
      <c r="J49" s="1113"/>
      <c r="K49" s="895"/>
    </row>
    <row r="50" spans="1:11" s="122" customFormat="1" ht="14.25" hidden="1" customHeight="1" outlineLevel="1">
      <c r="A50" s="886"/>
      <c r="B50" s="1090"/>
      <c r="C50" s="1093"/>
      <c r="D50" s="1093"/>
      <c r="E50" s="1093"/>
      <c r="F50" s="117"/>
      <c r="G50" s="118"/>
      <c r="H50" s="1093"/>
      <c r="I50" s="1093"/>
      <c r="J50" s="1093"/>
      <c r="K50" s="895"/>
    </row>
    <row r="51" spans="1:11" s="122" customFormat="1" ht="15" hidden="1" customHeight="1" outlineLevel="1" thickBot="1">
      <c r="A51" s="886"/>
      <c r="B51" s="1091"/>
      <c r="C51" s="1094"/>
      <c r="D51" s="1094"/>
      <c r="E51" s="1094"/>
      <c r="F51" s="119"/>
      <c r="G51" s="120"/>
      <c r="H51" s="1094"/>
      <c r="I51" s="1094"/>
      <c r="J51" s="1094"/>
      <c r="K51" s="895"/>
    </row>
    <row r="52" spans="1:11" s="122" customFormat="1" ht="14.25" hidden="1" customHeight="1" outlineLevel="1">
      <c r="A52" s="886"/>
      <c r="B52" s="1089">
        <v>14</v>
      </c>
      <c r="C52" s="1092"/>
      <c r="D52" s="1097"/>
      <c r="E52" s="1092"/>
      <c r="F52" s="115"/>
      <c r="G52" s="116"/>
      <c r="H52" s="1092"/>
      <c r="I52" s="1113"/>
      <c r="J52" s="1113"/>
      <c r="K52" s="895"/>
    </row>
    <row r="53" spans="1:11" s="122" customFormat="1" ht="14.25" hidden="1" customHeight="1" outlineLevel="1">
      <c r="A53" s="886"/>
      <c r="B53" s="1090"/>
      <c r="C53" s="1093"/>
      <c r="D53" s="1093"/>
      <c r="E53" s="1093"/>
      <c r="F53" s="117"/>
      <c r="G53" s="118"/>
      <c r="H53" s="1093"/>
      <c r="I53" s="1093"/>
      <c r="J53" s="1093"/>
      <c r="K53" s="895"/>
    </row>
    <row r="54" spans="1:11" s="122" customFormat="1" ht="15" hidden="1" customHeight="1" outlineLevel="1" thickBot="1">
      <c r="A54" s="886"/>
      <c r="B54" s="1091"/>
      <c r="C54" s="1094"/>
      <c r="D54" s="1094"/>
      <c r="E54" s="1094"/>
      <c r="F54" s="119"/>
      <c r="G54" s="120"/>
      <c r="H54" s="1094"/>
      <c r="I54" s="1094"/>
      <c r="J54" s="1094"/>
      <c r="K54" s="895"/>
    </row>
    <row r="55" spans="1:11" s="122" customFormat="1" ht="14.25" hidden="1" customHeight="1" outlineLevel="1">
      <c r="A55" s="886"/>
      <c r="B55" s="1089">
        <v>15</v>
      </c>
      <c r="C55" s="1092"/>
      <c r="D55" s="1097"/>
      <c r="E55" s="1092"/>
      <c r="F55" s="115"/>
      <c r="G55" s="116"/>
      <c r="H55" s="1092"/>
      <c r="I55" s="1113"/>
      <c r="J55" s="1113"/>
      <c r="K55" s="895"/>
    </row>
    <row r="56" spans="1:11" s="122" customFormat="1" ht="14.25" hidden="1" customHeight="1" outlineLevel="1">
      <c r="A56" s="886"/>
      <c r="B56" s="1090"/>
      <c r="C56" s="1093"/>
      <c r="D56" s="1093"/>
      <c r="E56" s="1093"/>
      <c r="F56" s="117"/>
      <c r="G56" s="118"/>
      <c r="H56" s="1093"/>
      <c r="I56" s="1093"/>
      <c r="J56" s="1093"/>
      <c r="K56" s="895"/>
    </row>
    <row r="57" spans="1:11" s="122" customFormat="1" ht="15" hidden="1" customHeight="1" outlineLevel="1" thickBot="1">
      <c r="A57" s="886"/>
      <c r="B57" s="1091"/>
      <c r="C57" s="1094"/>
      <c r="D57" s="1094"/>
      <c r="E57" s="1094"/>
      <c r="F57" s="119"/>
      <c r="G57" s="120"/>
      <c r="H57" s="1094"/>
      <c r="I57" s="1094"/>
      <c r="J57" s="1094"/>
      <c r="K57" s="895"/>
    </row>
    <row r="58" spans="1:11" s="122" customFormat="1" ht="14.25" hidden="1" customHeight="1" outlineLevel="1">
      <c r="A58" s="886"/>
      <c r="B58" s="1089">
        <v>16</v>
      </c>
      <c r="C58" s="1092"/>
      <c r="D58" s="1097"/>
      <c r="E58" s="1092"/>
      <c r="F58" s="115"/>
      <c r="G58" s="116"/>
      <c r="H58" s="1092"/>
      <c r="I58" s="1113"/>
      <c r="J58" s="1113"/>
      <c r="K58" s="895"/>
    </row>
    <row r="59" spans="1:11" s="122" customFormat="1" ht="14.25" hidden="1" customHeight="1" outlineLevel="1">
      <c r="A59" s="886"/>
      <c r="B59" s="1090"/>
      <c r="C59" s="1093"/>
      <c r="D59" s="1093"/>
      <c r="E59" s="1093"/>
      <c r="F59" s="117"/>
      <c r="G59" s="118"/>
      <c r="H59" s="1093"/>
      <c r="I59" s="1093"/>
      <c r="J59" s="1093"/>
      <c r="K59" s="895"/>
    </row>
    <row r="60" spans="1:11" s="122" customFormat="1" ht="15" hidden="1" customHeight="1" outlineLevel="1" thickBot="1">
      <c r="A60" s="886"/>
      <c r="B60" s="1091"/>
      <c r="C60" s="1094"/>
      <c r="D60" s="1094"/>
      <c r="E60" s="1094"/>
      <c r="F60" s="119"/>
      <c r="G60" s="120"/>
      <c r="H60" s="1094"/>
      <c r="I60" s="1094"/>
      <c r="J60" s="1094"/>
      <c r="K60" s="895"/>
    </row>
    <row r="61" spans="1:11" s="122" customFormat="1" ht="14.25" hidden="1" customHeight="1" outlineLevel="1">
      <c r="A61" s="886"/>
      <c r="B61" s="1089">
        <v>17</v>
      </c>
      <c r="C61" s="1092"/>
      <c r="D61" s="1097"/>
      <c r="E61" s="1092"/>
      <c r="F61" s="115"/>
      <c r="G61" s="116"/>
      <c r="H61" s="1092"/>
      <c r="I61" s="1113"/>
      <c r="J61" s="1113"/>
      <c r="K61" s="895"/>
    </row>
    <row r="62" spans="1:11" s="122" customFormat="1" ht="14.25" hidden="1" customHeight="1" outlineLevel="1">
      <c r="A62" s="886"/>
      <c r="B62" s="1090"/>
      <c r="C62" s="1093"/>
      <c r="D62" s="1093"/>
      <c r="E62" s="1093"/>
      <c r="F62" s="117"/>
      <c r="G62" s="118"/>
      <c r="H62" s="1093"/>
      <c r="I62" s="1093"/>
      <c r="J62" s="1093"/>
      <c r="K62" s="895"/>
    </row>
    <row r="63" spans="1:11" s="122" customFormat="1" ht="15" hidden="1" customHeight="1" outlineLevel="1" thickBot="1">
      <c r="A63" s="886"/>
      <c r="B63" s="1091"/>
      <c r="C63" s="1094"/>
      <c r="D63" s="1094"/>
      <c r="E63" s="1094"/>
      <c r="F63" s="119"/>
      <c r="G63" s="120"/>
      <c r="H63" s="1094"/>
      <c r="I63" s="1094"/>
      <c r="J63" s="1094"/>
      <c r="K63" s="895"/>
    </row>
    <row r="64" spans="1:11" s="122" customFormat="1" ht="14.25" hidden="1" customHeight="1" outlineLevel="1">
      <c r="A64" s="886"/>
      <c r="B64" s="1089">
        <v>18</v>
      </c>
      <c r="C64" s="1092"/>
      <c r="D64" s="1097"/>
      <c r="E64" s="1092"/>
      <c r="F64" s="115"/>
      <c r="G64" s="116"/>
      <c r="H64" s="1092"/>
      <c r="I64" s="1113"/>
      <c r="J64" s="1113"/>
      <c r="K64" s="895"/>
    </row>
    <row r="65" spans="1:11" s="122" customFormat="1" ht="14.25" hidden="1" customHeight="1" outlineLevel="1">
      <c r="A65" s="886"/>
      <c r="B65" s="1090"/>
      <c r="C65" s="1093"/>
      <c r="D65" s="1093"/>
      <c r="E65" s="1093"/>
      <c r="F65" s="117"/>
      <c r="G65" s="118"/>
      <c r="H65" s="1093"/>
      <c r="I65" s="1093"/>
      <c r="J65" s="1093"/>
      <c r="K65" s="895"/>
    </row>
    <row r="66" spans="1:11" s="122" customFormat="1" ht="15" hidden="1" customHeight="1" outlineLevel="1" thickBot="1">
      <c r="A66" s="886"/>
      <c r="B66" s="1091"/>
      <c r="C66" s="1094"/>
      <c r="D66" s="1094"/>
      <c r="E66" s="1094"/>
      <c r="F66" s="119"/>
      <c r="G66" s="120"/>
      <c r="H66" s="1094"/>
      <c r="I66" s="1094"/>
      <c r="J66" s="1094"/>
      <c r="K66" s="895"/>
    </row>
    <row r="67" spans="1:11" s="122" customFormat="1" ht="14.25" hidden="1" customHeight="1" outlineLevel="1">
      <c r="A67" s="886"/>
      <c r="B67" s="1089">
        <v>19</v>
      </c>
      <c r="C67" s="1092"/>
      <c r="D67" s="1097"/>
      <c r="E67" s="1092"/>
      <c r="F67" s="115"/>
      <c r="G67" s="116"/>
      <c r="H67" s="1092"/>
      <c r="I67" s="1113"/>
      <c r="J67" s="1113"/>
      <c r="K67" s="895"/>
    </row>
    <row r="68" spans="1:11" s="122" customFormat="1" ht="14.25" hidden="1" customHeight="1" outlineLevel="1">
      <c r="A68" s="886"/>
      <c r="B68" s="1090"/>
      <c r="C68" s="1093"/>
      <c r="D68" s="1093"/>
      <c r="E68" s="1093"/>
      <c r="F68" s="117"/>
      <c r="G68" s="118"/>
      <c r="H68" s="1093"/>
      <c r="I68" s="1093"/>
      <c r="J68" s="1093"/>
      <c r="K68" s="895"/>
    </row>
    <row r="69" spans="1:11" s="122" customFormat="1" ht="15" hidden="1" customHeight="1" outlineLevel="1" thickBot="1">
      <c r="A69" s="886"/>
      <c r="B69" s="1091"/>
      <c r="C69" s="1094"/>
      <c r="D69" s="1094"/>
      <c r="E69" s="1094"/>
      <c r="F69" s="119"/>
      <c r="G69" s="120"/>
      <c r="H69" s="1094"/>
      <c r="I69" s="1094"/>
      <c r="J69" s="1094"/>
      <c r="K69" s="895"/>
    </row>
    <row r="70" spans="1:11" s="122" customFormat="1" ht="14.25" hidden="1" customHeight="1" outlineLevel="1">
      <c r="A70" s="886"/>
      <c r="B70" s="1089">
        <v>20</v>
      </c>
      <c r="C70" s="1092"/>
      <c r="D70" s="1097"/>
      <c r="E70" s="1092"/>
      <c r="F70" s="115"/>
      <c r="G70" s="116"/>
      <c r="H70" s="1092"/>
      <c r="I70" s="1113"/>
      <c r="J70" s="1113"/>
      <c r="K70" s="895"/>
    </row>
    <row r="71" spans="1:11" s="122" customFormat="1" ht="14.25" hidden="1" customHeight="1" outlineLevel="1">
      <c r="A71" s="886"/>
      <c r="B71" s="1090"/>
      <c r="C71" s="1093"/>
      <c r="D71" s="1093"/>
      <c r="E71" s="1093"/>
      <c r="F71" s="117"/>
      <c r="G71" s="118"/>
      <c r="H71" s="1093"/>
      <c r="I71" s="1093"/>
      <c r="J71" s="1093"/>
      <c r="K71" s="895"/>
    </row>
    <row r="72" spans="1:11" s="122" customFormat="1" ht="15" hidden="1" customHeight="1" outlineLevel="1" thickBot="1">
      <c r="A72" s="886"/>
      <c r="B72" s="1091"/>
      <c r="C72" s="1094"/>
      <c r="D72" s="1094"/>
      <c r="E72" s="1094"/>
      <c r="F72" s="119"/>
      <c r="G72" s="120"/>
      <c r="H72" s="1094"/>
      <c r="I72" s="1094"/>
      <c r="J72" s="1094"/>
      <c r="K72" s="895"/>
    </row>
    <row r="73" spans="1:11" s="122" customFormat="1" ht="14.25" hidden="1" customHeight="1" outlineLevel="1">
      <c r="A73" s="886"/>
      <c r="B73" s="1089">
        <v>21</v>
      </c>
      <c r="C73" s="1092"/>
      <c r="D73" s="1097"/>
      <c r="E73" s="1092"/>
      <c r="F73" s="115"/>
      <c r="G73" s="116"/>
      <c r="H73" s="1092"/>
      <c r="I73" s="1113"/>
      <c r="J73" s="1113"/>
      <c r="K73" s="895"/>
    </row>
    <row r="74" spans="1:11" s="122" customFormat="1" ht="14.25" hidden="1" customHeight="1" outlineLevel="1">
      <c r="A74" s="886"/>
      <c r="B74" s="1090"/>
      <c r="C74" s="1093"/>
      <c r="D74" s="1093"/>
      <c r="E74" s="1093"/>
      <c r="F74" s="117"/>
      <c r="G74" s="118"/>
      <c r="H74" s="1093"/>
      <c r="I74" s="1093"/>
      <c r="J74" s="1093"/>
      <c r="K74" s="895"/>
    </row>
    <row r="75" spans="1:11" s="122" customFormat="1" ht="15" hidden="1" customHeight="1" outlineLevel="1" thickBot="1">
      <c r="A75" s="886"/>
      <c r="B75" s="1091"/>
      <c r="C75" s="1094"/>
      <c r="D75" s="1094"/>
      <c r="E75" s="1094"/>
      <c r="F75" s="119"/>
      <c r="G75" s="120"/>
      <c r="H75" s="1094"/>
      <c r="I75" s="1094"/>
      <c r="J75" s="1094"/>
      <c r="K75" s="895"/>
    </row>
    <row r="76" spans="1:11" s="122" customFormat="1" ht="14.25" hidden="1" customHeight="1" outlineLevel="1">
      <c r="A76" s="886"/>
      <c r="B76" s="1089">
        <v>22</v>
      </c>
      <c r="C76" s="1092"/>
      <c r="D76" s="1097"/>
      <c r="E76" s="1092"/>
      <c r="F76" s="115"/>
      <c r="G76" s="116"/>
      <c r="H76" s="1092"/>
      <c r="I76" s="1113"/>
      <c r="J76" s="1113"/>
      <c r="K76" s="895"/>
    </row>
    <row r="77" spans="1:11" s="122" customFormat="1" ht="14.25" hidden="1" customHeight="1" outlineLevel="1">
      <c r="A77" s="886"/>
      <c r="B77" s="1090"/>
      <c r="C77" s="1093"/>
      <c r="D77" s="1093"/>
      <c r="E77" s="1093"/>
      <c r="F77" s="117"/>
      <c r="G77" s="118"/>
      <c r="H77" s="1093"/>
      <c r="I77" s="1093"/>
      <c r="J77" s="1093"/>
      <c r="K77" s="895"/>
    </row>
    <row r="78" spans="1:11" s="122" customFormat="1" ht="15" hidden="1" customHeight="1" outlineLevel="1" thickBot="1">
      <c r="A78" s="886"/>
      <c r="B78" s="1091"/>
      <c r="C78" s="1094"/>
      <c r="D78" s="1094"/>
      <c r="E78" s="1094"/>
      <c r="F78" s="119"/>
      <c r="G78" s="120"/>
      <c r="H78" s="1094"/>
      <c r="I78" s="1094"/>
      <c r="J78" s="1094"/>
      <c r="K78" s="895"/>
    </row>
    <row r="79" spans="1:11" s="122" customFormat="1" ht="14.25" hidden="1" customHeight="1" outlineLevel="1">
      <c r="A79" s="886"/>
      <c r="B79" s="1089">
        <v>23</v>
      </c>
      <c r="C79" s="1092"/>
      <c r="D79" s="1097"/>
      <c r="E79" s="1092"/>
      <c r="F79" s="115"/>
      <c r="G79" s="116"/>
      <c r="H79" s="1092"/>
      <c r="I79" s="1113"/>
      <c r="J79" s="1113"/>
      <c r="K79" s="895"/>
    </row>
    <row r="80" spans="1:11" s="122" customFormat="1" ht="14.25" hidden="1" customHeight="1" outlineLevel="1">
      <c r="A80" s="886"/>
      <c r="B80" s="1090"/>
      <c r="C80" s="1093"/>
      <c r="D80" s="1093"/>
      <c r="E80" s="1093"/>
      <c r="F80" s="117"/>
      <c r="G80" s="118"/>
      <c r="H80" s="1093"/>
      <c r="I80" s="1093"/>
      <c r="J80" s="1093"/>
      <c r="K80" s="895"/>
    </row>
    <row r="81" spans="1:11" s="122" customFormat="1" ht="15" hidden="1" customHeight="1" outlineLevel="1" thickBot="1">
      <c r="A81" s="886"/>
      <c r="B81" s="1091"/>
      <c r="C81" s="1094"/>
      <c r="D81" s="1094"/>
      <c r="E81" s="1094"/>
      <c r="F81" s="119"/>
      <c r="G81" s="120"/>
      <c r="H81" s="1094"/>
      <c r="I81" s="1094"/>
      <c r="J81" s="1094"/>
      <c r="K81" s="895"/>
    </row>
    <row r="82" spans="1:11" s="122" customFormat="1" ht="14.25" hidden="1" customHeight="1" outlineLevel="1">
      <c r="A82" s="886"/>
      <c r="B82" s="1089">
        <v>24</v>
      </c>
      <c r="C82" s="1092"/>
      <c r="D82" s="1097"/>
      <c r="E82" s="1092"/>
      <c r="F82" s="115"/>
      <c r="G82" s="116"/>
      <c r="H82" s="1092"/>
      <c r="I82" s="1113"/>
      <c r="J82" s="1113"/>
      <c r="K82" s="895"/>
    </row>
    <row r="83" spans="1:11" s="122" customFormat="1" ht="14.25" hidden="1" customHeight="1" outlineLevel="1">
      <c r="A83" s="886"/>
      <c r="B83" s="1090"/>
      <c r="C83" s="1093"/>
      <c r="D83" s="1093"/>
      <c r="E83" s="1093"/>
      <c r="F83" s="117"/>
      <c r="G83" s="118"/>
      <c r="H83" s="1093"/>
      <c r="I83" s="1093"/>
      <c r="J83" s="1093"/>
      <c r="K83" s="895"/>
    </row>
    <row r="84" spans="1:11" s="122" customFormat="1" ht="15" hidden="1" customHeight="1" outlineLevel="1" thickBot="1">
      <c r="A84" s="886"/>
      <c r="B84" s="1091"/>
      <c r="C84" s="1094"/>
      <c r="D84" s="1094"/>
      <c r="E84" s="1094"/>
      <c r="F84" s="119"/>
      <c r="G84" s="120"/>
      <c r="H84" s="1094"/>
      <c r="I84" s="1094"/>
      <c r="J84" s="1094"/>
      <c r="K84" s="895"/>
    </row>
    <row r="85" spans="1:11" s="122" customFormat="1" ht="14.25" hidden="1" customHeight="1" outlineLevel="1">
      <c r="A85" s="886"/>
      <c r="B85" s="1089">
        <v>25</v>
      </c>
      <c r="C85" s="1092"/>
      <c r="D85" s="1097"/>
      <c r="E85" s="1092"/>
      <c r="F85" s="115"/>
      <c r="G85" s="116"/>
      <c r="H85" s="1092"/>
      <c r="I85" s="1113"/>
      <c r="J85" s="1113"/>
      <c r="K85" s="895"/>
    </row>
    <row r="86" spans="1:11" s="122" customFormat="1" ht="14.25" hidden="1" customHeight="1" outlineLevel="1">
      <c r="A86" s="886"/>
      <c r="B86" s="1090"/>
      <c r="C86" s="1093"/>
      <c r="D86" s="1093"/>
      <c r="E86" s="1093"/>
      <c r="F86" s="117"/>
      <c r="G86" s="118"/>
      <c r="H86" s="1093"/>
      <c r="I86" s="1093"/>
      <c r="J86" s="1093"/>
      <c r="K86" s="895"/>
    </row>
    <row r="87" spans="1:11" s="122" customFormat="1" ht="15" hidden="1" customHeight="1" outlineLevel="1" thickBot="1">
      <c r="A87" s="886"/>
      <c r="B87" s="1091"/>
      <c r="C87" s="1094"/>
      <c r="D87" s="1094"/>
      <c r="E87" s="1094"/>
      <c r="F87" s="119"/>
      <c r="G87" s="120"/>
      <c r="H87" s="1094"/>
      <c r="I87" s="1094"/>
      <c r="J87" s="1094"/>
      <c r="K87" s="895"/>
    </row>
    <row r="88" spans="1:11" s="122" customFormat="1" ht="14.25" hidden="1" customHeight="1" outlineLevel="1">
      <c r="A88" s="886"/>
      <c r="B88" s="1089">
        <v>26</v>
      </c>
      <c r="C88" s="1092"/>
      <c r="D88" s="1097"/>
      <c r="E88" s="1092"/>
      <c r="F88" s="115"/>
      <c r="G88" s="116"/>
      <c r="H88" s="1092"/>
      <c r="I88" s="1113"/>
      <c r="J88" s="1113"/>
      <c r="K88" s="895"/>
    </row>
    <row r="89" spans="1:11" s="122" customFormat="1" ht="14.25" hidden="1" customHeight="1" outlineLevel="1">
      <c r="A89" s="886"/>
      <c r="B89" s="1090"/>
      <c r="C89" s="1093"/>
      <c r="D89" s="1093"/>
      <c r="E89" s="1093"/>
      <c r="F89" s="117"/>
      <c r="G89" s="118"/>
      <c r="H89" s="1093"/>
      <c r="I89" s="1093"/>
      <c r="J89" s="1093"/>
      <c r="K89" s="895"/>
    </row>
    <row r="90" spans="1:11" s="122" customFormat="1" ht="15" hidden="1" customHeight="1" outlineLevel="1" thickBot="1">
      <c r="A90" s="886"/>
      <c r="B90" s="1091"/>
      <c r="C90" s="1094"/>
      <c r="D90" s="1094"/>
      <c r="E90" s="1094"/>
      <c r="F90" s="119"/>
      <c r="G90" s="120"/>
      <c r="H90" s="1094"/>
      <c r="I90" s="1094"/>
      <c r="J90" s="1094"/>
      <c r="K90" s="895"/>
    </row>
    <row r="91" spans="1:11" s="122" customFormat="1" ht="14.25" hidden="1" customHeight="1" outlineLevel="1">
      <c r="A91" s="886"/>
      <c r="B91" s="1089">
        <v>27</v>
      </c>
      <c r="C91" s="1092"/>
      <c r="D91" s="1097"/>
      <c r="E91" s="1092"/>
      <c r="F91" s="115"/>
      <c r="G91" s="116"/>
      <c r="H91" s="1092"/>
      <c r="I91" s="1113"/>
      <c r="J91" s="1113"/>
      <c r="K91" s="895"/>
    </row>
    <row r="92" spans="1:11" s="122" customFormat="1" ht="14.25" hidden="1" customHeight="1" outlineLevel="1">
      <c r="A92" s="886"/>
      <c r="B92" s="1090"/>
      <c r="C92" s="1093"/>
      <c r="D92" s="1093"/>
      <c r="E92" s="1093"/>
      <c r="F92" s="117"/>
      <c r="G92" s="118"/>
      <c r="H92" s="1093"/>
      <c r="I92" s="1093"/>
      <c r="J92" s="1093"/>
      <c r="K92" s="895"/>
    </row>
    <row r="93" spans="1:11" s="122" customFormat="1" ht="15" hidden="1" customHeight="1" outlineLevel="1" thickBot="1">
      <c r="A93" s="886"/>
      <c r="B93" s="1091"/>
      <c r="C93" s="1094"/>
      <c r="D93" s="1094"/>
      <c r="E93" s="1094"/>
      <c r="F93" s="119"/>
      <c r="G93" s="120"/>
      <c r="H93" s="1094"/>
      <c r="I93" s="1094"/>
      <c r="J93" s="1094"/>
      <c r="K93" s="895"/>
    </row>
    <row r="94" spans="1:11" s="122" customFormat="1" ht="14.25" hidden="1" customHeight="1" outlineLevel="1">
      <c r="A94" s="886"/>
      <c r="B94" s="1089">
        <v>28</v>
      </c>
      <c r="C94" s="1092"/>
      <c r="D94" s="1097"/>
      <c r="E94" s="1092"/>
      <c r="F94" s="115"/>
      <c r="G94" s="116"/>
      <c r="H94" s="1092"/>
      <c r="I94" s="1113"/>
      <c r="J94" s="1113"/>
      <c r="K94" s="895"/>
    </row>
    <row r="95" spans="1:11" s="122" customFormat="1" ht="14.25" hidden="1" customHeight="1" outlineLevel="1">
      <c r="A95" s="886"/>
      <c r="B95" s="1090"/>
      <c r="C95" s="1093"/>
      <c r="D95" s="1093"/>
      <c r="E95" s="1093"/>
      <c r="F95" s="117"/>
      <c r="G95" s="118"/>
      <c r="H95" s="1093"/>
      <c r="I95" s="1093"/>
      <c r="J95" s="1093"/>
      <c r="K95" s="895"/>
    </row>
    <row r="96" spans="1:11" s="122" customFormat="1" ht="15" hidden="1" customHeight="1" outlineLevel="1" thickBot="1">
      <c r="A96" s="886"/>
      <c r="B96" s="1091"/>
      <c r="C96" s="1094"/>
      <c r="D96" s="1094"/>
      <c r="E96" s="1094"/>
      <c r="F96" s="119"/>
      <c r="G96" s="120"/>
      <c r="H96" s="1094"/>
      <c r="I96" s="1094"/>
      <c r="J96" s="1094"/>
      <c r="K96" s="895"/>
    </row>
    <row r="97" spans="1:11" s="122" customFormat="1" ht="14.25" hidden="1" customHeight="1" outlineLevel="1">
      <c r="A97" s="886"/>
      <c r="B97" s="1089">
        <v>29</v>
      </c>
      <c r="C97" s="1092"/>
      <c r="D97" s="1097"/>
      <c r="E97" s="1092"/>
      <c r="F97" s="115"/>
      <c r="G97" s="116"/>
      <c r="H97" s="1092"/>
      <c r="I97" s="1113"/>
      <c r="J97" s="1113"/>
      <c r="K97" s="895"/>
    </row>
    <row r="98" spans="1:11" s="122" customFormat="1" ht="14.25" hidden="1" customHeight="1" outlineLevel="1">
      <c r="A98" s="886"/>
      <c r="B98" s="1090"/>
      <c r="C98" s="1093"/>
      <c r="D98" s="1093"/>
      <c r="E98" s="1093"/>
      <c r="F98" s="117"/>
      <c r="G98" s="118"/>
      <c r="H98" s="1093"/>
      <c r="I98" s="1093"/>
      <c r="J98" s="1093"/>
      <c r="K98" s="895"/>
    </row>
    <row r="99" spans="1:11" s="122" customFormat="1" ht="15" hidden="1" customHeight="1" outlineLevel="1" thickBot="1">
      <c r="A99" s="886"/>
      <c r="B99" s="1091"/>
      <c r="C99" s="1094"/>
      <c r="D99" s="1094"/>
      <c r="E99" s="1094"/>
      <c r="F99" s="119"/>
      <c r="G99" s="120"/>
      <c r="H99" s="1094"/>
      <c r="I99" s="1094"/>
      <c r="J99" s="1094"/>
      <c r="K99" s="895"/>
    </row>
    <row r="100" spans="1:11" s="122" customFormat="1" ht="14.25" hidden="1" customHeight="1" outlineLevel="1">
      <c r="A100" s="886"/>
      <c r="B100" s="1089">
        <v>30</v>
      </c>
      <c r="C100" s="1092"/>
      <c r="D100" s="1097"/>
      <c r="E100" s="1092"/>
      <c r="F100" s="115"/>
      <c r="G100" s="116"/>
      <c r="H100" s="1092"/>
      <c r="I100" s="1113"/>
      <c r="J100" s="1113"/>
      <c r="K100" s="895"/>
    </row>
    <row r="101" spans="1:11" s="122" customFormat="1" ht="14.25" hidden="1" customHeight="1" outlineLevel="1">
      <c r="A101" s="886"/>
      <c r="B101" s="1090"/>
      <c r="C101" s="1093"/>
      <c r="D101" s="1093"/>
      <c r="E101" s="1093"/>
      <c r="F101" s="117"/>
      <c r="G101" s="118"/>
      <c r="H101" s="1093"/>
      <c r="I101" s="1093"/>
      <c r="J101" s="1093"/>
      <c r="K101" s="895"/>
    </row>
    <row r="102" spans="1:11" s="122" customFormat="1" ht="15" hidden="1" customHeight="1" outlineLevel="1" thickBot="1">
      <c r="A102" s="886"/>
      <c r="B102" s="1091"/>
      <c r="C102" s="1094"/>
      <c r="D102" s="1094"/>
      <c r="E102" s="1094"/>
      <c r="F102" s="119"/>
      <c r="G102" s="120"/>
      <c r="H102" s="1094"/>
      <c r="I102" s="1094"/>
      <c r="J102" s="1094"/>
      <c r="K102" s="895"/>
    </row>
    <row r="103" spans="1:11" s="122" customFormat="1" ht="14.25" hidden="1" customHeight="1" outlineLevel="1">
      <c r="A103" s="886"/>
      <c r="B103" s="1089">
        <v>31</v>
      </c>
      <c r="C103" s="1092"/>
      <c r="D103" s="1097"/>
      <c r="E103" s="1092"/>
      <c r="F103" s="115"/>
      <c r="G103" s="116"/>
      <c r="H103" s="1092"/>
      <c r="I103" s="1113"/>
      <c r="J103" s="1113"/>
      <c r="K103" s="895"/>
    </row>
    <row r="104" spans="1:11" s="122" customFormat="1" ht="14.25" hidden="1" customHeight="1" outlineLevel="1">
      <c r="A104" s="886"/>
      <c r="B104" s="1090"/>
      <c r="C104" s="1093"/>
      <c r="D104" s="1093"/>
      <c r="E104" s="1093"/>
      <c r="F104" s="117"/>
      <c r="G104" s="118"/>
      <c r="H104" s="1093"/>
      <c r="I104" s="1093"/>
      <c r="J104" s="1093"/>
      <c r="K104" s="895"/>
    </row>
    <row r="105" spans="1:11" s="122" customFormat="1" ht="15" hidden="1" customHeight="1" outlineLevel="1" thickBot="1">
      <c r="A105" s="886"/>
      <c r="B105" s="1091"/>
      <c r="C105" s="1094"/>
      <c r="D105" s="1094"/>
      <c r="E105" s="1094"/>
      <c r="F105" s="119"/>
      <c r="G105" s="120"/>
      <c r="H105" s="1094"/>
      <c r="I105" s="1094"/>
      <c r="J105" s="1094"/>
      <c r="K105" s="895"/>
    </row>
    <row r="106" spans="1:11" s="122" customFormat="1" ht="14.25" hidden="1" customHeight="1" outlineLevel="1">
      <c r="A106" s="886"/>
      <c r="B106" s="1089">
        <v>32</v>
      </c>
      <c r="C106" s="1092"/>
      <c r="D106" s="1097"/>
      <c r="E106" s="1092"/>
      <c r="F106" s="115"/>
      <c r="G106" s="116"/>
      <c r="H106" s="1092"/>
      <c r="I106" s="1113"/>
      <c r="J106" s="1113"/>
      <c r="K106" s="895"/>
    </row>
    <row r="107" spans="1:11" s="122" customFormat="1" ht="14.25" hidden="1" customHeight="1" outlineLevel="1">
      <c r="A107" s="886"/>
      <c r="B107" s="1090"/>
      <c r="C107" s="1093"/>
      <c r="D107" s="1093"/>
      <c r="E107" s="1093"/>
      <c r="F107" s="117"/>
      <c r="G107" s="118"/>
      <c r="H107" s="1093"/>
      <c r="I107" s="1093"/>
      <c r="J107" s="1093"/>
      <c r="K107" s="895"/>
    </row>
    <row r="108" spans="1:11" s="122" customFormat="1" ht="15" hidden="1" customHeight="1" outlineLevel="1" thickBot="1">
      <c r="A108" s="886"/>
      <c r="B108" s="1091"/>
      <c r="C108" s="1094"/>
      <c r="D108" s="1094"/>
      <c r="E108" s="1094"/>
      <c r="F108" s="119"/>
      <c r="G108" s="120"/>
      <c r="H108" s="1094"/>
      <c r="I108" s="1094"/>
      <c r="J108" s="1094"/>
      <c r="K108" s="895"/>
    </row>
    <row r="109" spans="1:11" s="122" customFormat="1" ht="14.25" hidden="1" customHeight="1" outlineLevel="1">
      <c r="A109" s="886"/>
      <c r="B109" s="1089">
        <v>33</v>
      </c>
      <c r="C109" s="1092"/>
      <c r="D109" s="1097"/>
      <c r="E109" s="1092"/>
      <c r="F109" s="115"/>
      <c r="G109" s="116"/>
      <c r="H109" s="1092"/>
      <c r="I109" s="1113"/>
      <c r="J109" s="1113"/>
      <c r="K109" s="895"/>
    </row>
    <row r="110" spans="1:11" s="122" customFormat="1" ht="14.25" hidden="1" customHeight="1" outlineLevel="1">
      <c r="A110" s="886"/>
      <c r="B110" s="1090"/>
      <c r="C110" s="1093"/>
      <c r="D110" s="1093"/>
      <c r="E110" s="1093"/>
      <c r="F110" s="117"/>
      <c r="G110" s="118"/>
      <c r="H110" s="1093"/>
      <c r="I110" s="1093"/>
      <c r="J110" s="1093"/>
      <c r="K110" s="895"/>
    </row>
    <row r="111" spans="1:11" s="122" customFormat="1" ht="15" hidden="1" customHeight="1" outlineLevel="1" thickBot="1">
      <c r="A111" s="886"/>
      <c r="B111" s="1091"/>
      <c r="C111" s="1094"/>
      <c r="D111" s="1094"/>
      <c r="E111" s="1094"/>
      <c r="F111" s="119"/>
      <c r="G111" s="120"/>
      <c r="H111" s="1094"/>
      <c r="I111" s="1094"/>
      <c r="J111" s="1094"/>
      <c r="K111" s="895"/>
    </row>
    <row r="112" spans="1:11" s="122" customFormat="1" ht="14.25" hidden="1" customHeight="1" outlineLevel="1">
      <c r="A112" s="886"/>
      <c r="B112" s="1089">
        <v>34</v>
      </c>
      <c r="C112" s="1092"/>
      <c r="D112" s="1097"/>
      <c r="E112" s="1092"/>
      <c r="F112" s="115"/>
      <c r="G112" s="116"/>
      <c r="H112" s="1092"/>
      <c r="I112" s="1113"/>
      <c r="J112" s="1113"/>
      <c r="K112" s="895"/>
    </row>
    <row r="113" spans="1:11" s="122" customFormat="1" ht="14.25" hidden="1" customHeight="1" outlineLevel="1">
      <c r="A113" s="886"/>
      <c r="B113" s="1090"/>
      <c r="C113" s="1093"/>
      <c r="D113" s="1093"/>
      <c r="E113" s="1093"/>
      <c r="F113" s="117"/>
      <c r="G113" s="118"/>
      <c r="H113" s="1093"/>
      <c r="I113" s="1093"/>
      <c r="J113" s="1093"/>
      <c r="K113" s="895"/>
    </row>
    <row r="114" spans="1:11" s="122" customFormat="1" ht="15" hidden="1" customHeight="1" outlineLevel="1" thickBot="1">
      <c r="A114" s="886"/>
      <c r="B114" s="1091"/>
      <c r="C114" s="1094"/>
      <c r="D114" s="1094"/>
      <c r="E114" s="1094"/>
      <c r="F114" s="119"/>
      <c r="G114" s="120"/>
      <c r="H114" s="1094"/>
      <c r="I114" s="1094"/>
      <c r="J114" s="1094"/>
      <c r="K114" s="895"/>
    </row>
    <row r="115" spans="1:11" s="122" customFormat="1" ht="14.25" hidden="1" customHeight="1" outlineLevel="1">
      <c r="A115" s="886"/>
      <c r="B115" s="1089">
        <v>35</v>
      </c>
      <c r="C115" s="1092"/>
      <c r="D115" s="1097"/>
      <c r="E115" s="1092"/>
      <c r="F115" s="115"/>
      <c r="G115" s="116"/>
      <c r="H115" s="1092"/>
      <c r="I115" s="1113"/>
      <c r="J115" s="1113"/>
      <c r="K115" s="895"/>
    </row>
    <row r="116" spans="1:11" s="122" customFormat="1" ht="14.25" hidden="1" customHeight="1" outlineLevel="1">
      <c r="A116" s="886"/>
      <c r="B116" s="1090"/>
      <c r="C116" s="1093"/>
      <c r="D116" s="1093"/>
      <c r="E116" s="1093"/>
      <c r="F116" s="117"/>
      <c r="G116" s="118"/>
      <c r="H116" s="1093"/>
      <c r="I116" s="1093"/>
      <c r="J116" s="1093"/>
      <c r="K116" s="895"/>
    </row>
    <row r="117" spans="1:11" s="122" customFormat="1" ht="15" hidden="1" customHeight="1" outlineLevel="1" thickBot="1">
      <c r="A117" s="886"/>
      <c r="B117" s="1091"/>
      <c r="C117" s="1094"/>
      <c r="D117" s="1094"/>
      <c r="E117" s="1094"/>
      <c r="F117" s="119"/>
      <c r="G117" s="120"/>
      <c r="H117" s="1094"/>
      <c r="I117" s="1094"/>
      <c r="J117" s="1094"/>
      <c r="K117" s="895"/>
    </row>
    <row r="118" spans="1:11" s="122" customFormat="1" ht="14.25" hidden="1" customHeight="1" outlineLevel="1">
      <c r="A118" s="886"/>
      <c r="B118" s="1089">
        <v>36</v>
      </c>
      <c r="C118" s="1092"/>
      <c r="D118" s="1097"/>
      <c r="E118" s="1092"/>
      <c r="F118" s="115"/>
      <c r="G118" s="116"/>
      <c r="H118" s="1092"/>
      <c r="I118" s="1113"/>
      <c r="J118" s="1113"/>
      <c r="K118" s="895"/>
    </row>
    <row r="119" spans="1:11" s="122" customFormat="1" ht="14.25" hidden="1" customHeight="1" outlineLevel="1">
      <c r="A119" s="886"/>
      <c r="B119" s="1090"/>
      <c r="C119" s="1093"/>
      <c r="D119" s="1093"/>
      <c r="E119" s="1093"/>
      <c r="F119" s="117"/>
      <c r="G119" s="118"/>
      <c r="H119" s="1093"/>
      <c r="I119" s="1093"/>
      <c r="J119" s="1093"/>
      <c r="K119" s="895"/>
    </row>
    <row r="120" spans="1:11" s="122" customFormat="1" ht="15" hidden="1" customHeight="1" outlineLevel="1" thickBot="1">
      <c r="A120" s="886"/>
      <c r="B120" s="1091"/>
      <c r="C120" s="1094"/>
      <c r="D120" s="1094"/>
      <c r="E120" s="1094"/>
      <c r="F120" s="119"/>
      <c r="G120" s="120"/>
      <c r="H120" s="1094"/>
      <c r="I120" s="1094"/>
      <c r="J120" s="1094"/>
      <c r="K120" s="895"/>
    </row>
    <row r="121" spans="1:11" s="122" customFormat="1" ht="14.25" hidden="1" customHeight="1" outlineLevel="1">
      <c r="A121" s="886"/>
      <c r="B121" s="1089">
        <v>37</v>
      </c>
      <c r="C121" s="1092"/>
      <c r="D121" s="1097"/>
      <c r="E121" s="1092"/>
      <c r="F121" s="115"/>
      <c r="G121" s="116"/>
      <c r="H121" s="1092"/>
      <c r="I121" s="1113"/>
      <c r="J121" s="1113"/>
      <c r="K121" s="895"/>
    </row>
    <row r="122" spans="1:11" s="122" customFormat="1" ht="14.25" hidden="1" customHeight="1" outlineLevel="1">
      <c r="A122" s="886"/>
      <c r="B122" s="1090"/>
      <c r="C122" s="1093"/>
      <c r="D122" s="1093"/>
      <c r="E122" s="1093"/>
      <c r="F122" s="117"/>
      <c r="G122" s="118"/>
      <c r="H122" s="1093"/>
      <c r="I122" s="1093"/>
      <c r="J122" s="1093"/>
      <c r="K122" s="895"/>
    </row>
    <row r="123" spans="1:11" s="122" customFormat="1" ht="15" hidden="1" customHeight="1" outlineLevel="1" thickBot="1">
      <c r="A123" s="886"/>
      <c r="B123" s="1091"/>
      <c r="C123" s="1094"/>
      <c r="D123" s="1094"/>
      <c r="E123" s="1094"/>
      <c r="F123" s="119"/>
      <c r="G123" s="120"/>
      <c r="H123" s="1094"/>
      <c r="I123" s="1094"/>
      <c r="J123" s="1094"/>
      <c r="K123" s="895"/>
    </row>
    <row r="124" spans="1:11" s="122" customFormat="1" ht="14.25" hidden="1" customHeight="1" outlineLevel="1">
      <c r="A124" s="886"/>
      <c r="B124" s="1089">
        <v>38</v>
      </c>
      <c r="C124" s="1092"/>
      <c r="D124" s="1097"/>
      <c r="E124" s="1092"/>
      <c r="F124" s="115"/>
      <c r="G124" s="116"/>
      <c r="H124" s="1092"/>
      <c r="I124" s="1113"/>
      <c r="J124" s="1113"/>
      <c r="K124" s="895"/>
    </row>
    <row r="125" spans="1:11" s="122" customFormat="1" ht="14.25" hidden="1" customHeight="1" outlineLevel="1">
      <c r="A125" s="886"/>
      <c r="B125" s="1090"/>
      <c r="C125" s="1093"/>
      <c r="D125" s="1093"/>
      <c r="E125" s="1093"/>
      <c r="F125" s="117"/>
      <c r="G125" s="118"/>
      <c r="H125" s="1093"/>
      <c r="I125" s="1093"/>
      <c r="J125" s="1093"/>
      <c r="K125" s="895"/>
    </row>
    <row r="126" spans="1:11" s="122" customFormat="1" ht="15" hidden="1" customHeight="1" outlineLevel="1" thickBot="1">
      <c r="A126" s="886"/>
      <c r="B126" s="1091"/>
      <c r="C126" s="1094"/>
      <c r="D126" s="1094"/>
      <c r="E126" s="1094"/>
      <c r="F126" s="119"/>
      <c r="G126" s="120"/>
      <c r="H126" s="1094"/>
      <c r="I126" s="1094"/>
      <c r="J126" s="1094"/>
      <c r="K126" s="895"/>
    </row>
    <row r="127" spans="1:11" s="122" customFormat="1" ht="14.25" hidden="1" customHeight="1" outlineLevel="1">
      <c r="A127" s="886"/>
      <c r="B127" s="1089">
        <v>39</v>
      </c>
      <c r="C127" s="1092"/>
      <c r="D127" s="1097"/>
      <c r="E127" s="1092"/>
      <c r="F127" s="115"/>
      <c r="G127" s="116"/>
      <c r="H127" s="1092"/>
      <c r="I127" s="1113"/>
      <c r="J127" s="1113"/>
      <c r="K127" s="895"/>
    </row>
    <row r="128" spans="1:11" s="122" customFormat="1" ht="14.25" hidden="1" customHeight="1" outlineLevel="1">
      <c r="A128" s="886"/>
      <c r="B128" s="1090"/>
      <c r="C128" s="1093"/>
      <c r="D128" s="1093"/>
      <c r="E128" s="1093"/>
      <c r="F128" s="117"/>
      <c r="G128" s="118"/>
      <c r="H128" s="1093"/>
      <c r="I128" s="1093"/>
      <c r="J128" s="1093"/>
      <c r="K128" s="895"/>
    </row>
    <row r="129" spans="1:11" s="122" customFormat="1" ht="15" hidden="1" customHeight="1" outlineLevel="1" thickBot="1">
      <c r="A129" s="886"/>
      <c r="B129" s="1091"/>
      <c r="C129" s="1094"/>
      <c r="D129" s="1094"/>
      <c r="E129" s="1094"/>
      <c r="F129" s="119"/>
      <c r="G129" s="120"/>
      <c r="H129" s="1094"/>
      <c r="I129" s="1094"/>
      <c r="J129" s="1094"/>
      <c r="K129" s="895"/>
    </row>
    <row r="130" spans="1:11" s="122" customFormat="1" ht="14.25" hidden="1" customHeight="1" outlineLevel="1">
      <c r="A130" s="886"/>
      <c r="B130" s="1089">
        <v>40</v>
      </c>
      <c r="C130" s="1092"/>
      <c r="D130" s="1097"/>
      <c r="E130" s="1092"/>
      <c r="F130" s="115"/>
      <c r="G130" s="116"/>
      <c r="H130" s="1092"/>
      <c r="I130" s="1113"/>
      <c r="J130" s="1113"/>
      <c r="K130" s="895"/>
    </row>
    <row r="131" spans="1:11" s="122" customFormat="1" ht="14.25" hidden="1" customHeight="1" outlineLevel="1">
      <c r="A131" s="886"/>
      <c r="B131" s="1090"/>
      <c r="C131" s="1093"/>
      <c r="D131" s="1093"/>
      <c r="E131" s="1093"/>
      <c r="F131" s="117"/>
      <c r="G131" s="118"/>
      <c r="H131" s="1093"/>
      <c r="I131" s="1093"/>
      <c r="J131" s="1093"/>
      <c r="K131" s="895"/>
    </row>
    <row r="132" spans="1:11" s="122" customFormat="1" ht="15" hidden="1" customHeight="1" outlineLevel="1" thickBot="1">
      <c r="A132" s="886"/>
      <c r="B132" s="1091"/>
      <c r="C132" s="1094"/>
      <c r="D132" s="1094"/>
      <c r="E132" s="1094"/>
      <c r="F132" s="119"/>
      <c r="G132" s="120"/>
      <c r="H132" s="1094"/>
      <c r="I132" s="1094"/>
      <c r="J132" s="1094"/>
      <c r="K132" s="895"/>
    </row>
    <row r="133" spans="1:11" s="122" customFormat="1" ht="14.25" hidden="1" customHeight="1" outlineLevel="1">
      <c r="A133" s="886"/>
      <c r="B133" s="1089">
        <v>41</v>
      </c>
      <c r="C133" s="1092"/>
      <c r="D133" s="1097"/>
      <c r="E133" s="1092"/>
      <c r="F133" s="115"/>
      <c r="G133" s="116"/>
      <c r="H133" s="1092"/>
      <c r="I133" s="1113"/>
      <c r="J133" s="1113"/>
      <c r="K133" s="895"/>
    </row>
    <row r="134" spans="1:11" s="122" customFormat="1" ht="14.25" hidden="1" customHeight="1" outlineLevel="1">
      <c r="A134" s="886"/>
      <c r="B134" s="1090"/>
      <c r="C134" s="1093"/>
      <c r="D134" s="1093"/>
      <c r="E134" s="1093"/>
      <c r="F134" s="117"/>
      <c r="G134" s="118"/>
      <c r="H134" s="1093"/>
      <c r="I134" s="1093"/>
      <c r="J134" s="1093"/>
      <c r="K134" s="895"/>
    </row>
    <row r="135" spans="1:11" s="122" customFormat="1" ht="15" hidden="1" customHeight="1" outlineLevel="1" thickBot="1">
      <c r="A135" s="886"/>
      <c r="B135" s="1091"/>
      <c r="C135" s="1094"/>
      <c r="D135" s="1094"/>
      <c r="E135" s="1094"/>
      <c r="F135" s="119"/>
      <c r="G135" s="120"/>
      <c r="H135" s="1094"/>
      <c r="I135" s="1094"/>
      <c r="J135" s="1094"/>
      <c r="K135" s="895"/>
    </row>
    <row r="136" spans="1:11" s="122" customFormat="1" ht="14.25" hidden="1" customHeight="1" outlineLevel="1">
      <c r="A136" s="886"/>
      <c r="B136" s="1089">
        <v>42</v>
      </c>
      <c r="C136" s="1092"/>
      <c r="D136" s="1097"/>
      <c r="E136" s="1092"/>
      <c r="F136" s="115"/>
      <c r="G136" s="116"/>
      <c r="H136" s="1092"/>
      <c r="I136" s="1113"/>
      <c r="J136" s="1113"/>
      <c r="K136" s="895"/>
    </row>
    <row r="137" spans="1:11" s="122" customFormat="1" ht="14.25" hidden="1" customHeight="1" outlineLevel="1">
      <c r="A137" s="886"/>
      <c r="B137" s="1090"/>
      <c r="C137" s="1093"/>
      <c r="D137" s="1093"/>
      <c r="E137" s="1093"/>
      <c r="F137" s="117"/>
      <c r="G137" s="118"/>
      <c r="H137" s="1093"/>
      <c r="I137" s="1093"/>
      <c r="J137" s="1093"/>
      <c r="K137" s="895"/>
    </row>
    <row r="138" spans="1:11" s="122" customFormat="1" ht="15" hidden="1" customHeight="1" outlineLevel="1" thickBot="1">
      <c r="A138" s="886"/>
      <c r="B138" s="1091"/>
      <c r="C138" s="1094"/>
      <c r="D138" s="1094"/>
      <c r="E138" s="1094"/>
      <c r="F138" s="119"/>
      <c r="G138" s="120"/>
      <c r="H138" s="1094"/>
      <c r="I138" s="1094"/>
      <c r="J138" s="1094"/>
      <c r="K138" s="895"/>
    </row>
    <row r="139" spans="1:11" s="122" customFormat="1" ht="14.25" hidden="1" customHeight="1" outlineLevel="1">
      <c r="A139" s="886"/>
      <c r="B139" s="1089">
        <v>43</v>
      </c>
      <c r="C139" s="1092"/>
      <c r="D139" s="1097"/>
      <c r="E139" s="1092"/>
      <c r="F139" s="115"/>
      <c r="G139" s="116"/>
      <c r="H139" s="1092"/>
      <c r="I139" s="1113"/>
      <c r="J139" s="1113"/>
      <c r="K139" s="895"/>
    </row>
    <row r="140" spans="1:11" s="122" customFormat="1" ht="14.25" hidden="1" customHeight="1" outlineLevel="1">
      <c r="A140" s="886"/>
      <c r="B140" s="1090"/>
      <c r="C140" s="1093"/>
      <c r="D140" s="1093"/>
      <c r="E140" s="1093"/>
      <c r="F140" s="117"/>
      <c r="G140" s="118"/>
      <c r="H140" s="1093"/>
      <c r="I140" s="1093"/>
      <c r="J140" s="1093"/>
      <c r="K140" s="895"/>
    </row>
    <row r="141" spans="1:11" s="122" customFormat="1" ht="15" hidden="1" customHeight="1" outlineLevel="1" thickBot="1">
      <c r="A141" s="886"/>
      <c r="B141" s="1091"/>
      <c r="C141" s="1094"/>
      <c r="D141" s="1094"/>
      <c r="E141" s="1094"/>
      <c r="F141" s="119"/>
      <c r="G141" s="120"/>
      <c r="H141" s="1094"/>
      <c r="I141" s="1094"/>
      <c r="J141" s="1094"/>
      <c r="K141" s="895"/>
    </row>
    <row r="142" spans="1:11" s="122" customFormat="1" ht="14.25" hidden="1" customHeight="1" outlineLevel="1">
      <c r="A142" s="886"/>
      <c r="B142" s="1089">
        <v>44</v>
      </c>
      <c r="C142" s="1092"/>
      <c r="D142" s="1097"/>
      <c r="E142" s="1092"/>
      <c r="F142" s="115"/>
      <c r="G142" s="116"/>
      <c r="H142" s="1092"/>
      <c r="I142" s="1113"/>
      <c r="J142" s="1113"/>
      <c r="K142" s="895"/>
    </row>
    <row r="143" spans="1:11" s="122" customFormat="1" ht="14.25" hidden="1" customHeight="1" outlineLevel="1">
      <c r="A143" s="886"/>
      <c r="B143" s="1090"/>
      <c r="C143" s="1093"/>
      <c r="D143" s="1093"/>
      <c r="E143" s="1093"/>
      <c r="F143" s="117"/>
      <c r="G143" s="118"/>
      <c r="H143" s="1093"/>
      <c r="I143" s="1093"/>
      <c r="J143" s="1093"/>
      <c r="K143" s="895"/>
    </row>
    <row r="144" spans="1:11" s="122" customFormat="1" ht="15" hidden="1" customHeight="1" outlineLevel="1" thickBot="1">
      <c r="A144" s="886"/>
      <c r="B144" s="1091"/>
      <c r="C144" s="1094"/>
      <c r="D144" s="1094"/>
      <c r="E144" s="1094"/>
      <c r="F144" s="119"/>
      <c r="G144" s="120"/>
      <c r="H144" s="1094"/>
      <c r="I144" s="1094"/>
      <c r="J144" s="1094"/>
      <c r="K144" s="895"/>
    </row>
    <row r="145" spans="1:11" s="122" customFormat="1" ht="14.25" hidden="1" customHeight="1" outlineLevel="1">
      <c r="A145" s="886"/>
      <c r="B145" s="1089">
        <v>45</v>
      </c>
      <c r="C145" s="1092"/>
      <c r="D145" s="1097"/>
      <c r="E145" s="1092"/>
      <c r="F145" s="115"/>
      <c r="G145" s="116"/>
      <c r="H145" s="1092"/>
      <c r="I145" s="1113"/>
      <c r="J145" s="1113"/>
      <c r="K145" s="895"/>
    </row>
    <row r="146" spans="1:11" s="122" customFormat="1" ht="14.25" hidden="1" customHeight="1" outlineLevel="1">
      <c r="A146" s="886"/>
      <c r="B146" s="1090"/>
      <c r="C146" s="1093"/>
      <c r="D146" s="1093"/>
      <c r="E146" s="1093"/>
      <c r="F146" s="117"/>
      <c r="G146" s="118"/>
      <c r="H146" s="1093"/>
      <c r="I146" s="1093"/>
      <c r="J146" s="1093"/>
      <c r="K146" s="895"/>
    </row>
    <row r="147" spans="1:11" s="122" customFormat="1" ht="15" hidden="1" customHeight="1" outlineLevel="1" thickBot="1">
      <c r="A147" s="886"/>
      <c r="B147" s="1091"/>
      <c r="C147" s="1094"/>
      <c r="D147" s="1094"/>
      <c r="E147" s="1094"/>
      <c r="F147" s="119"/>
      <c r="G147" s="120"/>
      <c r="H147" s="1094"/>
      <c r="I147" s="1094"/>
      <c r="J147" s="1094"/>
      <c r="K147" s="895"/>
    </row>
    <row r="148" spans="1:11" s="122" customFormat="1" ht="14.25" hidden="1" customHeight="1" outlineLevel="1">
      <c r="A148" s="886"/>
      <c r="B148" s="1089">
        <v>46</v>
      </c>
      <c r="C148" s="1092"/>
      <c r="D148" s="1097"/>
      <c r="E148" s="1092"/>
      <c r="F148" s="115"/>
      <c r="G148" s="116"/>
      <c r="H148" s="1092"/>
      <c r="I148" s="1113"/>
      <c r="J148" s="1113"/>
      <c r="K148" s="895"/>
    </row>
    <row r="149" spans="1:11" s="122" customFormat="1" ht="14.25" hidden="1" customHeight="1" outlineLevel="1">
      <c r="A149" s="886"/>
      <c r="B149" s="1090"/>
      <c r="C149" s="1093"/>
      <c r="D149" s="1093"/>
      <c r="E149" s="1093"/>
      <c r="F149" s="117"/>
      <c r="G149" s="118"/>
      <c r="H149" s="1093"/>
      <c r="I149" s="1093"/>
      <c r="J149" s="1093"/>
      <c r="K149" s="895"/>
    </row>
    <row r="150" spans="1:11" s="122" customFormat="1" ht="15" hidden="1" customHeight="1" outlineLevel="1" thickBot="1">
      <c r="A150" s="886"/>
      <c r="B150" s="1091"/>
      <c r="C150" s="1094"/>
      <c r="D150" s="1094"/>
      <c r="E150" s="1094"/>
      <c r="F150" s="119"/>
      <c r="G150" s="120"/>
      <c r="H150" s="1094"/>
      <c r="I150" s="1094"/>
      <c r="J150" s="1094"/>
      <c r="K150" s="895"/>
    </row>
    <row r="151" spans="1:11" s="122" customFormat="1" ht="14.25" hidden="1" customHeight="1" outlineLevel="1">
      <c r="A151" s="886"/>
      <c r="B151" s="1089">
        <v>47</v>
      </c>
      <c r="C151" s="1092"/>
      <c r="D151" s="1097"/>
      <c r="E151" s="1092"/>
      <c r="F151" s="115"/>
      <c r="G151" s="116"/>
      <c r="H151" s="1092"/>
      <c r="I151" s="1113"/>
      <c r="J151" s="1113"/>
      <c r="K151" s="895"/>
    </row>
    <row r="152" spans="1:11" s="122" customFormat="1" ht="14.25" hidden="1" customHeight="1" outlineLevel="1">
      <c r="A152" s="886"/>
      <c r="B152" s="1090"/>
      <c r="C152" s="1093"/>
      <c r="D152" s="1093"/>
      <c r="E152" s="1093"/>
      <c r="F152" s="117"/>
      <c r="G152" s="118"/>
      <c r="H152" s="1093"/>
      <c r="I152" s="1093"/>
      <c r="J152" s="1093"/>
      <c r="K152" s="895"/>
    </row>
    <row r="153" spans="1:11" s="122" customFormat="1" ht="15" hidden="1" customHeight="1" outlineLevel="1" thickBot="1">
      <c r="A153" s="886"/>
      <c r="B153" s="1091"/>
      <c r="C153" s="1094"/>
      <c r="D153" s="1094"/>
      <c r="E153" s="1094"/>
      <c r="F153" s="119"/>
      <c r="G153" s="120"/>
      <c r="H153" s="1094"/>
      <c r="I153" s="1094"/>
      <c r="J153" s="1094"/>
      <c r="K153" s="895"/>
    </row>
    <row r="154" spans="1:11" s="122" customFormat="1" ht="14.25" hidden="1" customHeight="1" outlineLevel="1">
      <c r="A154" s="886"/>
      <c r="B154" s="1089">
        <v>48</v>
      </c>
      <c r="C154" s="1092"/>
      <c r="D154" s="1097"/>
      <c r="E154" s="1092"/>
      <c r="F154" s="115"/>
      <c r="G154" s="116"/>
      <c r="H154" s="1092"/>
      <c r="I154" s="1113"/>
      <c r="J154" s="1113"/>
      <c r="K154" s="895"/>
    </row>
    <row r="155" spans="1:11" s="122" customFormat="1" ht="14.25" hidden="1" customHeight="1" outlineLevel="1">
      <c r="A155" s="886"/>
      <c r="B155" s="1090"/>
      <c r="C155" s="1093"/>
      <c r="D155" s="1093"/>
      <c r="E155" s="1093"/>
      <c r="F155" s="117"/>
      <c r="G155" s="118"/>
      <c r="H155" s="1093"/>
      <c r="I155" s="1093"/>
      <c r="J155" s="1093"/>
      <c r="K155" s="895"/>
    </row>
    <row r="156" spans="1:11" s="122" customFormat="1" ht="15" hidden="1" customHeight="1" outlineLevel="1" thickBot="1">
      <c r="A156" s="886"/>
      <c r="B156" s="1091"/>
      <c r="C156" s="1094"/>
      <c r="D156" s="1094"/>
      <c r="E156" s="1094"/>
      <c r="F156" s="119"/>
      <c r="G156" s="120"/>
      <c r="H156" s="1094"/>
      <c r="I156" s="1094"/>
      <c r="J156" s="1094"/>
      <c r="K156" s="895"/>
    </row>
    <row r="157" spans="1:11" s="122" customFormat="1" ht="14.25" hidden="1" customHeight="1" outlineLevel="1">
      <c r="A157" s="886"/>
      <c r="B157" s="1089">
        <v>49</v>
      </c>
      <c r="C157" s="1092"/>
      <c r="D157" s="1097"/>
      <c r="E157" s="1092"/>
      <c r="F157" s="115"/>
      <c r="G157" s="116"/>
      <c r="H157" s="1092"/>
      <c r="I157" s="1113"/>
      <c r="J157" s="1113"/>
      <c r="K157" s="895"/>
    </row>
    <row r="158" spans="1:11" s="122" customFormat="1" ht="14.25" hidden="1" customHeight="1" outlineLevel="1">
      <c r="A158" s="886"/>
      <c r="B158" s="1090"/>
      <c r="C158" s="1093"/>
      <c r="D158" s="1093"/>
      <c r="E158" s="1093"/>
      <c r="F158" s="117"/>
      <c r="G158" s="118"/>
      <c r="H158" s="1093"/>
      <c r="I158" s="1093"/>
      <c r="J158" s="1093"/>
      <c r="K158" s="895"/>
    </row>
    <row r="159" spans="1:11" s="122" customFormat="1" ht="15" hidden="1" customHeight="1" outlineLevel="1" thickBot="1">
      <c r="A159" s="886"/>
      <c r="B159" s="1091"/>
      <c r="C159" s="1094"/>
      <c r="D159" s="1094"/>
      <c r="E159" s="1094"/>
      <c r="F159" s="119"/>
      <c r="G159" s="120"/>
      <c r="H159" s="1094"/>
      <c r="I159" s="1094"/>
      <c r="J159" s="1094"/>
      <c r="K159" s="895"/>
    </row>
    <row r="160" spans="1:11" s="122" customFormat="1" ht="14.25" hidden="1" customHeight="1" outlineLevel="1">
      <c r="A160" s="886"/>
      <c r="B160" s="1089">
        <v>50</v>
      </c>
      <c r="C160" s="1092"/>
      <c r="D160" s="1097"/>
      <c r="E160" s="1092"/>
      <c r="F160" s="115"/>
      <c r="G160" s="116"/>
      <c r="H160" s="1092"/>
      <c r="I160" s="1113"/>
      <c r="J160" s="1113"/>
      <c r="K160" s="895"/>
    </row>
    <row r="161" spans="1:11" s="122" customFormat="1" ht="14.25" hidden="1" customHeight="1" outlineLevel="1">
      <c r="A161" s="886"/>
      <c r="B161" s="1090"/>
      <c r="C161" s="1093"/>
      <c r="D161" s="1093"/>
      <c r="E161" s="1093"/>
      <c r="F161" s="117"/>
      <c r="G161" s="118"/>
      <c r="H161" s="1093"/>
      <c r="I161" s="1093"/>
      <c r="J161" s="1093"/>
      <c r="K161" s="895"/>
    </row>
    <row r="162" spans="1:11" s="122" customFormat="1" ht="15" hidden="1" customHeight="1" outlineLevel="1" thickBot="1">
      <c r="A162" s="886"/>
      <c r="B162" s="1091"/>
      <c r="C162" s="1094"/>
      <c r="D162" s="1094"/>
      <c r="E162" s="1094"/>
      <c r="F162" s="119"/>
      <c r="G162" s="120"/>
      <c r="H162" s="1094"/>
      <c r="I162" s="1094"/>
      <c r="J162" s="1094"/>
      <c r="K162" s="895"/>
    </row>
    <row r="163" spans="1:11" s="122" customFormat="1" ht="14.25" hidden="1" customHeight="1" outlineLevel="1">
      <c r="A163" s="886"/>
      <c r="B163" s="1089">
        <v>51</v>
      </c>
      <c r="C163" s="1092"/>
      <c r="D163" s="1097"/>
      <c r="E163" s="1092"/>
      <c r="F163" s="115"/>
      <c r="G163" s="116"/>
      <c r="H163" s="1092"/>
      <c r="I163" s="1113"/>
      <c r="J163" s="1113"/>
      <c r="K163" s="895"/>
    </row>
    <row r="164" spans="1:11" s="122" customFormat="1" ht="14.25" hidden="1" customHeight="1" outlineLevel="1">
      <c r="A164" s="886"/>
      <c r="B164" s="1090"/>
      <c r="C164" s="1093"/>
      <c r="D164" s="1093"/>
      <c r="E164" s="1093"/>
      <c r="F164" s="117"/>
      <c r="G164" s="118"/>
      <c r="H164" s="1093"/>
      <c r="I164" s="1093"/>
      <c r="J164" s="1093"/>
      <c r="K164" s="895"/>
    </row>
    <row r="165" spans="1:11" s="122" customFormat="1" ht="15" hidden="1" customHeight="1" outlineLevel="1" thickBot="1">
      <c r="A165" s="886"/>
      <c r="B165" s="1091"/>
      <c r="C165" s="1094"/>
      <c r="D165" s="1094"/>
      <c r="E165" s="1094"/>
      <c r="F165" s="119"/>
      <c r="G165" s="120"/>
      <c r="H165" s="1094"/>
      <c r="I165" s="1094"/>
      <c r="J165" s="1094"/>
      <c r="K165" s="895"/>
    </row>
    <row r="166" spans="1:11" s="122" customFormat="1" ht="14.25" hidden="1" customHeight="1" outlineLevel="1">
      <c r="A166" s="886"/>
      <c r="B166" s="1089">
        <v>52</v>
      </c>
      <c r="C166" s="1092"/>
      <c r="D166" s="1097"/>
      <c r="E166" s="1092"/>
      <c r="F166" s="115"/>
      <c r="G166" s="116"/>
      <c r="H166" s="1092"/>
      <c r="I166" s="1113"/>
      <c r="J166" s="1113"/>
      <c r="K166" s="895"/>
    </row>
    <row r="167" spans="1:11" s="122" customFormat="1" ht="14.25" hidden="1" customHeight="1" outlineLevel="1">
      <c r="A167" s="886"/>
      <c r="B167" s="1090"/>
      <c r="C167" s="1093"/>
      <c r="D167" s="1093"/>
      <c r="E167" s="1093"/>
      <c r="F167" s="117"/>
      <c r="G167" s="118"/>
      <c r="H167" s="1093"/>
      <c r="I167" s="1093"/>
      <c r="J167" s="1093"/>
      <c r="K167" s="895"/>
    </row>
    <row r="168" spans="1:11" s="122" customFormat="1" ht="15" hidden="1" customHeight="1" outlineLevel="1" thickBot="1">
      <c r="A168" s="886"/>
      <c r="B168" s="1091"/>
      <c r="C168" s="1094"/>
      <c r="D168" s="1094"/>
      <c r="E168" s="1094"/>
      <c r="F168" s="119"/>
      <c r="G168" s="120"/>
      <c r="H168" s="1094"/>
      <c r="I168" s="1094"/>
      <c r="J168" s="1094"/>
      <c r="K168" s="895"/>
    </row>
    <row r="169" spans="1:11" s="122" customFormat="1" ht="14.25" hidden="1" customHeight="1" outlineLevel="1">
      <c r="A169" s="886"/>
      <c r="B169" s="1089">
        <v>53</v>
      </c>
      <c r="C169" s="1092"/>
      <c r="D169" s="1097"/>
      <c r="E169" s="1092"/>
      <c r="F169" s="115"/>
      <c r="G169" s="116"/>
      <c r="H169" s="1092"/>
      <c r="I169" s="1113"/>
      <c r="J169" s="1113"/>
      <c r="K169" s="895"/>
    </row>
    <row r="170" spans="1:11" s="122" customFormat="1" ht="14.25" hidden="1" customHeight="1" outlineLevel="1">
      <c r="A170" s="886"/>
      <c r="B170" s="1090"/>
      <c r="C170" s="1093"/>
      <c r="D170" s="1093"/>
      <c r="E170" s="1093"/>
      <c r="F170" s="117"/>
      <c r="G170" s="118"/>
      <c r="H170" s="1093"/>
      <c r="I170" s="1093"/>
      <c r="J170" s="1093"/>
      <c r="K170" s="895"/>
    </row>
    <row r="171" spans="1:11" s="122" customFormat="1" ht="15" hidden="1" customHeight="1" outlineLevel="1" thickBot="1">
      <c r="A171" s="886"/>
      <c r="B171" s="1091"/>
      <c r="C171" s="1094"/>
      <c r="D171" s="1094"/>
      <c r="E171" s="1094"/>
      <c r="F171" s="119"/>
      <c r="G171" s="120"/>
      <c r="H171" s="1094"/>
      <c r="I171" s="1094"/>
      <c r="J171" s="1094"/>
      <c r="K171" s="895"/>
    </row>
    <row r="172" spans="1:11" s="122" customFormat="1" ht="14.25" hidden="1" customHeight="1" outlineLevel="1">
      <c r="A172" s="886"/>
      <c r="B172" s="1089">
        <v>54</v>
      </c>
      <c r="C172" s="1092"/>
      <c r="D172" s="1097"/>
      <c r="E172" s="1092"/>
      <c r="F172" s="115"/>
      <c r="G172" s="116"/>
      <c r="H172" s="1092"/>
      <c r="I172" s="1113"/>
      <c r="J172" s="1113"/>
      <c r="K172" s="895"/>
    </row>
    <row r="173" spans="1:11" s="122" customFormat="1" ht="14.25" hidden="1" customHeight="1" outlineLevel="1">
      <c r="A173" s="886"/>
      <c r="B173" s="1090"/>
      <c r="C173" s="1093"/>
      <c r="D173" s="1093"/>
      <c r="E173" s="1093"/>
      <c r="F173" s="117"/>
      <c r="G173" s="118"/>
      <c r="H173" s="1093"/>
      <c r="I173" s="1093"/>
      <c r="J173" s="1093"/>
      <c r="K173" s="895"/>
    </row>
    <row r="174" spans="1:11" s="122" customFormat="1" ht="15" hidden="1" customHeight="1" outlineLevel="1" thickBot="1">
      <c r="A174" s="886"/>
      <c r="B174" s="1091"/>
      <c r="C174" s="1094"/>
      <c r="D174" s="1094"/>
      <c r="E174" s="1094"/>
      <c r="F174" s="119"/>
      <c r="G174" s="120"/>
      <c r="H174" s="1094"/>
      <c r="I174" s="1094"/>
      <c r="J174" s="1094"/>
      <c r="K174" s="895"/>
    </row>
    <row r="175" spans="1:11" s="122" customFormat="1" ht="14.25" hidden="1" customHeight="1" outlineLevel="1">
      <c r="A175" s="886"/>
      <c r="B175" s="1089">
        <v>55</v>
      </c>
      <c r="C175" s="1092"/>
      <c r="D175" s="1097"/>
      <c r="E175" s="1092"/>
      <c r="F175" s="115"/>
      <c r="G175" s="116"/>
      <c r="H175" s="1092"/>
      <c r="I175" s="1113"/>
      <c r="J175" s="1113"/>
      <c r="K175" s="895"/>
    </row>
    <row r="176" spans="1:11" s="122" customFormat="1" ht="14.25" hidden="1" customHeight="1" outlineLevel="1">
      <c r="A176" s="886"/>
      <c r="B176" s="1090"/>
      <c r="C176" s="1093"/>
      <c r="D176" s="1093"/>
      <c r="E176" s="1093"/>
      <c r="F176" s="117"/>
      <c r="G176" s="118"/>
      <c r="H176" s="1093"/>
      <c r="I176" s="1093"/>
      <c r="J176" s="1093"/>
      <c r="K176" s="895"/>
    </row>
    <row r="177" spans="1:11" s="122" customFormat="1" ht="15" hidden="1" customHeight="1" outlineLevel="1" thickBot="1">
      <c r="A177" s="886"/>
      <c r="B177" s="1091"/>
      <c r="C177" s="1094"/>
      <c r="D177" s="1094"/>
      <c r="E177" s="1094"/>
      <c r="F177" s="119"/>
      <c r="G177" s="120"/>
      <c r="H177" s="1094"/>
      <c r="I177" s="1094"/>
      <c r="J177" s="1094"/>
      <c r="K177" s="895"/>
    </row>
    <row r="178" spans="1:11" s="122" customFormat="1" ht="14.25" hidden="1" customHeight="1" outlineLevel="1">
      <c r="A178" s="886"/>
      <c r="B178" s="1089">
        <v>56</v>
      </c>
      <c r="C178" s="1092"/>
      <c r="D178" s="1097"/>
      <c r="E178" s="1092"/>
      <c r="F178" s="115"/>
      <c r="G178" s="116"/>
      <c r="H178" s="1092"/>
      <c r="I178" s="1113"/>
      <c r="J178" s="1113"/>
      <c r="K178" s="895"/>
    </row>
    <row r="179" spans="1:11" s="122" customFormat="1" ht="14.25" hidden="1" customHeight="1" outlineLevel="1">
      <c r="A179" s="886"/>
      <c r="B179" s="1090"/>
      <c r="C179" s="1093"/>
      <c r="D179" s="1093"/>
      <c r="E179" s="1093"/>
      <c r="F179" s="117"/>
      <c r="G179" s="118"/>
      <c r="H179" s="1093"/>
      <c r="I179" s="1093"/>
      <c r="J179" s="1093"/>
      <c r="K179" s="895"/>
    </row>
    <row r="180" spans="1:11" s="122" customFormat="1" ht="15" hidden="1" customHeight="1" outlineLevel="1" thickBot="1">
      <c r="A180" s="886"/>
      <c r="B180" s="1091"/>
      <c r="C180" s="1094"/>
      <c r="D180" s="1094"/>
      <c r="E180" s="1094"/>
      <c r="F180" s="119"/>
      <c r="G180" s="120"/>
      <c r="H180" s="1094"/>
      <c r="I180" s="1094"/>
      <c r="J180" s="1094"/>
      <c r="K180" s="895"/>
    </row>
    <row r="181" spans="1:11" s="122" customFormat="1" ht="14.25" hidden="1" customHeight="1" outlineLevel="1">
      <c r="A181" s="886"/>
      <c r="B181" s="1089">
        <v>57</v>
      </c>
      <c r="C181" s="1092"/>
      <c r="D181" s="1097"/>
      <c r="E181" s="1092"/>
      <c r="F181" s="115"/>
      <c r="G181" s="116"/>
      <c r="H181" s="1092"/>
      <c r="I181" s="1113"/>
      <c r="J181" s="1113"/>
      <c r="K181" s="895"/>
    </row>
    <row r="182" spans="1:11" s="122" customFormat="1" ht="14.25" hidden="1" customHeight="1" outlineLevel="1">
      <c r="A182" s="886"/>
      <c r="B182" s="1090"/>
      <c r="C182" s="1093"/>
      <c r="D182" s="1093"/>
      <c r="E182" s="1093"/>
      <c r="F182" s="117"/>
      <c r="G182" s="118"/>
      <c r="H182" s="1093"/>
      <c r="I182" s="1093"/>
      <c r="J182" s="1093"/>
      <c r="K182" s="895"/>
    </row>
    <row r="183" spans="1:11" s="122" customFormat="1" ht="15" hidden="1" customHeight="1" outlineLevel="1" thickBot="1">
      <c r="A183" s="886"/>
      <c r="B183" s="1091"/>
      <c r="C183" s="1094"/>
      <c r="D183" s="1094"/>
      <c r="E183" s="1094"/>
      <c r="F183" s="119"/>
      <c r="G183" s="120"/>
      <c r="H183" s="1094"/>
      <c r="I183" s="1094"/>
      <c r="J183" s="1094"/>
      <c r="K183" s="895"/>
    </row>
    <row r="184" spans="1:11" s="122" customFormat="1" ht="14.25" hidden="1" customHeight="1" outlineLevel="1">
      <c r="A184" s="886"/>
      <c r="B184" s="1089">
        <v>58</v>
      </c>
      <c r="C184" s="1092"/>
      <c r="D184" s="1097"/>
      <c r="E184" s="1092"/>
      <c r="F184" s="115"/>
      <c r="G184" s="116"/>
      <c r="H184" s="1092"/>
      <c r="I184" s="1113"/>
      <c r="J184" s="1113"/>
      <c r="K184" s="895"/>
    </row>
    <row r="185" spans="1:11" s="122" customFormat="1" ht="14.25" hidden="1" customHeight="1" outlineLevel="1">
      <c r="A185" s="886"/>
      <c r="B185" s="1090"/>
      <c r="C185" s="1093"/>
      <c r="D185" s="1093"/>
      <c r="E185" s="1093"/>
      <c r="F185" s="117"/>
      <c r="G185" s="118"/>
      <c r="H185" s="1093"/>
      <c r="I185" s="1093"/>
      <c r="J185" s="1093"/>
      <c r="K185" s="895"/>
    </row>
    <row r="186" spans="1:11" s="122" customFormat="1" ht="15" hidden="1" customHeight="1" outlineLevel="1" thickBot="1">
      <c r="A186" s="886"/>
      <c r="B186" s="1091"/>
      <c r="C186" s="1094"/>
      <c r="D186" s="1094"/>
      <c r="E186" s="1094"/>
      <c r="F186" s="119"/>
      <c r="G186" s="120"/>
      <c r="H186" s="1094"/>
      <c r="I186" s="1094"/>
      <c r="J186" s="1094"/>
      <c r="K186" s="895"/>
    </row>
    <row r="187" spans="1:11" s="122" customFormat="1" ht="14.25" hidden="1" customHeight="1" outlineLevel="1">
      <c r="A187" s="886"/>
      <c r="B187" s="1089">
        <v>59</v>
      </c>
      <c r="C187" s="1092"/>
      <c r="D187" s="1097"/>
      <c r="E187" s="1092"/>
      <c r="F187" s="115"/>
      <c r="G187" s="116"/>
      <c r="H187" s="1092"/>
      <c r="I187" s="1113"/>
      <c r="J187" s="1113"/>
      <c r="K187" s="895"/>
    </row>
    <row r="188" spans="1:11" s="122" customFormat="1" ht="14.25" hidden="1" customHeight="1" outlineLevel="1">
      <c r="A188" s="886"/>
      <c r="B188" s="1090"/>
      <c r="C188" s="1093"/>
      <c r="D188" s="1093"/>
      <c r="E188" s="1093"/>
      <c r="F188" s="117"/>
      <c r="G188" s="118"/>
      <c r="H188" s="1093"/>
      <c r="I188" s="1093"/>
      <c r="J188" s="1093"/>
      <c r="K188" s="895"/>
    </row>
    <row r="189" spans="1:11" s="122" customFormat="1" ht="15" hidden="1" customHeight="1" outlineLevel="1" thickBot="1">
      <c r="A189" s="886"/>
      <c r="B189" s="1091"/>
      <c r="C189" s="1094"/>
      <c r="D189" s="1094"/>
      <c r="E189" s="1094"/>
      <c r="F189" s="119"/>
      <c r="G189" s="120"/>
      <c r="H189" s="1094"/>
      <c r="I189" s="1094"/>
      <c r="J189" s="1094"/>
      <c r="K189" s="895"/>
    </row>
    <row r="190" spans="1:11" s="122" customFormat="1" ht="14.25" hidden="1" customHeight="1" outlineLevel="1">
      <c r="A190" s="886"/>
      <c r="B190" s="1089">
        <v>60</v>
      </c>
      <c r="C190" s="1092"/>
      <c r="D190" s="1097"/>
      <c r="E190" s="1092"/>
      <c r="F190" s="115"/>
      <c r="G190" s="116"/>
      <c r="H190" s="1092"/>
      <c r="I190" s="1113"/>
      <c r="J190" s="1113"/>
      <c r="K190" s="895"/>
    </row>
    <row r="191" spans="1:11" s="122" customFormat="1" ht="14.25" hidden="1" customHeight="1" outlineLevel="1">
      <c r="A191" s="886"/>
      <c r="B191" s="1090"/>
      <c r="C191" s="1093"/>
      <c r="D191" s="1093"/>
      <c r="E191" s="1093"/>
      <c r="F191" s="117"/>
      <c r="G191" s="118"/>
      <c r="H191" s="1093"/>
      <c r="I191" s="1093"/>
      <c r="J191" s="1093"/>
      <c r="K191" s="895"/>
    </row>
    <row r="192" spans="1:11" s="122" customFormat="1" ht="15" hidden="1" customHeight="1" outlineLevel="1" thickBot="1">
      <c r="A192" s="886"/>
      <c r="B192" s="1091"/>
      <c r="C192" s="1094"/>
      <c r="D192" s="1094"/>
      <c r="E192" s="1094"/>
      <c r="F192" s="119"/>
      <c r="G192" s="120"/>
      <c r="H192" s="1094"/>
      <c r="I192" s="1094"/>
      <c r="J192" s="1094"/>
      <c r="K192" s="895"/>
    </row>
    <row r="193" spans="1:11" s="122" customFormat="1" ht="14.25" hidden="1" customHeight="1" outlineLevel="1">
      <c r="A193" s="886"/>
      <c r="B193" s="1089">
        <v>61</v>
      </c>
      <c r="C193" s="1092"/>
      <c r="D193" s="1097"/>
      <c r="E193" s="1092"/>
      <c r="F193" s="115"/>
      <c r="G193" s="116"/>
      <c r="H193" s="1092"/>
      <c r="I193" s="1113"/>
      <c r="J193" s="1113"/>
      <c r="K193" s="895"/>
    </row>
    <row r="194" spans="1:11" s="122" customFormat="1" ht="14.25" hidden="1" customHeight="1" outlineLevel="1">
      <c r="A194" s="886"/>
      <c r="B194" s="1090"/>
      <c r="C194" s="1093"/>
      <c r="D194" s="1093"/>
      <c r="E194" s="1093"/>
      <c r="F194" s="117"/>
      <c r="G194" s="118"/>
      <c r="H194" s="1093"/>
      <c r="I194" s="1093"/>
      <c r="J194" s="1093"/>
      <c r="K194" s="895"/>
    </row>
    <row r="195" spans="1:11" s="122" customFormat="1" ht="15" hidden="1" customHeight="1" outlineLevel="1" thickBot="1">
      <c r="A195" s="886"/>
      <c r="B195" s="1091"/>
      <c r="C195" s="1094"/>
      <c r="D195" s="1094"/>
      <c r="E195" s="1094"/>
      <c r="F195" s="119"/>
      <c r="G195" s="120"/>
      <c r="H195" s="1094"/>
      <c r="I195" s="1094"/>
      <c r="J195" s="1094"/>
      <c r="K195" s="895"/>
    </row>
    <row r="196" spans="1:11" s="122" customFormat="1" ht="14.25" hidden="1" customHeight="1" outlineLevel="1">
      <c r="A196" s="886"/>
      <c r="B196" s="1089">
        <v>62</v>
      </c>
      <c r="C196" s="1092"/>
      <c r="D196" s="1097"/>
      <c r="E196" s="1092"/>
      <c r="F196" s="115"/>
      <c r="G196" s="116"/>
      <c r="H196" s="1092"/>
      <c r="I196" s="1113"/>
      <c r="J196" s="1113"/>
      <c r="K196" s="895"/>
    </row>
    <row r="197" spans="1:11" s="122" customFormat="1" ht="14.25" hidden="1" customHeight="1" outlineLevel="1">
      <c r="A197" s="886"/>
      <c r="B197" s="1090"/>
      <c r="C197" s="1093"/>
      <c r="D197" s="1093"/>
      <c r="E197" s="1093"/>
      <c r="F197" s="117"/>
      <c r="G197" s="118"/>
      <c r="H197" s="1093"/>
      <c r="I197" s="1093"/>
      <c r="J197" s="1093"/>
      <c r="K197" s="895"/>
    </row>
    <row r="198" spans="1:11" s="122" customFormat="1" ht="15" hidden="1" customHeight="1" outlineLevel="1" thickBot="1">
      <c r="A198" s="886"/>
      <c r="B198" s="1091"/>
      <c r="C198" s="1094"/>
      <c r="D198" s="1094"/>
      <c r="E198" s="1094"/>
      <c r="F198" s="119"/>
      <c r="G198" s="120"/>
      <c r="H198" s="1094"/>
      <c r="I198" s="1094"/>
      <c r="J198" s="1094"/>
      <c r="K198" s="895"/>
    </row>
    <row r="199" spans="1:11" s="122" customFormat="1" ht="14.25" hidden="1" customHeight="1" outlineLevel="1">
      <c r="A199" s="886"/>
      <c r="B199" s="1089">
        <v>63</v>
      </c>
      <c r="C199" s="1092"/>
      <c r="D199" s="1097"/>
      <c r="E199" s="1092"/>
      <c r="F199" s="115"/>
      <c r="G199" s="116"/>
      <c r="H199" s="1092"/>
      <c r="I199" s="1113"/>
      <c r="J199" s="1113"/>
      <c r="K199" s="895"/>
    </row>
    <row r="200" spans="1:11" s="122" customFormat="1" ht="14.25" hidden="1" customHeight="1" outlineLevel="1">
      <c r="A200" s="886"/>
      <c r="B200" s="1090"/>
      <c r="C200" s="1093"/>
      <c r="D200" s="1093"/>
      <c r="E200" s="1093"/>
      <c r="F200" s="117"/>
      <c r="G200" s="118"/>
      <c r="H200" s="1093"/>
      <c r="I200" s="1093"/>
      <c r="J200" s="1093"/>
      <c r="K200" s="895"/>
    </row>
    <row r="201" spans="1:11" s="122" customFormat="1" ht="15" hidden="1" customHeight="1" outlineLevel="1" thickBot="1">
      <c r="A201" s="886"/>
      <c r="B201" s="1091"/>
      <c r="C201" s="1094"/>
      <c r="D201" s="1094"/>
      <c r="E201" s="1094"/>
      <c r="F201" s="119"/>
      <c r="G201" s="120"/>
      <c r="H201" s="1094"/>
      <c r="I201" s="1094"/>
      <c r="J201" s="1094"/>
      <c r="K201" s="895"/>
    </row>
    <row r="202" spans="1:11" s="122" customFormat="1" ht="14.25" hidden="1" customHeight="1" outlineLevel="1">
      <c r="A202" s="886"/>
      <c r="B202" s="1089">
        <v>64</v>
      </c>
      <c r="C202" s="1092"/>
      <c r="D202" s="1097"/>
      <c r="E202" s="1092"/>
      <c r="F202" s="115"/>
      <c r="G202" s="116"/>
      <c r="H202" s="1092"/>
      <c r="I202" s="1113"/>
      <c r="J202" s="1113"/>
      <c r="K202" s="895"/>
    </row>
    <row r="203" spans="1:11" s="122" customFormat="1" ht="14.25" hidden="1" customHeight="1" outlineLevel="1">
      <c r="A203" s="886"/>
      <c r="B203" s="1090"/>
      <c r="C203" s="1093"/>
      <c r="D203" s="1093"/>
      <c r="E203" s="1093"/>
      <c r="F203" s="117"/>
      <c r="G203" s="118"/>
      <c r="H203" s="1093"/>
      <c r="I203" s="1093"/>
      <c r="J203" s="1093"/>
      <c r="K203" s="895"/>
    </row>
    <row r="204" spans="1:11" s="122" customFormat="1" ht="15" hidden="1" customHeight="1" outlineLevel="1" thickBot="1">
      <c r="A204" s="886"/>
      <c r="B204" s="1091"/>
      <c r="C204" s="1094"/>
      <c r="D204" s="1094"/>
      <c r="E204" s="1094"/>
      <c r="F204" s="119"/>
      <c r="G204" s="120"/>
      <c r="H204" s="1094"/>
      <c r="I204" s="1094"/>
      <c r="J204" s="1094"/>
      <c r="K204" s="895"/>
    </row>
    <row r="205" spans="1:11" s="122" customFormat="1" ht="14.25" hidden="1" customHeight="1" outlineLevel="1">
      <c r="A205" s="886"/>
      <c r="B205" s="1089">
        <v>65</v>
      </c>
      <c r="C205" s="1092"/>
      <c r="D205" s="1097"/>
      <c r="E205" s="1092"/>
      <c r="F205" s="115"/>
      <c r="G205" s="116"/>
      <c r="H205" s="1092"/>
      <c r="I205" s="1113"/>
      <c r="J205" s="1113"/>
      <c r="K205" s="895"/>
    </row>
    <row r="206" spans="1:11" s="122" customFormat="1" ht="14.25" hidden="1" customHeight="1" outlineLevel="1">
      <c r="A206" s="886"/>
      <c r="B206" s="1090"/>
      <c r="C206" s="1093"/>
      <c r="D206" s="1093"/>
      <c r="E206" s="1093"/>
      <c r="F206" s="117"/>
      <c r="G206" s="118"/>
      <c r="H206" s="1093"/>
      <c r="I206" s="1093"/>
      <c r="J206" s="1093"/>
      <c r="K206" s="895"/>
    </row>
    <row r="207" spans="1:11" s="122" customFormat="1" ht="15" hidden="1" customHeight="1" outlineLevel="1" thickBot="1">
      <c r="A207" s="886"/>
      <c r="B207" s="1091"/>
      <c r="C207" s="1094"/>
      <c r="D207" s="1094"/>
      <c r="E207" s="1094"/>
      <c r="F207" s="119"/>
      <c r="G207" s="120"/>
      <c r="H207" s="1094"/>
      <c r="I207" s="1094"/>
      <c r="J207" s="1094"/>
      <c r="K207" s="895"/>
    </row>
    <row r="208" spans="1:11" s="122" customFormat="1" ht="14.25" hidden="1" customHeight="1" outlineLevel="1">
      <c r="A208" s="886"/>
      <c r="B208" s="1089">
        <v>66</v>
      </c>
      <c r="C208" s="1092"/>
      <c r="D208" s="1097"/>
      <c r="E208" s="1092"/>
      <c r="F208" s="115"/>
      <c r="G208" s="116"/>
      <c r="H208" s="1092"/>
      <c r="I208" s="1113"/>
      <c r="J208" s="1113"/>
      <c r="K208" s="895"/>
    </row>
    <row r="209" spans="1:11" s="122" customFormat="1" ht="14.25" hidden="1" customHeight="1" outlineLevel="1">
      <c r="A209" s="886"/>
      <c r="B209" s="1090"/>
      <c r="C209" s="1093"/>
      <c r="D209" s="1093"/>
      <c r="E209" s="1093"/>
      <c r="F209" s="117"/>
      <c r="G209" s="118"/>
      <c r="H209" s="1093"/>
      <c r="I209" s="1093"/>
      <c r="J209" s="1093"/>
      <c r="K209" s="895"/>
    </row>
    <row r="210" spans="1:11" s="122" customFormat="1" ht="15" hidden="1" customHeight="1" outlineLevel="1" thickBot="1">
      <c r="A210" s="886"/>
      <c r="B210" s="1091"/>
      <c r="C210" s="1094"/>
      <c r="D210" s="1094"/>
      <c r="E210" s="1094"/>
      <c r="F210" s="119"/>
      <c r="G210" s="120"/>
      <c r="H210" s="1094"/>
      <c r="I210" s="1094"/>
      <c r="J210" s="1094"/>
      <c r="K210" s="895"/>
    </row>
    <row r="211" spans="1:11" s="122" customFormat="1" ht="14.25" hidden="1" customHeight="1" outlineLevel="1">
      <c r="A211" s="886"/>
      <c r="B211" s="1089">
        <v>67</v>
      </c>
      <c r="C211" s="1092"/>
      <c r="D211" s="1097"/>
      <c r="E211" s="1092"/>
      <c r="F211" s="115"/>
      <c r="G211" s="116"/>
      <c r="H211" s="1092"/>
      <c r="I211" s="1113"/>
      <c r="J211" s="1113"/>
      <c r="K211" s="895"/>
    </row>
    <row r="212" spans="1:11" s="122" customFormat="1" ht="14.25" hidden="1" customHeight="1" outlineLevel="1">
      <c r="A212" s="886"/>
      <c r="B212" s="1090"/>
      <c r="C212" s="1093"/>
      <c r="D212" s="1093"/>
      <c r="E212" s="1093"/>
      <c r="F212" s="117"/>
      <c r="G212" s="118"/>
      <c r="H212" s="1093"/>
      <c r="I212" s="1093"/>
      <c r="J212" s="1093"/>
      <c r="K212" s="895"/>
    </row>
    <row r="213" spans="1:11" s="122" customFormat="1" ht="15" hidden="1" customHeight="1" outlineLevel="1" thickBot="1">
      <c r="A213" s="886"/>
      <c r="B213" s="1091"/>
      <c r="C213" s="1094"/>
      <c r="D213" s="1094"/>
      <c r="E213" s="1094"/>
      <c r="F213" s="119"/>
      <c r="G213" s="120"/>
      <c r="H213" s="1094"/>
      <c r="I213" s="1094"/>
      <c r="J213" s="1094"/>
      <c r="K213" s="895"/>
    </row>
    <row r="214" spans="1:11" s="122" customFormat="1" ht="14.25" hidden="1" customHeight="1" outlineLevel="1">
      <c r="A214" s="886"/>
      <c r="B214" s="1089">
        <v>68</v>
      </c>
      <c r="C214" s="1092"/>
      <c r="D214" s="1097"/>
      <c r="E214" s="1092"/>
      <c r="F214" s="115"/>
      <c r="G214" s="116"/>
      <c r="H214" s="1092"/>
      <c r="I214" s="1113"/>
      <c r="J214" s="1113"/>
      <c r="K214" s="895"/>
    </row>
    <row r="215" spans="1:11" s="122" customFormat="1" ht="14.25" hidden="1" customHeight="1" outlineLevel="1">
      <c r="A215" s="886"/>
      <c r="B215" s="1090"/>
      <c r="C215" s="1093"/>
      <c r="D215" s="1093"/>
      <c r="E215" s="1093"/>
      <c r="F215" s="117"/>
      <c r="G215" s="118"/>
      <c r="H215" s="1093"/>
      <c r="I215" s="1093"/>
      <c r="J215" s="1093"/>
      <c r="K215" s="895"/>
    </row>
    <row r="216" spans="1:11" s="122" customFormat="1" ht="15" hidden="1" customHeight="1" outlineLevel="1" thickBot="1">
      <c r="A216" s="886"/>
      <c r="B216" s="1091"/>
      <c r="C216" s="1094"/>
      <c r="D216" s="1094"/>
      <c r="E216" s="1094"/>
      <c r="F216" s="119"/>
      <c r="G216" s="120"/>
      <c r="H216" s="1094"/>
      <c r="I216" s="1094"/>
      <c r="J216" s="1094"/>
      <c r="K216" s="895"/>
    </row>
    <row r="217" spans="1:11" s="122" customFormat="1" ht="14.25" hidden="1" customHeight="1" outlineLevel="1">
      <c r="A217" s="886"/>
      <c r="B217" s="1089">
        <v>69</v>
      </c>
      <c r="C217" s="1092"/>
      <c r="D217" s="1097"/>
      <c r="E217" s="1092"/>
      <c r="F217" s="115"/>
      <c r="G217" s="116"/>
      <c r="H217" s="1092"/>
      <c r="I217" s="1113"/>
      <c r="J217" s="1113"/>
      <c r="K217" s="895"/>
    </row>
    <row r="218" spans="1:11" s="122" customFormat="1" ht="14.25" hidden="1" customHeight="1" outlineLevel="1">
      <c r="A218" s="886"/>
      <c r="B218" s="1090"/>
      <c r="C218" s="1093"/>
      <c r="D218" s="1093"/>
      <c r="E218" s="1093"/>
      <c r="F218" s="117"/>
      <c r="G218" s="118"/>
      <c r="H218" s="1093"/>
      <c r="I218" s="1093"/>
      <c r="J218" s="1093"/>
      <c r="K218" s="895"/>
    </row>
    <row r="219" spans="1:11" s="122" customFormat="1" ht="15" hidden="1" customHeight="1" outlineLevel="1" thickBot="1">
      <c r="A219" s="886"/>
      <c r="B219" s="1091"/>
      <c r="C219" s="1094"/>
      <c r="D219" s="1094"/>
      <c r="E219" s="1094"/>
      <c r="F219" s="119"/>
      <c r="G219" s="120"/>
      <c r="H219" s="1094"/>
      <c r="I219" s="1094"/>
      <c r="J219" s="1094"/>
      <c r="K219" s="895"/>
    </row>
    <row r="220" spans="1:11" s="122" customFormat="1" ht="14.25" hidden="1" customHeight="1" outlineLevel="1">
      <c r="A220" s="886"/>
      <c r="B220" s="1089">
        <v>70</v>
      </c>
      <c r="C220" s="1092"/>
      <c r="D220" s="1097"/>
      <c r="E220" s="1092"/>
      <c r="F220" s="115"/>
      <c r="G220" s="116"/>
      <c r="H220" s="1092"/>
      <c r="I220" s="1113"/>
      <c r="J220" s="1113"/>
      <c r="K220" s="895"/>
    </row>
    <row r="221" spans="1:11" s="122" customFormat="1" ht="14.25" hidden="1" customHeight="1" outlineLevel="1">
      <c r="A221" s="886"/>
      <c r="B221" s="1090"/>
      <c r="C221" s="1093"/>
      <c r="D221" s="1093"/>
      <c r="E221" s="1093"/>
      <c r="F221" s="117"/>
      <c r="G221" s="118"/>
      <c r="H221" s="1093"/>
      <c r="I221" s="1093"/>
      <c r="J221" s="1093"/>
      <c r="K221" s="895"/>
    </row>
    <row r="222" spans="1:11" s="122" customFormat="1" ht="15" hidden="1" customHeight="1" outlineLevel="1" thickBot="1">
      <c r="A222" s="886"/>
      <c r="B222" s="1091"/>
      <c r="C222" s="1094"/>
      <c r="D222" s="1094"/>
      <c r="E222" s="1094"/>
      <c r="F222" s="119"/>
      <c r="G222" s="120"/>
      <c r="H222" s="1094"/>
      <c r="I222" s="1094"/>
      <c r="J222" s="1094"/>
      <c r="K222" s="895"/>
    </row>
    <row r="223" spans="1:11" s="122" customFormat="1" ht="14.25" hidden="1" customHeight="1" outlineLevel="1">
      <c r="A223" s="886"/>
      <c r="B223" s="1089">
        <v>71</v>
      </c>
      <c r="C223" s="1092"/>
      <c r="D223" s="1097"/>
      <c r="E223" s="1092"/>
      <c r="F223" s="115"/>
      <c r="G223" s="116"/>
      <c r="H223" s="1092"/>
      <c r="I223" s="1113"/>
      <c r="J223" s="1113"/>
      <c r="K223" s="895"/>
    </row>
    <row r="224" spans="1:11" s="122" customFormat="1" ht="14.25" hidden="1" customHeight="1" outlineLevel="1">
      <c r="A224" s="886"/>
      <c r="B224" s="1090"/>
      <c r="C224" s="1093"/>
      <c r="D224" s="1093"/>
      <c r="E224" s="1093"/>
      <c r="F224" s="117"/>
      <c r="G224" s="118"/>
      <c r="H224" s="1093"/>
      <c r="I224" s="1093"/>
      <c r="J224" s="1093"/>
      <c r="K224" s="895"/>
    </row>
    <row r="225" spans="1:11" s="122" customFormat="1" ht="15" hidden="1" customHeight="1" outlineLevel="1" thickBot="1">
      <c r="A225" s="886"/>
      <c r="B225" s="1091"/>
      <c r="C225" s="1094"/>
      <c r="D225" s="1094"/>
      <c r="E225" s="1094"/>
      <c r="F225" s="119"/>
      <c r="G225" s="120"/>
      <c r="H225" s="1094"/>
      <c r="I225" s="1094"/>
      <c r="J225" s="1094"/>
      <c r="K225" s="895"/>
    </row>
    <row r="226" spans="1:11" s="122" customFormat="1" ht="14.25" hidden="1" customHeight="1" outlineLevel="1">
      <c r="A226" s="886"/>
      <c r="B226" s="1089">
        <v>72</v>
      </c>
      <c r="C226" s="1092"/>
      <c r="D226" s="1097"/>
      <c r="E226" s="1092"/>
      <c r="F226" s="115"/>
      <c r="G226" s="116"/>
      <c r="H226" s="1092"/>
      <c r="I226" s="1113"/>
      <c r="J226" s="1113"/>
      <c r="K226" s="895"/>
    </row>
    <row r="227" spans="1:11" s="122" customFormat="1" ht="14.25" hidden="1" customHeight="1" outlineLevel="1">
      <c r="A227" s="886"/>
      <c r="B227" s="1090"/>
      <c r="C227" s="1093"/>
      <c r="D227" s="1093"/>
      <c r="E227" s="1093"/>
      <c r="F227" s="117"/>
      <c r="G227" s="118"/>
      <c r="H227" s="1093"/>
      <c r="I227" s="1093"/>
      <c r="J227" s="1093"/>
      <c r="K227" s="895"/>
    </row>
    <row r="228" spans="1:11" s="122" customFormat="1" ht="15" hidden="1" customHeight="1" outlineLevel="1" thickBot="1">
      <c r="A228" s="886"/>
      <c r="B228" s="1091"/>
      <c r="C228" s="1094"/>
      <c r="D228" s="1094"/>
      <c r="E228" s="1094"/>
      <c r="F228" s="119"/>
      <c r="G228" s="120"/>
      <c r="H228" s="1094"/>
      <c r="I228" s="1094"/>
      <c r="J228" s="1094"/>
      <c r="K228" s="895"/>
    </row>
    <row r="229" spans="1:11" s="122" customFormat="1" ht="14.25" hidden="1" customHeight="1" outlineLevel="1">
      <c r="A229" s="886"/>
      <c r="B229" s="1089">
        <v>73</v>
      </c>
      <c r="C229" s="1092"/>
      <c r="D229" s="1097"/>
      <c r="E229" s="1092"/>
      <c r="F229" s="115"/>
      <c r="G229" s="116"/>
      <c r="H229" s="1092"/>
      <c r="I229" s="1113"/>
      <c r="J229" s="1113"/>
      <c r="K229" s="895"/>
    </row>
    <row r="230" spans="1:11" s="122" customFormat="1" ht="14.25" hidden="1" customHeight="1" outlineLevel="1">
      <c r="A230" s="886"/>
      <c r="B230" s="1090"/>
      <c r="C230" s="1093"/>
      <c r="D230" s="1093"/>
      <c r="E230" s="1093"/>
      <c r="F230" s="117"/>
      <c r="G230" s="118"/>
      <c r="H230" s="1093"/>
      <c r="I230" s="1093"/>
      <c r="J230" s="1093"/>
      <c r="K230" s="895"/>
    </row>
    <row r="231" spans="1:11" s="122" customFormat="1" ht="15" hidden="1" customHeight="1" outlineLevel="1" thickBot="1">
      <c r="A231" s="886"/>
      <c r="B231" s="1091"/>
      <c r="C231" s="1094"/>
      <c r="D231" s="1094"/>
      <c r="E231" s="1094"/>
      <c r="F231" s="119"/>
      <c r="G231" s="120"/>
      <c r="H231" s="1094"/>
      <c r="I231" s="1094"/>
      <c r="J231" s="1094"/>
      <c r="K231" s="895"/>
    </row>
    <row r="232" spans="1:11" s="122" customFormat="1" ht="14.25" hidden="1" customHeight="1" outlineLevel="1">
      <c r="A232" s="886"/>
      <c r="B232" s="1089">
        <v>74</v>
      </c>
      <c r="C232" s="1092"/>
      <c r="D232" s="1097"/>
      <c r="E232" s="1092"/>
      <c r="F232" s="115"/>
      <c r="G232" s="116"/>
      <c r="H232" s="1092"/>
      <c r="I232" s="1113"/>
      <c r="J232" s="1113"/>
      <c r="K232" s="895"/>
    </row>
    <row r="233" spans="1:11" s="122" customFormat="1" ht="14.25" hidden="1" customHeight="1" outlineLevel="1">
      <c r="A233" s="886"/>
      <c r="B233" s="1090"/>
      <c r="C233" s="1093"/>
      <c r="D233" s="1093"/>
      <c r="E233" s="1093"/>
      <c r="F233" s="117"/>
      <c r="G233" s="118"/>
      <c r="H233" s="1093"/>
      <c r="I233" s="1093"/>
      <c r="J233" s="1093"/>
      <c r="K233" s="895"/>
    </row>
    <row r="234" spans="1:11" s="122" customFormat="1" ht="15" hidden="1" customHeight="1" outlineLevel="1" thickBot="1">
      <c r="A234" s="886"/>
      <c r="B234" s="1091"/>
      <c r="C234" s="1094"/>
      <c r="D234" s="1094"/>
      <c r="E234" s="1094"/>
      <c r="F234" s="119"/>
      <c r="G234" s="120"/>
      <c r="H234" s="1094"/>
      <c r="I234" s="1094"/>
      <c r="J234" s="1094"/>
      <c r="K234" s="895"/>
    </row>
    <row r="235" spans="1:11" s="122" customFormat="1" ht="14.25" hidden="1" customHeight="1" outlineLevel="1">
      <c r="A235" s="886"/>
      <c r="B235" s="1089">
        <v>75</v>
      </c>
      <c r="C235" s="1092"/>
      <c r="D235" s="1097"/>
      <c r="E235" s="1092"/>
      <c r="F235" s="115"/>
      <c r="G235" s="116"/>
      <c r="H235" s="1092"/>
      <c r="I235" s="1113"/>
      <c r="J235" s="1113"/>
      <c r="K235" s="895"/>
    </row>
    <row r="236" spans="1:11" s="122" customFormat="1" ht="14.25" hidden="1" customHeight="1" outlineLevel="1">
      <c r="A236" s="886"/>
      <c r="B236" s="1090"/>
      <c r="C236" s="1093"/>
      <c r="D236" s="1093"/>
      <c r="E236" s="1093"/>
      <c r="F236" s="117"/>
      <c r="G236" s="118"/>
      <c r="H236" s="1093"/>
      <c r="I236" s="1093"/>
      <c r="J236" s="1093"/>
      <c r="K236" s="895"/>
    </row>
    <row r="237" spans="1:11" s="122" customFormat="1" ht="15" hidden="1" customHeight="1" outlineLevel="1" thickBot="1">
      <c r="A237" s="886"/>
      <c r="B237" s="1091"/>
      <c r="C237" s="1094"/>
      <c r="D237" s="1094"/>
      <c r="E237" s="1094"/>
      <c r="F237" s="119"/>
      <c r="G237" s="120"/>
      <c r="H237" s="1094"/>
      <c r="I237" s="1094"/>
      <c r="J237" s="1094"/>
      <c r="K237" s="895"/>
    </row>
    <row r="238" spans="1:11" s="122" customFormat="1" ht="14.25" hidden="1" customHeight="1" outlineLevel="1">
      <c r="A238" s="886"/>
      <c r="B238" s="1089">
        <v>76</v>
      </c>
      <c r="C238" s="1092"/>
      <c r="D238" s="1097"/>
      <c r="E238" s="1092"/>
      <c r="F238" s="115"/>
      <c r="G238" s="116"/>
      <c r="H238" s="1092"/>
      <c r="I238" s="1113"/>
      <c r="J238" s="1113"/>
      <c r="K238" s="895"/>
    </row>
    <row r="239" spans="1:11" s="122" customFormat="1" ht="14.25" hidden="1" customHeight="1" outlineLevel="1">
      <c r="A239" s="886"/>
      <c r="B239" s="1090"/>
      <c r="C239" s="1093"/>
      <c r="D239" s="1093"/>
      <c r="E239" s="1093"/>
      <c r="F239" s="117"/>
      <c r="G239" s="118"/>
      <c r="H239" s="1093"/>
      <c r="I239" s="1093"/>
      <c r="J239" s="1093"/>
      <c r="K239" s="895"/>
    </row>
    <row r="240" spans="1:11" s="122" customFormat="1" ht="15" hidden="1" customHeight="1" outlineLevel="1" thickBot="1">
      <c r="A240" s="886"/>
      <c r="B240" s="1091"/>
      <c r="C240" s="1094"/>
      <c r="D240" s="1094"/>
      <c r="E240" s="1094"/>
      <c r="F240" s="119"/>
      <c r="G240" s="120"/>
      <c r="H240" s="1094"/>
      <c r="I240" s="1094"/>
      <c r="J240" s="1094"/>
      <c r="K240" s="895"/>
    </row>
    <row r="241" spans="1:11" s="122" customFormat="1" ht="14.25" hidden="1" customHeight="1" outlineLevel="1">
      <c r="A241" s="886"/>
      <c r="B241" s="1089">
        <v>77</v>
      </c>
      <c r="C241" s="1092"/>
      <c r="D241" s="1097"/>
      <c r="E241" s="1092"/>
      <c r="F241" s="115"/>
      <c r="G241" s="116"/>
      <c r="H241" s="1092"/>
      <c r="I241" s="1113"/>
      <c r="J241" s="1113"/>
      <c r="K241" s="895"/>
    </row>
    <row r="242" spans="1:11" s="122" customFormat="1" ht="14.25" hidden="1" customHeight="1" outlineLevel="1">
      <c r="A242" s="886"/>
      <c r="B242" s="1090"/>
      <c r="C242" s="1093"/>
      <c r="D242" s="1093"/>
      <c r="E242" s="1093"/>
      <c r="F242" s="117"/>
      <c r="G242" s="118"/>
      <c r="H242" s="1093"/>
      <c r="I242" s="1093"/>
      <c r="J242" s="1093"/>
      <c r="K242" s="895"/>
    </row>
    <row r="243" spans="1:11" s="122" customFormat="1" ht="15" hidden="1" customHeight="1" outlineLevel="1" thickBot="1">
      <c r="A243" s="886"/>
      <c r="B243" s="1091"/>
      <c r="C243" s="1094"/>
      <c r="D243" s="1094"/>
      <c r="E243" s="1094"/>
      <c r="F243" s="119"/>
      <c r="G243" s="120"/>
      <c r="H243" s="1094"/>
      <c r="I243" s="1094"/>
      <c r="J243" s="1094"/>
      <c r="K243" s="895"/>
    </row>
    <row r="244" spans="1:11" s="122" customFormat="1" ht="14.25" hidden="1" customHeight="1" outlineLevel="1">
      <c r="A244" s="886"/>
      <c r="B244" s="1089">
        <v>78</v>
      </c>
      <c r="C244" s="1092"/>
      <c r="D244" s="1097"/>
      <c r="E244" s="1092"/>
      <c r="F244" s="115"/>
      <c r="G244" s="116"/>
      <c r="H244" s="1092"/>
      <c r="I244" s="1113"/>
      <c r="J244" s="1113"/>
      <c r="K244" s="895"/>
    </row>
    <row r="245" spans="1:11" s="122" customFormat="1" ht="14.25" hidden="1" customHeight="1" outlineLevel="1">
      <c r="A245" s="886"/>
      <c r="B245" s="1090"/>
      <c r="C245" s="1093"/>
      <c r="D245" s="1093"/>
      <c r="E245" s="1093"/>
      <c r="F245" s="117"/>
      <c r="G245" s="118"/>
      <c r="H245" s="1093"/>
      <c r="I245" s="1093"/>
      <c r="J245" s="1093"/>
      <c r="K245" s="895"/>
    </row>
    <row r="246" spans="1:11" s="122" customFormat="1" ht="15" hidden="1" customHeight="1" outlineLevel="1" thickBot="1">
      <c r="A246" s="886"/>
      <c r="B246" s="1091"/>
      <c r="C246" s="1094"/>
      <c r="D246" s="1094"/>
      <c r="E246" s="1094"/>
      <c r="F246" s="119"/>
      <c r="G246" s="120"/>
      <c r="H246" s="1094"/>
      <c r="I246" s="1094"/>
      <c r="J246" s="1094"/>
      <c r="K246" s="895"/>
    </row>
    <row r="247" spans="1:11" s="122" customFormat="1" ht="14.25" hidden="1" customHeight="1" outlineLevel="1">
      <c r="A247" s="886"/>
      <c r="B247" s="1089">
        <v>79</v>
      </c>
      <c r="C247" s="1092"/>
      <c r="D247" s="1097"/>
      <c r="E247" s="1092"/>
      <c r="F247" s="115"/>
      <c r="G247" s="116"/>
      <c r="H247" s="1092"/>
      <c r="I247" s="1113"/>
      <c r="J247" s="1113"/>
      <c r="K247" s="895"/>
    </row>
    <row r="248" spans="1:11" s="122" customFormat="1" ht="14.25" hidden="1" customHeight="1" outlineLevel="1">
      <c r="A248" s="886"/>
      <c r="B248" s="1090"/>
      <c r="C248" s="1093"/>
      <c r="D248" s="1093"/>
      <c r="E248" s="1093"/>
      <c r="F248" s="117"/>
      <c r="G248" s="118"/>
      <c r="H248" s="1093"/>
      <c r="I248" s="1093"/>
      <c r="J248" s="1093"/>
      <c r="K248" s="895"/>
    </row>
    <row r="249" spans="1:11" s="122" customFormat="1" ht="15" hidden="1" customHeight="1" outlineLevel="1" thickBot="1">
      <c r="A249" s="886"/>
      <c r="B249" s="1091"/>
      <c r="C249" s="1094"/>
      <c r="D249" s="1094"/>
      <c r="E249" s="1094"/>
      <c r="F249" s="119"/>
      <c r="G249" s="120"/>
      <c r="H249" s="1094"/>
      <c r="I249" s="1094"/>
      <c r="J249" s="1094"/>
      <c r="K249" s="895"/>
    </row>
    <row r="250" spans="1:11" s="122" customFormat="1" ht="14.25" hidden="1" customHeight="1" outlineLevel="1">
      <c r="A250" s="886"/>
      <c r="B250" s="1089">
        <v>80</v>
      </c>
      <c r="C250" s="1092"/>
      <c r="D250" s="1097"/>
      <c r="E250" s="1092"/>
      <c r="F250" s="115"/>
      <c r="G250" s="116"/>
      <c r="H250" s="1092"/>
      <c r="I250" s="1113"/>
      <c r="J250" s="1113"/>
      <c r="K250" s="895"/>
    </row>
    <row r="251" spans="1:11" s="122" customFormat="1" ht="14.25" hidden="1" customHeight="1" outlineLevel="1">
      <c r="A251" s="886"/>
      <c r="B251" s="1090"/>
      <c r="C251" s="1093"/>
      <c r="D251" s="1093"/>
      <c r="E251" s="1093"/>
      <c r="F251" s="117"/>
      <c r="G251" s="118"/>
      <c r="H251" s="1093"/>
      <c r="I251" s="1093"/>
      <c r="J251" s="1093"/>
      <c r="K251" s="895"/>
    </row>
    <row r="252" spans="1:11" s="122" customFormat="1" ht="15" hidden="1" customHeight="1" outlineLevel="1" thickBot="1">
      <c r="A252" s="886"/>
      <c r="B252" s="1091"/>
      <c r="C252" s="1094"/>
      <c r="D252" s="1094"/>
      <c r="E252" s="1094"/>
      <c r="F252" s="119"/>
      <c r="G252" s="120"/>
      <c r="H252" s="1094"/>
      <c r="I252" s="1094"/>
      <c r="J252" s="1094"/>
      <c r="K252" s="895"/>
    </row>
    <row r="253" spans="1:11" s="122" customFormat="1" ht="14.25" hidden="1" customHeight="1" outlineLevel="1">
      <c r="A253" s="886"/>
      <c r="B253" s="1089">
        <v>81</v>
      </c>
      <c r="C253" s="1092"/>
      <c r="D253" s="1097"/>
      <c r="E253" s="1092"/>
      <c r="F253" s="115"/>
      <c r="G253" s="116"/>
      <c r="H253" s="1092"/>
      <c r="I253" s="1113"/>
      <c r="J253" s="1113"/>
      <c r="K253" s="895"/>
    </row>
    <row r="254" spans="1:11" s="122" customFormat="1" ht="14.25" hidden="1" customHeight="1" outlineLevel="1">
      <c r="A254" s="886"/>
      <c r="B254" s="1090"/>
      <c r="C254" s="1093"/>
      <c r="D254" s="1093"/>
      <c r="E254" s="1093"/>
      <c r="F254" s="117"/>
      <c r="G254" s="118"/>
      <c r="H254" s="1093"/>
      <c r="I254" s="1093"/>
      <c r="J254" s="1093"/>
      <c r="K254" s="895"/>
    </row>
    <row r="255" spans="1:11" s="122" customFormat="1" ht="15" hidden="1" customHeight="1" outlineLevel="1" thickBot="1">
      <c r="A255" s="886"/>
      <c r="B255" s="1091"/>
      <c r="C255" s="1094"/>
      <c r="D255" s="1094"/>
      <c r="E255" s="1094"/>
      <c r="F255" s="119"/>
      <c r="G255" s="120"/>
      <c r="H255" s="1094"/>
      <c r="I255" s="1094"/>
      <c r="J255" s="1094"/>
      <c r="K255" s="895"/>
    </row>
    <row r="256" spans="1:11" s="122" customFormat="1" ht="14.25" hidden="1" customHeight="1" outlineLevel="1">
      <c r="A256" s="886"/>
      <c r="B256" s="1089">
        <v>82</v>
      </c>
      <c r="C256" s="1092"/>
      <c r="D256" s="1097"/>
      <c r="E256" s="1092"/>
      <c r="F256" s="115"/>
      <c r="G256" s="116"/>
      <c r="H256" s="1092"/>
      <c r="I256" s="1113"/>
      <c r="J256" s="1113"/>
      <c r="K256" s="895"/>
    </row>
    <row r="257" spans="1:11" s="122" customFormat="1" ht="14.25" hidden="1" customHeight="1" outlineLevel="1">
      <c r="A257" s="886"/>
      <c r="B257" s="1090"/>
      <c r="C257" s="1093"/>
      <c r="D257" s="1093"/>
      <c r="E257" s="1093"/>
      <c r="F257" s="117"/>
      <c r="G257" s="118"/>
      <c r="H257" s="1093"/>
      <c r="I257" s="1093"/>
      <c r="J257" s="1093"/>
      <c r="K257" s="895"/>
    </row>
    <row r="258" spans="1:11" s="122" customFormat="1" ht="15" hidden="1" customHeight="1" outlineLevel="1" thickBot="1">
      <c r="A258" s="886"/>
      <c r="B258" s="1091"/>
      <c r="C258" s="1094"/>
      <c r="D258" s="1094"/>
      <c r="E258" s="1094"/>
      <c r="F258" s="119"/>
      <c r="G258" s="120"/>
      <c r="H258" s="1094"/>
      <c r="I258" s="1094"/>
      <c r="J258" s="1094"/>
      <c r="K258" s="895"/>
    </row>
    <row r="259" spans="1:11" s="122" customFormat="1" ht="14.25" hidden="1" customHeight="1" outlineLevel="1">
      <c r="A259" s="886"/>
      <c r="B259" s="1089">
        <v>83</v>
      </c>
      <c r="C259" s="1092"/>
      <c r="D259" s="1097"/>
      <c r="E259" s="1092"/>
      <c r="F259" s="115"/>
      <c r="G259" s="116"/>
      <c r="H259" s="1092"/>
      <c r="I259" s="1113"/>
      <c r="J259" s="1113"/>
      <c r="K259" s="895"/>
    </row>
    <row r="260" spans="1:11" s="122" customFormat="1" ht="14.25" hidden="1" customHeight="1" outlineLevel="1">
      <c r="A260" s="886"/>
      <c r="B260" s="1090"/>
      <c r="C260" s="1093"/>
      <c r="D260" s="1093"/>
      <c r="E260" s="1093"/>
      <c r="F260" s="117"/>
      <c r="G260" s="118"/>
      <c r="H260" s="1093"/>
      <c r="I260" s="1093"/>
      <c r="J260" s="1093"/>
      <c r="K260" s="895"/>
    </row>
    <row r="261" spans="1:11" s="122" customFormat="1" ht="15" hidden="1" customHeight="1" outlineLevel="1" thickBot="1">
      <c r="A261" s="886"/>
      <c r="B261" s="1091"/>
      <c r="C261" s="1094"/>
      <c r="D261" s="1094"/>
      <c r="E261" s="1094"/>
      <c r="F261" s="119"/>
      <c r="G261" s="120"/>
      <c r="H261" s="1094"/>
      <c r="I261" s="1094"/>
      <c r="J261" s="1094"/>
      <c r="K261" s="895"/>
    </row>
    <row r="262" spans="1:11" s="122" customFormat="1" ht="14.25" hidden="1" customHeight="1" outlineLevel="1">
      <c r="A262" s="886"/>
      <c r="B262" s="1089">
        <v>84</v>
      </c>
      <c r="C262" s="1092"/>
      <c r="D262" s="1097"/>
      <c r="E262" s="1092"/>
      <c r="F262" s="115"/>
      <c r="G262" s="116"/>
      <c r="H262" s="1092"/>
      <c r="I262" s="1113"/>
      <c r="J262" s="1113"/>
      <c r="K262" s="895"/>
    </row>
    <row r="263" spans="1:11" s="122" customFormat="1" ht="14.25" hidden="1" customHeight="1" outlineLevel="1">
      <c r="A263" s="886"/>
      <c r="B263" s="1090"/>
      <c r="C263" s="1093"/>
      <c r="D263" s="1093"/>
      <c r="E263" s="1093"/>
      <c r="F263" s="117"/>
      <c r="G263" s="118"/>
      <c r="H263" s="1093"/>
      <c r="I263" s="1093"/>
      <c r="J263" s="1093"/>
      <c r="K263" s="895"/>
    </row>
    <row r="264" spans="1:11" s="122" customFormat="1" ht="15" hidden="1" customHeight="1" outlineLevel="1" thickBot="1">
      <c r="A264" s="886"/>
      <c r="B264" s="1091"/>
      <c r="C264" s="1094"/>
      <c r="D264" s="1094"/>
      <c r="E264" s="1094"/>
      <c r="F264" s="119"/>
      <c r="G264" s="120"/>
      <c r="H264" s="1094"/>
      <c r="I264" s="1094"/>
      <c r="J264" s="1094"/>
      <c r="K264" s="895"/>
    </row>
    <row r="265" spans="1:11" s="122" customFormat="1" ht="14.25" hidden="1" customHeight="1" outlineLevel="1">
      <c r="A265" s="886"/>
      <c r="B265" s="1089">
        <v>85</v>
      </c>
      <c r="C265" s="1092"/>
      <c r="D265" s="1097"/>
      <c r="E265" s="1092"/>
      <c r="F265" s="115"/>
      <c r="G265" s="116"/>
      <c r="H265" s="1092"/>
      <c r="I265" s="1113"/>
      <c r="J265" s="1113"/>
      <c r="K265" s="895"/>
    </row>
    <row r="266" spans="1:11" s="122" customFormat="1" ht="14.25" hidden="1" customHeight="1" outlineLevel="1">
      <c r="A266" s="886"/>
      <c r="B266" s="1090"/>
      <c r="C266" s="1093"/>
      <c r="D266" s="1093"/>
      <c r="E266" s="1093"/>
      <c r="F266" s="117"/>
      <c r="G266" s="118"/>
      <c r="H266" s="1093"/>
      <c r="I266" s="1093"/>
      <c r="J266" s="1093"/>
      <c r="K266" s="895"/>
    </row>
    <row r="267" spans="1:11" s="122" customFormat="1" ht="15" hidden="1" customHeight="1" outlineLevel="1" thickBot="1">
      <c r="A267" s="886"/>
      <c r="B267" s="1091"/>
      <c r="C267" s="1094"/>
      <c r="D267" s="1094"/>
      <c r="E267" s="1094"/>
      <c r="F267" s="119"/>
      <c r="G267" s="120"/>
      <c r="H267" s="1094"/>
      <c r="I267" s="1094"/>
      <c r="J267" s="1094"/>
      <c r="K267" s="895"/>
    </row>
    <row r="268" spans="1:11" s="122" customFormat="1" ht="14.25" hidden="1" customHeight="1" outlineLevel="1">
      <c r="A268" s="886"/>
      <c r="B268" s="1089">
        <v>86</v>
      </c>
      <c r="C268" s="1092"/>
      <c r="D268" s="1097"/>
      <c r="E268" s="1092"/>
      <c r="F268" s="115"/>
      <c r="G268" s="116"/>
      <c r="H268" s="1092"/>
      <c r="I268" s="1113"/>
      <c r="J268" s="1113"/>
      <c r="K268" s="895"/>
    </row>
    <row r="269" spans="1:11" s="122" customFormat="1" ht="14.25" hidden="1" customHeight="1" outlineLevel="1">
      <c r="A269" s="886"/>
      <c r="B269" s="1090"/>
      <c r="C269" s="1093"/>
      <c r="D269" s="1093"/>
      <c r="E269" s="1093"/>
      <c r="F269" s="117"/>
      <c r="G269" s="118"/>
      <c r="H269" s="1093"/>
      <c r="I269" s="1093"/>
      <c r="J269" s="1093"/>
      <c r="K269" s="895"/>
    </row>
    <row r="270" spans="1:11" s="122" customFormat="1" ht="15" hidden="1" customHeight="1" outlineLevel="1" thickBot="1">
      <c r="A270" s="886"/>
      <c r="B270" s="1091"/>
      <c r="C270" s="1094"/>
      <c r="D270" s="1094"/>
      <c r="E270" s="1094"/>
      <c r="F270" s="119"/>
      <c r="G270" s="120"/>
      <c r="H270" s="1094"/>
      <c r="I270" s="1094"/>
      <c r="J270" s="1094"/>
      <c r="K270" s="895"/>
    </row>
    <row r="271" spans="1:11" s="122" customFormat="1" ht="14.25" hidden="1" customHeight="1" outlineLevel="1">
      <c r="A271" s="886"/>
      <c r="B271" s="1089">
        <v>87</v>
      </c>
      <c r="C271" s="1092"/>
      <c r="D271" s="1097"/>
      <c r="E271" s="1092"/>
      <c r="F271" s="115"/>
      <c r="G271" s="116"/>
      <c r="H271" s="1092"/>
      <c r="I271" s="1113"/>
      <c r="J271" s="1113"/>
      <c r="K271" s="895"/>
    </row>
    <row r="272" spans="1:11" s="122" customFormat="1" ht="14.25" hidden="1" customHeight="1" outlineLevel="1">
      <c r="A272" s="886"/>
      <c r="B272" s="1090"/>
      <c r="C272" s="1093"/>
      <c r="D272" s="1093"/>
      <c r="E272" s="1093"/>
      <c r="F272" s="117"/>
      <c r="G272" s="118"/>
      <c r="H272" s="1093"/>
      <c r="I272" s="1093"/>
      <c r="J272" s="1093"/>
      <c r="K272" s="895"/>
    </row>
    <row r="273" spans="1:11" s="122" customFormat="1" ht="15" hidden="1" customHeight="1" outlineLevel="1" thickBot="1">
      <c r="A273" s="886"/>
      <c r="B273" s="1091"/>
      <c r="C273" s="1094"/>
      <c r="D273" s="1094"/>
      <c r="E273" s="1094"/>
      <c r="F273" s="119"/>
      <c r="G273" s="120"/>
      <c r="H273" s="1094"/>
      <c r="I273" s="1094"/>
      <c r="J273" s="1094"/>
      <c r="K273" s="895"/>
    </row>
    <row r="274" spans="1:11" s="122" customFormat="1" ht="14.25" hidden="1" customHeight="1" outlineLevel="1">
      <c r="A274" s="886"/>
      <c r="B274" s="1089">
        <v>88</v>
      </c>
      <c r="C274" s="1092"/>
      <c r="D274" s="1097"/>
      <c r="E274" s="1092"/>
      <c r="F274" s="115"/>
      <c r="G274" s="116"/>
      <c r="H274" s="1092"/>
      <c r="I274" s="1113"/>
      <c r="J274" s="1113"/>
      <c r="K274" s="895"/>
    </row>
    <row r="275" spans="1:11" s="122" customFormat="1" ht="14.25" hidden="1" customHeight="1" outlineLevel="1">
      <c r="A275" s="886"/>
      <c r="B275" s="1090"/>
      <c r="C275" s="1093"/>
      <c r="D275" s="1093"/>
      <c r="E275" s="1093"/>
      <c r="F275" s="117"/>
      <c r="G275" s="118"/>
      <c r="H275" s="1093"/>
      <c r="I275" s="1093"/>
      <c r="J275" s="1093"/>
      <c r="K275" s="895"/>
    </row>
    <row r="276" spans="1:11" s="122" customFormat="1" ht="15" hidden="1" customHeight="1" outlineLevel="1" thickBot="1">
      <c r="A276" s="886"/>
      <c r="B276" s="1091"/>
      <c r="C276" s="1094"/>
      <c r="D276" s="1094"/>
      <c r="E276" s="1094"/>
      <c r="F276" s="119"/>
      <c r="G276" s="120"/>
      <c r="H276" s="1094"/>
      <c r="I276" s="1094"/>
      <c r="J276" s="1094"/>
      <c r="K276" s="895"/>
    </row>
    <row r="277" spans="1:11" s="122" customFormat="1" ht="14.25" hidden="1" customHeight="1" outlineLevel="1">
      <c r="A277" s="886"/>
      <c r="B277" s="1089">
        <v>89</v>
      </c>
      <c r="C277" s="1092"/>
      <c r="D277" s="1097"/>
      <c r="E277" s="1092"/>
      <c r="F277" s="115"/>
      <c r="G277" s="116"/>
      <c r="H277" s="1092"/>
      <c r="I277" s="1113"/>
      <c r="J277" s="1113"/>
      <c r="K277" s="895"/>
    </row>
    <row r="278" spans="1:11" s="122" customFormat="1" ht="14.25" hidden="1" customHeight="1" outlineLevel="1">
      <c r="A278" s="886"/>
      <c r="B278" s="1090"/>
      <c r="C278" s="1093"/>
      <c r="D278" s="1093"/>
      <c r="E278" s="1093"/>
      <c r="F278" s="117"/>
      <c r="G278" s="118"/>
      <c r="H278" s="1093"/>
      <c r="I278" s="1093"/>
      <c r="J278" s="1093"/>
      <c r="K278" s="895"/>
    </row>
    <row r="279" spans="1:11" s="122" customFormat="1" ht="15" hidden="1" customHeight="1" outlineLevel="1" thickBot="1">
      <c r="A279" s="886"/>
      <c r="B279" s="1091"/>
      <c r="C279" s="1094"/>
      <c r="D279" s="1094"/>
      <c r="E279" s="1094"/>
      <c r="F279" s="119"/>
      <c r="G279" s="120"/>
      <c r="H279" s="1094"/>
      <c r="I279" s="1094"/>
      <c r="J279" s="1094"/>
      <c r="K279" s="895"/>
    </row>
    <row r="280" spans="1:11" s="122" customFormat="1" ht="14.25" hidden="1" customHeight="1" outlineLevel="1">
      <c r="A280" s="886"/>
      <c r="B280" s="1089">
        <v>90</v>
      </c>
      <c r="C280" s="1092"/>
      <c r="D280" s="1097"/>
      <c r="E280" s="1092"/>
      <c r="F280" s="115"/>
      <c r="G280" s="116"/>
      <c r="H280" s="1092"/>
      <c r="I280" s="1113"/>
      <c r="J280" s="1113"/>
      <c r="K280" s="895"/>
    </row>
    <row r="281" spans="1:11" s="122" customFormat="1" ht="14.25" hidden="1" customHeight="1" outlineLevel="1">
      <c r="A281" s="886"/>
      <c r="B281" s="1090"/>
      <c r="C281" s="1093"/>
      <c r="D281" s="1093"/>
      <c r="E281" s="1093"/>
      <c r="F281" s="117"/>
      <c r="G281" s="118"/>
      <c r="H281" s="1093"/>
      <c r="I281" s="1093"/>
      <c r="J281" s="1093"/>
      <c r="K281" s="895"/>
    </row>
    <row r="282" spans="1:11" s="122" customFormat="1" ht="15" hidden="1" customHeight="1" outlineLevel="1" thickBot="1">
      <c r="A282" s="886"/>
      <c r="B282" s="1091"/>
      <c r="C282" s="1094"/>
      <c r="D282" s="1094"/>
      <c r="E282" s="1094"/>
      <c r="F282" s="119"/>
      <c r="G282" s="120"/>
      <c r="H282" s="1094"/>
      <c r="I282" s="1094"/>
      <c r="J282" s="1094"/>
      <c r="K282" s="895"/>
    </row>
    <row r="283" spans="1:11" s="122" customFormat="1" ht="14.25" hidden="1" customHeight="1" outlineLevel="1">
      <c r="A283" s="886"/>
      <c r="B283" s="1089">
        <v>91</v>
      </c>
      <c r="C283" s="1092"/>
      <c r="D283" s="1097"/>
      <c r="E283" s="1092"/>
      <c r="F283" s="115"/>
      <c r="G283" s="116"/>
      <c r="H283" s="1092"/>
      <c r="I283" s="1113"/>
      <c r="J283" s="1113"/>
      <c r="K283" s="895"/>
    </row>
    <row r="284" spans="1:11" s="122" customFormat="1" ht="14.25" hidden="1" customHeight="1" outlineLevel="1">
      <c r="A284" s="886"/>
      <c r="B284" s="1090"/>
      <c r="C284" s="1093"/>
      <c r="D284" s="1093"/>
      <c r="E284" s="1093"/>
      <c r="F284" s="117"/>
      <c r="G284" s="118"/>
      <c r="H284" s="1093"/>
      <c r="I284" s="1093"/>
      <c r="J284" s="1093"/>
      <c r="K284" s="895"/>
    </row>
    <row r="285" spans="1:11" s="122" customFormat="1" ht="15" hidden="1" customHeight="1" outlineLevel="1" thickBot="1">
      <c r="A285" s="886"/>
      <c r="B285" s="1091"/>
      <c r="C285" s="1094"/>
      <c r="D285" s="1094"/>
      <c r="E285" s="1094"/>
      <c r="F285" s="119"/>
      <c r="G285" s="120"/>
      <c r="H285" s="1094"/>
      <c r="I285" s="1094"/>
      <c r="J285" s="1094"/>
      <c r="K285" s="895"/>
    </row>
    <row r="286" spans="1:11" s="122" customFormat="1" ht="14.25" hidden="1" customHeight="1" outlineLevel="1">
      <c r="A286" s="886"/>
      <c r="B286" s="1089">
        <v>92</v>
      </c>
      <c r="C286" s="1092"/>
      <c r="D286" s="1097"/>
      <c r="E286" s="1092"/>
      <c r="F286" s="115"/>
      <c r="G286" s="116"/>
      <c r="H286" s="1092"/>
      <c r="I286" s="1113"/>
      <c r="J286" s="1113"/>
      <c r="K286" s="895"/>
    </row>
    <row r="287" spans="1:11" s="122" customFormat="1" ht="14.25" hidden="1" customHeight="1" outlineLevel="1">
      <c r="A287" s="886"/>
      <c r="B287" s="1090"/>
      <c r="C287" s="1093"/>
      <c r="D287" s="1093"/>
      <c r="E287" s="1093"/>
      <c r="F287" s="117"/>
      <c r="G287" s="118"/>
      <c r="H287" s="1093"/>
      <c r="I287" s="1093"/>
      <c r="J287" s="1093"/>
      <c r="K287" s="895"/>
    </row>
    <row r="288" spans="1:11" s="122" customFormat="1" ht="15" hidden="1" customHeight="1" outlineLevel="1" thickBot="1">
      <c r="A288" s="886"/>
      <c r="B288" s="1091"/>
      <c r="C288" s="1094"/>
      <c r="D288" s="1094"/>
      <c r="E288" s="1094"/>
      <c r="F288" s="119"/>
      <c r="G288" s="120"/>
      <c r="H288" s="1094"/>
      <c r="I288" s="1094"/>
      <c r="J288" s="1094"/>
      <c r="K288" s="895"/>
    </row>
    <row r="289" spans="1:11" s="122" customFormat="1" ht="14.25" hidden="1" customHeight="1" outlineLevel="1">
      <c r="A289" s="886"/>
      <c r="B289" s="1089">
        <v>93</v>
      </c>
      <c r="C289" s="1092"/>
      <c r="D289" s="1097"/>
      <c r="E289" s="1092"/>
      <c r="F289" s="115"/>
      <c r="G289" s="116"/>
      <c r="H289" s="1092"/>
      <c r="I289" s="1113"/>
      <c r="J289" s="1113"/>
      <c r="K289" s="895"/>
    </row>
    <row r="290" spans="1:11" s="122" customFormat="1" ht="14.25" hidden="1" customHeight="1" outlineLevel="1">
      <c r="A290" s="886"/>
      <c r="B290" s="1090"/>
      <c r="C290" s="1093"/>
      <c r="D290" s="1093"/>
      <c r="E290" s="1093"/>
      <c r="F290" s="117"/>
      <c r="G290" s="118"/>
      <c r="H290" s="1093"/>
      <c r="I290" s="1093"/>
      <c r="J290" s="1093"/>
      <c r="K290" s="895"/>
    </row>
    <row r="291" spans="1:11" s="122" customFormat="1" ht="15" hidden="1" customHeight="1" outlineLevel="1" thickBot="1">
      <c r="A291" s="886"/>
      <c r="B291" s="1091"/>
      <c r="C291" s="1094"/>
      <c r="D291" s="1094"/>
      <c r="E291" s="1094"/>
      <c r="F291" s="119"/>
      <c r="G291" s="120"/>
      <c r="H291" s="1094"/>
      <c r="I291" s="1094"/>
      <c r="J291" s="1094"/>
      <c r="K291" s="895"/>
    </row>
    <row r="292" spans="1:11" s="122" customFormat="1" ht="14.25" hidden="1" customHeight="1" outlineLevel="1">
      <c r="A292" s="886"/>
      <c r="B292" s="1089">
        <v>94</v>
      </c>
      <c r="C292" s="1092"/>
      <c r="D292" s="1097"/>
      <c r="E292" s="1092"/>
      <c r="F292" s="115"/>
      <c r="G292" s="116"/>
      <c r="H292" s="1092"/>
      <c r="I292" s="1113"/>
      <c r="J292" s="1113"/>
      <c r="K292" s="895"/>
    </row>
    <row r="293" spans="1:11" s="122" customFormat="1" ht="14.25" hidden="1" customHeight="1" outlineLevel="1">
      <c r="A293" s="886"/>
      <c r="B293" s="1090"/>
      <c r="C293" s="1093"/>
      <c r="D293" s="1093"/>
      <c r="E293" s="1093"/>
      <c r="F293" s="117"/>
      <c r="G293" s="118"/>
      <c r="H293" s="1093"/>
      <c r="I293" s="1093"/>
      <c r="J293" s="1093"/>
      <c r="K293" s="895"/>
    </row>
    <row r="294" spans="1:11" s="122" customFormat="1" ht="15" hidden="1" customHeight="1" outlineLevel="1" thickBot="1">
      <c r="A294" s="886"/>
      <c r="B294" s="1091"/>
      <c r="C294" s="1094"/>
      <c r="D294" s="1094"/>
      <c r="E294" s="1094"/>
      <c r="F294" s="119"/>
      <c r="G294" s="120"/>
      <c r="H294" s="1094"/>
      <c r="I294" s="1094"/>
      <c r="J294" s="1094"/>
      <c r="K294" s="895"/>
    </row>
    <row r="295" spans="1:11" s="122" customFormat="1" ht="14.25" hidden="1" customHeight="1" outlineLevel="1">
      <c r="A295" s="886"/>
      <c r="B295" s="1089">
        <v>95</v>
      </c>
      <c r="C295" s="1092"/>
      <c r="D295" s="1097"/>
      <c r="E295" s="1092"/>
      <c r="F295" s="115"/>
      <c r="G295" s="116"/>
      <c r="H295" s="1092"/>
      <c r="I295" s="1113"/>
      <c r="J295" s="1113"/>
      <c r="K295" s="895"/>
    </row>
    <row r="296" spans="1:11" s="122" customFormat="1" ht="14.25" hidden="1" customHeight="1" outlineLevel="1">
      <c r="A296" s="886"/>
      <c r="B296" s="1090"/>
      <c r="C296" s="1093"/>
      <c r="D296" s="1093"/>
      <c r="E296" s="1093"/>
      <c r="F296" s="117"/>
      <c r="G296" s="118"/>
      <c r="H296" s="1093"/>
      <c r="I296" s="1093"/>
      <c r="J296" s="1093"/>
      <c r="K296" s="895"/>
    </row>
    <row r="297" spans="1:11" s="122" customFormat="1" ht="15" hidden="1" customHeight="1" outlineLevel="1" thickBot="1">
      <c r="A297" s="886"/>
      <c r="B297" s="1091"/>
      <c r="C297" s="1094"/>
      <c r="D297" s="1094"/>
      <c r="E297" s="1094"/>
      <c r="F297" s="119"/>
      <c r="G297" s="120"/>
      <c r="H297" s="1094"/>
      <c r="I297" s="1094"/>
      <c r="J297" s="1094"/>
      <c r="K297" s="895"/>
    </row>
    <row r="298" spans="1:11" s="122" customFormat="1" ht="14.25" hidden="1" customHeight="1" outlineLevel="1">
      <c r="A298" s="886"/>
      <c r="B298" s="1089">
        <v>96</v>
      </c>
      <c r="C298" s="1092"/>
      <c r="D298" s="1097"/>
      <c r="E298" s="1092"/>
      <c r="F298" s="115"/>
      <c r="G298" s="116"/>
      <c r="H298" s="1092"/>
      <c r="I298" s="1113"/>
      <c r="J298" s="1113"/>
      <c r="K298" s="895"/>
    </row>
    <row r="299" spans="1:11" s="122" customFormat="1" ht="14.25" hidden="1" customHeight="1" outlineLevel="1">
      <c r="A299" s="886"/>
      <c r="B299" s="1090"/>
      <c r="C299" s="1093"/>
      <c r="D299" s="1093"/>
      <c r="E299" s="1093"/>
      <c r="F299" s="117"/>
      <c r="G299" s="118"/>
      <c r="H299" s="1093"/>
      <c r="I299" s="1093"/>
      <c r="J299" s="1093"/>
      <c r="K299" s="895"/>
    </row>
    <row r="300" spans="1:11" s="122" customFormat="1" ht="15" hidden="1" customHeight="1" outlineLevel="1" thickBot="1">
      <c r="A300" s="886"/>
      <c r="B300" s="1091"/>
      <c r="C300" s="1094"/>
      <c r="D300" s="1094"/>
      <c r="E300" s="1094"/>
      <c r="F300" s="119"/>
      <c r="G300" s="120"/>
      <c r="H300" s="1094"/>
      <c r="I300" s="1094"/>
      <c r="J300" s="1094"/>
      <c r="K300" s="895"/>
    </row>
    <row r="301" spans="1:11" s="122" customFormat="1" ht="14.25" hidden="1" customHeight="1" outlineLevel="1">
      <c r="A301" s="886"/>
      <c r="B301" s="1089">
        <v>97</v>
      </c>
      <c r="C301" s="1092"/>
      <c r="D301" s="1097"/>
      <c r="E301" s="1092"/>
      <c r="F301" s="115"/>
      <c r="G301" s="116"/>
      <c r="H301" s="1092"/>
      <c r="I301" s="1113"/>
      <c r="J301" s="1113"/>
      <c r="K301" s="895"/>
    </row>
    <row r="302" spans="1:11" s="122" customFormat="1" ht="14.25" hidden="1" customHeight="1" outlineLevel="1">
      <c r="A302" s="886"/>
      <c r="B302" s="1090"/>
      <c r="C302" s="1093"/>
      <c r="D302" s="1093"/>
      <c r="E302" s="1093"/>
      <c r="F302" s="117"/>
      <c r="G302" s="118"/>
      <c r="H302" s="1093"/>
      <c r="I302" s="1093"/>
      <c r="J302" s="1093"/>
      <c r="K302" s="895"/>
    </row>
    <row r="303" spans="1:11" s="122" customFormat="1" ht="15" hidden="1" customHeight="1" outlineLevel="1" thickBot="1">
      <c r="A303" s="886"/>
      <c r="B303" s="1091"/>
      <c r="C303" s="1094"/>
      <c r="D303" s="1094"/>
      <c r="E303" s="1094"/>
      <c r="F303" s="119"/>
      <c r="G303" s="120"/>
      <c r="H303" s="1094"/>
      <c r="I303" s="1094"/>
      <c r="J303" s="1094"/>
      <c r="K303" s="895"/>
    </row>
    <row r="304" spans="1:11" s="122" customFormat="1" ht="14.25" hidden="1" customHeight="1" outlineLevel="1">
      <c r="A304" s="886"/>
      <c r="B304" s="1089">
        <v>98</v>
      </c>
      <c r="C304" s="1092"/>
      <c r="D304" s="1097"/>
      <c r="E304" s="1092"/>
      <c r="F304" s="115"/>
      <c r="G304" s="116"/>
      <c r="H304" s="1092"/>
      <c r="I304" s="1113"/>
      <c r="J304" s="1113"/>
      <c r="K304" s="895"/>
    </row>
    <row r="305" spans="1:11" s="122" customFormat="1" ht="14.25" hidden="1" customHeight="1" outlineLevel="1">
      <c r="A305" s="886"/>
      <c r="B305" s="1090"/>
      <c r="C305" s="1093"/>
      <c r="D305" s="1093"/>
      <c r="E305" s="1093"/>
      <c r="F305" s="117"/>
      <c r="G305" s="118"/>
      <c r="H305" s="1093"/>
      <c r="I305" s="1093"/>
      <c r="J305" s="1093"/>
      <c r="K305" s="895"/>
    </row>
    <row r="306" spans="1:11" s="122" customFormat="1" ht="15" hidden="1" customHeight="1" outlineLevel="1" thickBot="1">
      <c r="A306" s="886"/>
      <c r="B306" s="1091"/>
      <c r="C306" s="1094"/>
      <c r="D306" s="1094"/>
      <c r="E306" s="1094"/>
      <c r="F306" s="119"/>
      <c r="G306" s="120"/>
      <c r="H306" s="1094"/>
      <c r="I306" s="1094"/>
      <c r="J306" s="1094"/>
      <c r="K306" s="895"/>
    </row>
    <row r="307" spans="1:11" s="122" customFormat="1" ht="14.25" hidden="1" customHeight="1" outlineLevel="1">
      <c r="A307" s="886"/>
      <c r="B307" s="1089">
        <v>99</v>
      </c>
      <c r="C307" s="1092"/>
      <c r="D307" s="1097"/>
      <c r="E307" s="1092"/>
      <c r="F307" s="115"/>
      <c r="G307" s="116"/>
      <c r="H307" s="1092"/>
      <c r="I307" s="1113"/>
      <c r="J307" s="1113"/>
      <c r="K307" s="895"/>
    </row>
    <row r="308" spans="1:11" s="122" customFormat="1" ht="14.25" hidden="1" customHeight="1" outlineLevel="1">
      <c r="A308" s="886"/>
      <c r="B308" s="1090"/>
      <c r="C308" s="1093"/>
      <c r="D308" s="1093"/>
      <c r="E308" s="1093"/>
      <c r="F308" s="117"/>
      <c r="G308" s="118"/>
      <c r="H308" s="1093"/>
      <c r="I308" s="1093"/>
      <c r="J308" s="1093"/>
      <c r="K308" s="895"/>
    </row>
    <row r="309" spans="1:11" s="122" customFormat="1" ht="15" hidden="1" customHeight="1" outlineLevel="1" thickBot="1">
      <c r="A309" s="886"/>
      <c r="B309" s="1091"/>
      <c r="C309" s="1094"/>
      <c r="D309" s="1094"/>
      <c r="E309" s="1094"/>
      <c r="F309" s="119"/>
      <c r="G309" s="120"/>
      <c r="H309" s="1094"/>
      <c r="I309" s="1094"/>
      <c r="J309" s="1094"/>
      <c r="K309" s="895"/>
    </row>
    <row r="310" spans="1:11" s="122" customFormat="1" ht="14.25" hidden="1" customHeight="1" outlineLevel="1">
      <c r="A310" s="886"/>
      <c r="B310" s="1089">
        <v>100</v>
      </c>
      <c r="C310" s="1092"/>
      <c r="D310" s="1097"/>
      <c r="E310" s="1092"/>
      <c r="F310" s="115"/>
      <c r="G310" s="116"/>
      <c r="H310" s="1092"/>
      <c r="I310" s="1113"/>
      <c r="J310" s="1113"/>
      <c r="K310" s="895"/>
    </row>
    <row r="311" spans="1:11" s="122" customFormat="1" ht="14.25" hidden="1" customHeight="1" outlineLevel="1">
      <c r="A311" s="886"/>
      <c r="B311" s="1090"/>
      <c r="C311" s="1093"/>
      <c r="D311" s="1093"/>
      <c r="E311" s="1093"/>
      <c r="F311" s="117"/>
      <c r="G311" s="118"/>
      <c r="H311" s="1093"/>
      <c r="I311" s="1093"/>
      <c r="J311" s="1093"/>
      <c r="K311" s="895"/>
    </row>
    <row r="312" spans="1:11" s="122" customFormat="1" ht="15" hidden="1" customHeight="1" outlineLevel="1" thickBot="1">
      <c r="A312" s="886"/>
      <c r="B312" s="1091"/>
      <c r="C312" s="1094"/>
      <c r="D312" s="1094"/>
      <c r="E312" s="1094"/>
      <c r="F312" s="119"/>
      <c r="G312" s="120"/>
      <c r="H312" s="1094"/>
      <c r="I312" s="1094"/>
      <c r="J312" s="1094"/>
      <c r="K312" s="895"/>
    </row>
    <row r="313" spans="1:11" s="122" customFormat="1" ht="14.25" hidden="1" customHeight="1" outlineLevel="1">
      <c r="A313" s="886"/>
      <c r="B313" s="1089">
        <v>101</v>
      </c>
      <c r="C313" s="1092"/>
      <c r="D313" s="1097"/>
      <c r="E313" s="1092"/>
      <c r="F313" s="115"/>
      <c r="G313" s="116"/>
      <c r="H313" s="1092"/>
      <c r="I313" s="1113"/>
      <c r="J313" s="1113"/>
      <c r="K313" s="895"/>
    </row>
    <row r="314" spans="1:11" s="122" customFormat="1" ht="14.25" hidden="1" customHeight="1" outlineLevel="1">
      <c r="A314" s="886"/>
      <c r="B314" s="1090"/>
      <c r="C314" s="1093"/>
      <c r="D314" s="1093"/>
      <c r="E314" s="1093"/>
      <c r="F314" s="117"/>
      <c r="G314" s="118"/>
      <c r="H314" s="1093"/>
      <c r="I314" s="1093"/>
      <c r="J314" s="1093"/>
      <c r="K314" s="895"/>
    </row>
    <row r="315" spans="1:11" s="122" customFormat="1" ht="15" hidden="1" customHeight="1" outlineLevel="1" thickBot="1">
      <c r="A315" s="886"/>
      <c r="B315" s="1091"/>
      <c r="C315" s="1094"/>
      <c r="D315" s="1094"/>
      <c r="E315" s="1094"/>
      <c r="F315" s="119"/>
      <c r="G315" s="120"/>
      <c r="H315" s="1094"/>
      <c r="I315" s="1094"/>
      <c r="J315" s="1094"/>
      <c r="K315" s="895"/>
    </row>
    <row r="316" spans="1:11" s="122" customFormat="1" ht="14.25" hidden="1" customHeight="1" outlineLevel="1">
      <c r="A316" s="886"/>
      <c r="B316" s="1089">
        <v>102</v>
      </c>
      <c r="C316" s="1092"/>
      <c r="D316" s="1097"/>
      <c r="E316" s="1092"/>
      <c r="F316" s="115"/>
      <c r="G316" s="116"/>
      <c r="H316" s="1092"/>
      <c r="I316" s="1113"/>
      <c r="J316" s="1113"/>
      <c r="K316" s="895"/>
    </row>
    <row r="317" spans="1:11" s="122" customFormat="1" ht="14.25" hidden="1" customHeight="1" outlineLevel="1">
      <c r="A317" s="886"/>
      <c r="B317" s="1090"/>
      <c r="C317" s="1093"/>
      <c r="D317" s="1093"/>
      <c r="E317" s="1093"/>
      <c r="F317" s="117"/>
      <c r="G317" s="118"/>
      <c r="H317" s="1093"/>
      <c r="I317" s="1093"/>
      <c r="J317" s="1093"/>
      <c r="K317" s="895"/>
    </row>
    <row r="318" spans="1:11" s="122" customFormat="1" ht="15" hidden="1" customHeight="1" outlineLevel="1" thickBot="1">
      <c r="A318" s="886"/>
      <c r="B318" s="1091"/>
      <c r="C318" s="1094"/>
      <c r="D318" s="1094"/>
      <c r="E318" s="1094"/>
      <c r="F318" s="119"/>
      <c r="G318" s="120"/>
      <c r="H318" s="1094"/>
      <c r="I318" s="1094"/>
      <c r="J318" s="1094"/>
      <c r="K318" s="895"/>
    </row>
    <row r="319" spans="1:11" s="122" customFormat="1" ht="14.25" hidden="1" customHeight="1" outlineLevel="1">
      <c r="A319" s="886"/>
      <c r="B319" s="1089">
        <v>103</v>
      </c>
      <c r="C319" s="1092"/>
      <c r="D319" s="1097"/>
      <c r="E319" s="1092"/>
      <c r="F319" s="115"/>
      <c r="G319" s="116"/>
      <c r="H319" s="1092"/>
      <c r="I319" s="1113"/>
      <c r="J319" s="1113"/>
      <c r="K319" s="895"/>
    </row>
    <row r="320" spans="1:11" s="122" customFormat="1" ht="14.25" hidden="1" customHeight="1" outlineLevel="1">
      <c r="A320" s="886"/>
      <c r="B320" s="1090"/>
      <c r="C320" s="1093"/>
      <c r="D320" s="1093"/>
      <c r="E320" s="1093"/>
      <c r="F320" s="117"/>
      <c r="G320" s="118"/>
      <c r="H320" s="1093"/>
      <c r="I320" s="1093"/>
      <c r="J320" s="1093"/>
      <c r="K320" s="895"/>
    </row>
    <row r="321" spans="1:11" s="122" customFormat="1" ht="15" hidden="1" customHeight="1" outlineLevel="1" thickBot="1">
      <c r="A321" s="886"/>
      <c r="B321" s="1091"/>
      <c r="C321" s="1094"/>
      <c r="D321" s="1094"/>
      <c r="E321" s="1094"/>
      <c r="F321" s="119"/>
      <c r="G321" s="120"/>
      <c r="H321" s="1094"/>
      <c r="I321" s="1094"/>
      <c r="J321" s="1094"/>
      <c r="K321" s="895"/>
    </row>
    <row r="322" spans="1:11" s="122" customFormat="1" ht="14.25" hidden="1" customHeight="1" outlineLevel="1">
      <c r="A322" s="886"/>
      <c r="B322" s="1089">
        <v>104</v>
      </c>
      <c r="C322" s="1092"/>
      <c r="D322" s="1097"/>
      <c r="E322" s="1092"/>
      <c r="F322" s="115"/>
      <c r="G322" s="116"/>
      <c r="H322" s="1092"/>
      <c r="I322" s="1113"/>
      <c r="J322" s="1113"/>
      <c r="K322" s="895"/>
    </row>
    <row r="323" spans="1:11" s="122" customFormat="1" ht="14.25" hidden="1" customHeight="1" outlineLevel="1">
      <c r="A323" s="886"/>
      <c r="B323" s="1090"/>
      <c r="C323" s="1093"/>
      <c r="D323" s="1093"/>
      <c r="E323" s="1093"/>
      <c r="F323" s="117"/>
      <c r="G323" s="118"/>
      <c r="H323" s="1093"/>
      <c r="I323" s="1093"/>
      <c r="J323" s="1093"/>
      <c r="K323" s="895"/>
    </row>
    <row r="324" spans="1:11" s="122" customFormat="1" ht="15" hidden="1" customHeight="1" outlineLevel="1" thickBot="1">
      <c r="A324" s="886"/>
      <c r="B324" s="1091"/>
      <c r="C324" s="1094"/>
      <c r="D324" s="1094"/>
      <c r="E324" s="1094"/>
      <c r="F324" s="119"/>
      <c r="G324" s="120"/>
      <c r="H324" s="1094"/>
      <c r="I324" s="1094"/>
      <c r="J324" s="1094"/>
      <c r="K324" s="895"/>
    </row>
    <row r="325" spans="1:11" s="122" customFormat="1" ht="14.25" hidden="1" customHeight="1" outlineLevel="1">
      <c r="A325" s="886"/>
      <c r="B325" s="1089">
        <v>105</v>
      </c>
      <c r="C325" s="1092"/>
      <c r="D325" s="1097"/>
      <c r="E325" s="1092"/>
      <c r="F325" s="115"/>
      <c r="G325" s="116"/>
      <c r="H325" s="1092"/>
      <c r="I325" s="1113"/>
      <c r="J325" s="1113"/>
      <c r="K325" s="895"/>
    </row>
    <row r="326" spans="1:11" s="122" customFormat="1" ht="14.25" hidden="1" customHeight="1" outlineLevel="1">
      <c r="A326" s="886"/>
      <c r="B326" s="1090"/>
      <c r="C326" s="1093"/>
      <c r="D326" s="1093"/>
      <c r="E326" s="1093"/>
      <c r="F326" s="117"/>
      <c r="G326" s="118"/>
      <c r="H326" s="1093"/>
      <c r="I326" s="1093"/>
      <c r="J326" s="1093"/>
      <c r="K326" s="895"/>
    </row>
    <row r="327" spans="1:11" s="122" customFormat="1" ht="15" hidden="1" customHeight="1" outlineLevel="1" thickBot="1">
      <c r="A327" s="886"/>
      <c r="B327" s="1091"/>
      <c r="C327" s="1094"/>
      <c r="D327" s="1094"/>
      <c r="E327" s="1094"/>
      <c r="F327" s="119"/>
      <c r="G327" s="120"/>
      <c r="H327" s="1094"/>
      <c r="I327" s="1094"/>
      <c r="J327" s="1094"/>
      <c r="K327" s="895"/>
    </row>
    <row r="328" spans="1:11" s="122" customFormat="1" ht="14.25" hidden="1" customHeight="1" outlineLevel="1">
      <c r="A328" s="886"/>
      <c r="B328" s="1089">
        <v>106</v>
      </c>
      <c r="C328" s="1092"/>
      <c r="D328" s="1097"/>
      <c r="E328" s="1092"/>
      <c r="F328" s="115"/>
      <c r="G328" s="116"/>
      <c r="H328" s="1092"/>
      <c r="I328" s="1113"/>
      <c r="J328" s="1113"/>
      <c r="K328" s="895"/>
    </row>
    <row r="329" spans="1:11" s="122" customFormat="1" ht="14.25" hidden="1" customHeight="1" outlineLevel="1">
      <c r="A329" s="886"/>
      <c r="B329" s="1090"/>
      <c r="C329" s="1093"/>
      <c r="D329" s="1093"/>
      <c r="E329" s="1093"/>
      <c r="F329" s="117"/>
      <c r="G329" s="118"/>
      <c r="H329" s="1093"/>
      <c r="I329" s="1093"/>
      <c r="J329" s="1093"/>
      <c r="K329" s="895"/>
    </row>
    <row r="330" spans="1:11" s="122" customFormat="1" ht="15" hidden="1" customHeight="1" outlineLevel="1" thickBot="1">
      <c r="A330" s="886"/>
      <c r="B330" s="1091"/>
      <c r="C330" s="1094"/>
      <c r="D330" s="1094"/>
      <c r="E330" s="1094"/>
      <c r="F330" s="119"/>
      <c r="G330" s="120"/>
      <c r="H330" s="1094"/>
      <c r="I330" s="1094"/>
      <c r="J330" s="1094"/>
      <c r="K330" s="895"/>
    </row>
    <row r="331" spans="1:11" s="122" customFormat="1" ht="14.25" hidden="1" customHeight="1" outlineLevel="1">
      <c r="A331" s="886"/>
      <c r="B331" s="1089">
        <v>107</v>
      </c>
      <c r="C331" s="1092"/>
      <c r="D331" s="1097"/>
      <c r="E331" s="1092"/>
      <c r="F331" s="115"/>
      <c r="G331" s="116"/>
      <c r="H331" s="1092"/>
      <c r="I331" s="1113"/>
      <c r="J331" s="1113"/>
      <c r="K331" s="895"/>
    </row>
    <row r="332" spans="1:11" s="122" customFormat="1" ht="14.25" hidden="1" customHeight="1" outlineLevel="1">
      <c r="A332" s="886"/>
      <c r="B332" s="1090"/>
      <c r="C332" s="1093"/>
      <c r="D332" s="1093"/>
      <c r="E332" s="1093"/>
      <c r="F332" s="117"/>
      <c r="G332" s="118"/>
      <c r="H332" s="1093"/>
      <c r="I332" s="1093"/>
      <c r="J332" s="1093"/>
      <c r="K332" s="895"/>
    </row>
    <row r="333" spans="1:11" s="122" customFormat="1" ht="15" hidden="1" customHeight="1" outlineLevel="1" thickBot="1">
      <c r="A333" s="886"/>
      <c r="B333" s="1091"/>
      <c r="C333" s="1094"/>
      <c r="D333" s="1094"/>
      <c r="E333" s="1094"/>
      <c r="F333" s="119"/>
      <c r="G333" s="120"/>
      <c r="H333" s="1094"/>
      <c r="I333" s="1094"/>
      <c r="J333" s="1094"/>
      <c r="K333" s="895"/>
    </row>
    <row r="334" spans="1:11" s="122" customFormat="1" ht="14.25" hidden="1" customHeight="1" outlineLevel="1">
      <c r="A334" s="886"/>
      <c r="B334" s="1089">
        <v>108</v>
      </c>
      <c r="C334" s="1092"/>
      <c r="D334" s="1097"/>
      <c r="E334" s="1092"/>
      <c r="F334" s="115"/>
      <c r="G334" s="116"/>
      <c r="H334" s="1092"/>
      <c r="I334" s="1113"/>
      <c r="J334" s="1113"/>
      <c r="K334" s="895"/>
    </row>
    <row r="335" spans="1:11" s="122" customFormat="1" ht="14.25" hidden="1" customHeight="1" outlineLevel="1">
      <c r="A335" s="886"/>
      <c r="B335" s="1090"/>
      <c r="C335" s="1093"/>
      <c r="D335" s="1093"/>
      <c r="E335" s="1093"/>
      <c r="F335" s="117"/>
      <c r="G335" s="118"/>
      <c r="H335" s="1093"/>
      <c r="I335" s="1093"/>
      <c r="J335" s="1093"/>
      <c r="K335" s="895"/>
    </row>
    <row r="336" spans="1:11" s="122" customFormat="1" ht="15" hidden="1" customHeight="1" outlineLevel="1" thickBot="1">
      <c r="A336" s="886"/>
      <c r="B336" s="1091"/>
      <c r="C336" s="1094"/>
      <c r="D336" s="1094"/>
      <c r="E336" s="1094"/>
      <c r="F336" s="119"/>
      <c r="G336" s="120"/>
      <c r="H336" s="1094"/>
      <c r="I336" s="1094"/>
      <c r="J336" s="1094"/>
      <c r="K336" s="895"/>
    </row>
    <row r="337" spans="1:11" s="122" customFormat="1" ht="14.25" hidden="1" customHeight="1" outlineLevel="1">
      <c r="A337" s="886"/>
      <c r="B337" s="1089">
        <v>109</v>
      </c>
      <c r="C337" s="1092"/>
      <c r="D337" s="1097"/>
      <c r="E337" s="1092"/>
      <c r="F337" s="115"/>
      <c r="G337" s="116"/>
      <c r="H337" s="1092"/>
      <c r="I337" s="1113"/>
      <c r="J337" s="1113"/>
      <c r="K337" s="895"/>
    </row>
    <row r="338" spans="1:11" s="122" customFormat="1" ht="14.25" hidden="1" customHeight="1" outlineLevel="1">
      <c r="A338" s="886"/>
      <c r="B338" s="1090"/>
      <c r="C338" s="1093"/>
      <c r="D338" s="1093"/>
      <c r="E338" s="1093"/>
      <c r="F338" s="117"/>
      <c r="G338" s="118"/>
      <c r="H338" s="1093"/>
      <c r="I338" s="1093"/>
      <c r="J338" s="1093"/>
      <c r="K338" s="895"/>
    </row>
    <row r="339" spans="1:11" s="122" customFormat="1" ht="15" hidden="1" customHeight="1" outlineLevel="1" thickBot="1">
      <c r="A339" s="886"/>
      <c r="B339" s="1091"/>
      <c r="C339" s="1094"/>
      <c r="D339" s="1094"/>
      <c r="E339" s="1094"/>
      <c r="F339" s="119"/>
      <c r="G339" s="120"/>
      <c r="H339" s="1094"/>
      <c r="I339" s="1094"/>
      <c r="J339" s="1094"/>
      <c r="K339" s="895"/>
    </row>
    <row r="340" spans="1:11" s="122" customFormat="1" ht="14.25" hidden="1" customHeight="1" outlineLevel="1">
      <c r="A340" s="886"/>
      <c r="B340" s="1089">
        <v>110</v>
      </c>
      <c r="C340" s="1092"/>
      <c r="D340" s="1097"/>
      <c r="E340" s="1092"/>
      <c r="F340" s="115"/>
      <c r="G340" s="116"/>
      <c r="H340" s="1092"/>
      <c r="I340" s="1113"/>
      <c r="J340" s="1113"/>
      <c r="K340" s="895"/>
    </row>
    <row r="341" spans="1:11" s="122" customFormat="1" ht="14.25" hidden="1" customHeight="1" outlineLevel="1">
      <c r="A341" s="886"/>
      <c r="B341" s="1090"/>
      <c r="C341" s="1093"/>
      <c r="D341" s="1093"/>
      <c r="E341" s="1093"/>
      <c r="F341" s="117"/>
      <c r="G341" s="118"/>
      <c r="H341" s="1093"/>
      <c r="I341" s="1093"/>
      <c r="J341" s="1093"/>
      <c r="K341" s="895"/>
    </row>
    <row r="342" spans="1:11" s="122" customFormat="1" ht="15" hidden="1" customHeight="1" outlineLevel="1" thickBot="1">
      <c r="A342" s="886"/>
      <c r="B342" s="1091"/>
      <c r="C342" s="1094"/>
      <c r="D342" s="1094"/>
      <c r="E342" s="1094"/>
      <c r="F342" s="119"/>
      <c r="G342" s="120"/>
      <c r="H342" s="1094"/>
      <c r="I342" s="1094"/>
      <c r="J342" s="1094"/>
      <c r="K342" s="895"/>
    </row>
    <row r="343" spans="1:11" s="122" customFormat="1" ht="14.25" hidden="1" customHeight="1" outlineLevel="1">
      <c r="A343" s="886"/>
      <c r="B343" s="1089">
        <v>111</v>
      </c>
      <c r="C343" s="1092"/>
      <c r="D343" s="1097"/>
      <c r="E343" s="1092"/>
      <c r="F343" s="115"/>
      <c r="G343" s="116"/>
      <c r="H343" s="1092"/>
      <c r="I343" s="1113"/>
      <c r="J343" s="1113"/>
      <c r="K343" s="895"/>
    </row>
    <row r="344" spans="1:11" s="122" customFormat="1" ht="14.25" hidden="1" customHeight="1" outlineLevel="1">
      <c r="A344" s="886"/>
      <c r="B344" s="1090"/>
      <c r="C344" s="1093"/>
      <c r="D344" s="1093"/>
      <c r="E344" s="1093"/>
      <c r="F344" s="117"/>
      <c r="G344" s="118"/>
      <c r="H344" s="1093"/>
      <c r="I344" s="1093"/>
      <c r="J344" s="1093"/>
      <c r="K344" s="895"/>
    </row>
    <row r="345" spans="1:11" s="122" customFormat="1" ht="15" hidden="1" customHeight="1" outlineLevel="1" thickBot="1">
      <c r="A345" s="886"/>
      <c r="B345" s="1091"/>
      <c r="C345" s="1094"/>
      <c r="D345" s="1094"/>
      <c r="E345" s="1094"/>
      <c r="F345" s="119"/>
      <c r="G345" s="120"/>
      <c r="H345" s="1094"/>
      <c r="I345" s="1094"/>
      <c r="J345" s="1094"/>
      <c r="K345" s="895"/>
    </row>
    <row r="346" spans="1:11" s="122" customFormat="1" ht="14.25" hidden="1" customHeight="1" outlineLevel="1">
      <c r="A346" s="886"/>
      <c r="B346" s="1089">
        <v>112</v>
      </c>
      <c r="C346" s="1092"/>
      <c r="D346" s="1097"/>
      <c r="E346" s="1092"/>
      <c r="F346" s="115"/>
      <c r="G346" s="116"/>
      <c r="H346" s="1092"/>
      <c r="I346" s="1113"/>
      <c r="J346" s="1113"/>
      <c r="K346" s="895"/>
    </row>
    <row r="347" spans="1:11" s="122" customFormat="1" ht="14.25" hidden="1" customHeight="1" outlineLevel="1">
      <c r="A347" s="886"/>
      <c r="B347" s="1090"/>
      <c r="C347" s="1093"/>
      <c r="D347" s="1093"/>
      <c r="E347" s="1093"/>
      <c r="F347" s="117"/>
      <c r="G347" s="118"/>
      <c r="H347" s="1093"/>
      <c r="I347" s="1093"/>
      <c r="J347" s="1093"/>
      <c r="K347" s="895"/>
    </row>
    <row r="348" spans="1:11" s="122" customFormat="1" ht="15" hidden="1" customHeight="1" outlineLevel="1" thickBot="1">
      <c r="A348" s="886"/>
      <c r="B348" s="1091"/>
      <c r="C348" s="1094"/>
      <c r="D348" s="1094"/>
      <c r="E348" s="1094"/>
      <c r="F348" s="119"/>
      <c r="G348" s="120"/>
      <c r="H348" s="1094"/>
      <c r="I348" s="1094"/>
      <c r="J348" s="1094"/>
      <c r="K348" s="895"/>
    </row>
    <row r="349" spans="1:11" s="122" customFormat="1" ht="14.25" hidden="1" customHeight="1" outlineLevel="1">
      <c r="A349" s="886"/>
      <c r="B349" s="1089">
        <v>113</v>
      </c>
      <c r="C349" s="1092"/>
      <c r="D349" s="1097"/>
      <c r="E349" s="1092"/>
      <c r="F349" s="115"/>
      <c r="G349" s="116"/>
      <c r="H349" s="1092"/>
      <c r="I349" s="1113"/>
      <c r="J349" s="1113"/>
      <c r="K349" s="895"/>
    </row>
    <row r="350" spans="1:11" s="122" customFormat="1" ht="14.25" hidden="1" customHeight="1" outlineLevel="1">
      <c r="A350" s="886"/>
      <c r="B350" s="1090"/>
      <c r="C350" s="1093"/>
      <c r="D350" s="1093"/>
      <c r="E350" s="1093"/>
      <c r="F350" s="117"/>
      <c r="G350" s="118"/>
      <c r="H350" s="1093"/>
      <c r="I350" s="1093"/>
      <c r="J350" s="1093"/>
      <c r="K350" s="895"/>
    </row>
    <row r="351" spans="1:11" s="122" customFormat="1" ht="15" hidden="1" customHeight="1" outlineLevel="1" thickBot="1">
      <c r="A351" s="886"/>
      <c r="B351" s="1091"/>
      <c r="C351" s="1094"/>
      <c r="D351" s="1094"/>
      <c r="E351" s="1094"/>
      <c r="F351" s="119"/>
      <c r="G351" s="120"/>
      <c r="H351" s="1094"/>
      <c r="I351" s="1094"/>
      <c r="J351" s="1094"/>
      <c r="K351" s="895"/>
    </row>
    <row r="352" spans="1:11" s="122" customFormat="1" ht="14.25" hidden="1" customHeight="1" outlineLevel="1">
      <c r="A352" s="886"/>
      <c r="B352" s="1089">
        <v>114</v>
      </c>
      <c r="C352" s="1092"/>
      <c r="D352" s="1097"/>
      <c r="E352" s="1092"/>
      <c r="F352" s="115"/>
      <c r="G352" s="116"/>
      <c r="H352" s="1092"/>
      <c r="I352" s="1113"/>
      <c r="J352" s="1113"/>
      <c r="K352" s="895"/>
    </row>
    <row r="353" spans="1:11" s="122" customFormat="1" ht="14.25" hidden="1" customHeight="1" outlineLevel="1">
      <c r="A353" s="886"/>
      <c r="B353" s="1090"/>
      <c r="C353" s="1093"/>
      <c r="D353" s="1093"/>
      <c r="E353" s="1093"/>
      <c r="F353" s="117"/>
      <c r="G353" s="118"/>
      <c r="H353" s="1093"/>
      <c r="I353" s="1093"/>
      <c r="J353" s="1093"/>
      <c r="K353" s="895"/>
    </row>
    <row r="354" spans="1:11" s="122" customFormat="1" ht="15" hidden="1" customHeight="1" outlineLevel="1" thickBot="1">
      <c r="A354" s="886"/>
      <c r="B354" s="1091"/>
      <c r="C354" s="1094"/>
      <c r="D354" s="1094"/>
      <c r="E354" s="1094"/>
      <c r="F354" s="119"/>
      <c r="G354" s="120"/>
      <c r="H354" s="1094"/>
      <c r="I354" s="1094"/>
      <c r="J354" s="1094"/>
      <c r="K354" s="895"/>
    </row>
    <row r="355" spans="1:11" s="122" customFormat="1" ht="14.25" hidden="1" customHeight="1" outlineLevel="1">
      <c r="A355" s="886"/>
      <c r="B355" s="1089">
        <v>115</v>
      </c>
      <c r="C355" s="1092"/>
      <c r="D355" s="1097"/>
      <c r="E355" s="1092"/>
      <c r="F355" s="115"/>
      <c r="G355" s="116"/>
      <c r="H355" s="1092"/>
      <c r="I355" s="1113"/>
      <c r="J355" s="1113"/>
      <c r="K355" s="895"/>
    </row>
    <row r="356" spans="1:11" s="122" customFormat="1" ht="14.25" hidden="1" customHeight="1" outlineLevel="1">
      <c r="A356" s="886"/>
      <c r="B356" s="1090"/>
      <c r="C356" s="1093"/>
      <c r="D356" s="1093"/>
      <c r="E356" s="1093"/>
      <c r="F356" s="117"/>
      <c r="G356" s="118"/>
      <c r="H356" s="1093"/>
      <c r="I356" s="1093"/>
      <c r="J356" s="1093"/>
      <c r="K356" s="895"/>
    </row>
    <row r="357" spans="1:11" s="122" customFormat="1" ht="15" hidden="1" customHeight="1" outlineLevel="1" thickBot="1">
      <c r="A357" s="886"/>
      <c r="B357" s="1091"/>
      <c r="C357" s="1094"/>
      <c r="D357" s="1094"/>
      <c r="E357" s="1094"/>
      <c r="F357" s="119"/>
      <c r="G357" s="120"/>
      <c r="H357" s="1094"/>
      <c r="I357" s="1094"/>
      <c r="J357" s="1094"/>
      <c r="K357" s="895"/>
    </row>
    <row r="358" spans="1:11" s="122" customFormat="1" ht="14.25" hidden="1" customHeight="1" outlineLevel="1">
      <c r="A358" s="886"/>
      <c r="B358" s="1089">
        <v>116</v>
      </c>
      <c r="C358" s="1092"/>
      <c r="D358" s="1097"/>
      <c r="E358" s="1092"/>
      <c r="F358" s="115"/>
      <c r="G358" s="116"/>
      <c r="H358" s="1092"/>
      <c r="I358" s="1113"/>
      <c r="J358" s="1113"/>
      <c r="K358" s="895"/>
    </row>
    <row r="359" spans="1:11" s="122" customFormat="1" ht="14.25" hidden="1" customHeight="1" outlineLevel="1">
      <c r="A359" s="886"/>
      <c r="B359" s="1090"/>
      <c r="C359" s="1093"/>
      <c r="D359" s="1093"/>
      <c r="E359" s="1093"/>
      <c r="F359" s="117"/>
      <c r="G359" s="118"/>
      <c r="H359" s="1093"/>
      <c r="I359" s="1093"/>
      <c r="J359" s="1093"/>
      <c r="K359" s="895"/>
    </row>
    <row r="360" spans="1:11" s="122" customFormat="1" ht="15" hidden="1" customHeight="1" outlineLevel="1" thickBot="1">
      <c r="A360" s="886"/>
      <c r="B360" s="1091"/>
      <c r="C360" s="1094"/>
      <c r="D360" s="1094"/>
      <c r="E360" s="1094"/>
      <c r="F360" s="119"/>
      <c r="G360" s="120"/>
      <c r="H360" s="1094"/>
      <c r="I360" s="1094"/>
      <c r="J360" s="1094"/>
      <c r="K360" s="895"/>
    </row>
    <row r="361" spans="1:11" s="122" customFormat="1" ht="14.25" hidden="1" customHeight="1" outlineLevel="1">
      <c r="A361" s="886"/>
      <c r="B361" s="1089">
        <v>117</v>
      </c>
      <c r="C361" s="1092"/>
      <c r="D361" s="1097"/>
      <c r="E361" s="1092"/>
      <c r="F361" s="115"/>
      <c r="G361" s="116"/>
      <c r="H361" s="1092"/>
      <c r="I361" s="1113"/>
      <c r="J361" s="1113"/>
      <c r="K361" s="895"/>
    </row>
    <row r="362" spans="1:11" s="122" customFormat="1" ht="14.25" hidden="1" customHeight="1" outlineLevel="1">
      <c r="A362" s="886"/>
      <c r="B362" s="1090"/>
      <c r="C362" s="1093"/>
      <c r="D362" s="1093"/>
      <c r="E362" s="1093"/>
      <c r="F362" s="117"/>
      <c r="G362" s="118"/>
      <c r="H362" s="1093"/>
      <c r="I362" s="1093"/>
      <c r="J362" s="1093"/>
      <c r="K362" s="895"/>
    </row>
    <row r="363" spans="1:11" s="122" customFormat="1" ht="15" hidden="1" customHeight="1" outlineLevel="1" thickBot="1">
      <c r="A363" s="886"/>
      <c r="B363" s="1091"/>
      <c r="C363" s="1094"/>
      <c r="D363" s="1094"/>
      <c r="E363" s="1094"/>
      <c r="F363" s="119"/>
      <c r="G363" s="120"/>
      <c r="H363" s="1094"/>
      <c r="I363" s="1094"/>
      <c r="J363" s="1094"/>
      <c r="K363" s="895"/>
    </row>
    <row r="364" spans="1:11" s="122" customFormat="1" ht="14.25" hidden="1" customHeight="1" outlineLevel="1">
      <c r="A364" s="886"/>
      <c r="B364" s="1089">
        <v>118</v>
      </c>
      <c r="C364" s="1092"/>
      <c r="D364" s="1097"/>
      <c r="E364" s="1092"/>
      <c r="F364" s="115"/>
      <c r="G364" s="116"/>
      <c r="H364" s="1092"/>
      <c r="I364" s="1113"/>
      <c r="J364" s="1113"/>
      <c r="K364" s="895"/>
    </row>
    <row r="365" spans="1:11" s="122" customFormat="1" ht="14.25" hidden="1" customHeight="1" outlineLevel="1">
      <c r="A365" s="886"/>
      <c r="B365" s="1090"/>
      <c r="C365" s="1093"/>
      <c r="D365" s="1093"/>
      <c r="E365" s="1093"/>
      <c r="F365" s="117"/>
      <c r="G365" s="118"/>
      <c r="H365" s="1093"/>
      <c r="I365" s="1093"/>
      <c r="J365" s="1093"/>
      <c r="K365" s="895"/>
    </row>
    <row r="366" spans="1:11" s="122" customFormat="1" ht="15" hidden="1" customHeight="1" outlineLevel="1" thickBot="1">
      <c r="A366" s="886"/>
      <c r="B366" s="1091"/>
      <c r="C366" s="1094"/>
      <c r="D366" s="1094"/>
      <c r="E366" s="1094"/>
      <c r="F366" s="119"/>
      <c r="G366" s="120"/>
      <c r="H366" s="1094"/>
      <c r="I366" s="1094"/>
      <c r="J366" s="1094"/>
      <c r="K366" s="895"/>
    </row>
    <row r="367" spans="1:11" s="122" customFormat="1" ht="14.25" hidden="1" customHeight="1" outlineLevel="1">
      <c r="A367" s="886"/>
      <c r="B367" s="1089">
        <v>119</v>
      </c>
      <c r="C367" s="1092"/>
      <c r="D367" s="1097"/>
      <c r="E367" s="1092"/>
      <c r="F367" s="115"/>
      <c r="G367" s="116"/>
      <c r="H367" s="1092"/>
      <c r="I367" s="1113"/>
      <c r="J367" s="1113"/>
      <c r="K367" s="895"/>
    </row>
    <row r="368" spans="1:11" s="122" customFormat="1" ht="14.25" hidden="1" customHeight="1" outlineLevel="1">
      <c r="A368" s="886"/>
      <c r="B368" s="1090"/>
      <c r="C368" s="1093"/>
      <c r="D368" s="1093"/>
      <c r="E368" s="1093"/>
      <c r="F368" s="117"/>
      <c r="G368" s="118"/>
      <c r="H368" s="1093"/>
      <c r="I368" s="1093"/>
      <c r="J368" s="1093"/>
      <c r="K368" s="895"/>
    </row>
    <row r="369" spans="1:11" s="122" customFormat="1" ht="15" hidden="1" customHeight="1" outlineLevel="1" thickBot="1">
      <c r="A369" s="886"/>
      <c r="B369" s="1091"/>
      <c r="C369" s="1094"/>
      <c r="D369" s="1094"/>
      <c r="E369" s="1094"/>
      <c r="F369" s="119"/>
      <c r="G369" s="120"/>
      <c r="H369" s="1094"/>
      <c r="I369" s="1094"/>
      <c r="J369" s="1094"/>
      <c r="K369" s="895"/>
    </row>
    <row r="370" spans="1:11" s="122" customFormat="1" ht="14.25" hidden="1" customHeight="1" outlineLevel="1">
      <c r="A370" s="886"/>
      <c r="B370" s="1089">
        <v>120</v>
      </c>
      <c r="C370" s="1092"/>
      <c r="D370" s="1097"/>
      <c r="E370" s="1092"/>
      <c r="F370" s="115"/>
      <c r="G370" s="116"/>
      <c r="H370" s="1092"/>
      <c r="I370" s="1113"/>
      <c r="J370" s="1113"/>
      <c r="K370" s="895"/>
    </row>
    <row r="371" spans="1:11" s="122" customFormat="1" ht="14.25" hidden="1" customHeight="1" outlineLevel="1">
      <c r="A371" s="886"/>
      <c r="B371" s="1090"/>
      <c r="C371" s="1093"/>
      <c r="D371" s="1093"/>
      <c r="E371" s="1093"/>
      <c r="F371" s="117"/>
      <c r="G371" s="118"/>
      <c r="H371" s="1093"/>
      <c r="I371" s="1093"/>
      <c r="J371" s="1093"/>
      <c r="K371" s="895"/>
    </row>
    <row r="372" spans="1:11" s="122" customFormat="1" ht="15" hidden="1" customHeight="1" outlineLevel="1" thickBot="1">
      <c r="A372" s="886"/>
      <c r="B372" s="1091"/>
      <c r="C372" s="1094"/>
      <c r="D372" s="1094"/>
      <c r="E372" s="1094"/>
      <c r="F372" s="119"/>
      <c r="G372" s="120"/>
      <c r="H372" s="1094"/>
      <c r="I372" s="1094"/>
      <c r="J372" s="1094"/>
      <c r="K372" s="895"/>
    </row>
    <row r="373" spans="1:11" s="122" customFormat="1" ht="14.25" hidden="1" customHeight="1" outlineLevel="1">
      <c r="A373" s="886"/>
      <c r="B373" s="1089">
        <v>121</v>
      </c>
      <c r="C373" s="1092"/>
      <c r="D373" s="1097"/>
      <c r="E373" s="1092"/>
      <c r="F373" s="115"/>
      <c r="G373" s="116"/>
      <c r="H373" s="1092"/>
      <c r="I373" s="1113"/>
      <c r="J373" s="1113"/>
      <c r="K373" s="895"/>
    </row>
    <row r="374" spans="1:11" s="122" customFormat="1" ht="14.25" hidden="1" customHeight="1" outlineLevel="1">
      <c r="A374" s="886"/>
      <c r="B374" s="1090"/>
      <c r="C374" s="1093"/>
      <c r="D374" s="1093"/>
      <c r="E374" s="1093"/>
      <c r="F374" s="117"/>
      <c r="G374" s="118"/>
      <c r="H374" s="1093"/>
      <c r="I374" s="1093"/>
      <c r="J374" s="1093"/>
      <c r="K374" s="895"/>
    </row>
    <row r="375" spans="1:11" s="122" customFormat="1" ht="15" hidden="1" customHeight="1" outlineLevel="1" thickBot="1">
      <c r="A375" s="886"/>
      <c r="B375" s="1091"/>
      <c r="C375" s="1094"/>
      <c r="D375" s="1094"/>
      <c r="E375" s="1094"/>
      <c r="F375" s="119"/>
      <c r="G375" s="120"/>
      <c r="H375" s="1094"/>
      <c r="I375" s="1094"/>
      <c r="J375" s="1094"/>
      <c r="K375" s="895"/>
    </row>
    <row r="376" spans="1:11" s="122" customFormat="1" ht="14.25" hidden="1" customHeight="1" outlineLevel="1">
      <c r="A376" s="886"/>
      <c r="B376" s="1089">
        <v>122</v>
      </c>
      <c r="C376" s="1092"/>
      <c r="D376" s="1097"/>
      <c r="E376" s="1092"/>
      <c r="F376" s="115"/>
      <c r="G376" s="116"/>
      <c r="H376" s="1092"/>
      <c r="I376" s="1113"/>
      <c r="J376" s="1113"/>
      <c r="K376" s="895"/>
    </row>
    <row r="377" spans="1:11" s="122" customFormat="1" ht="14.25" hidden="1" customHeight="1" outlineLevel="1">
      <c r="A377" s="886"/>
      <c r="B377" s="1090"/>
      <c r="C377" s="1093"/>
      <c r="D377" s="1093"/>
      <c r="E377" s="1093"/>
      <c r="F377" s="117"/>
      <c r="G377" s="118"/>
      <c r="H377" s="1093"/>
      <c r="I377" s="1093"/>
      <c r="J377" s="1093"/>
      <c r="K377" s="895"/>
    </row>
    <row r="378" spans="1:11" s="122" customFormat="1" ht="15" hidden="1" customHeight="1" outlineLevel="1" thickBot="1">
      <c r="A378" s="886"/>
      <c r="B378" s="1091"/>
      <c r="C378" s="1094"/>
      <c r="D378" s="1094"/>
      <c r="E378" s="1094"/>
      <c r="F378" s="119"/>
      <c r="G378" s="120"/>
      <c r="H378" s="1094"/>
      <c r="I378" s="1094"/>
      <c r="J378" s="1094"/>
      <c r="K378" s="895"/>
    </row>
    <row r="379" spans="1:11" s="122" customFormat="1" ht="14.25" hidden="1" customHeight="1" outlineLevel="1">
      <c r="A379" s="886"/>
      <c r="B379" s="1089">
        <v>123</v>
      </c>
      <c r="C379" s="1092"/>
      <c r="D379" s="1097"/>
      <c r="E379" s="1092"/>
      <c r="F379" s="115"/>
      <c r="G379" s="116"/>
      <c r="H379" s="1092"/>
      <c r="I379" s="1113"/>
      <c r="J379" s="1113"/>
      <c r="K379" s="895"/>
    </row>
    <row r="380" spans="1:11" s="122" customFormat="1" ht="14.25" hidden="1" customHeight="1" outlineLevel="1">
      <c r="A380" s="886"/>
      <c r="B380" s="1090"/>
      <c r="C380" s="1093"/>
      <c r="D380" s="1093"/>
      <c r="E380" s="1093"/>
      <c r="F380" s="117"/>
      <c r="G380" s="118"/>
      <c r="H380" s="1093"/>
      <c r="I380" s="1093"/>
      <c r="J380" s="1093"/>
      <c r="K380" s="895"/>
    </row>
    <row r="381" spans="1:11" s="122" customFormat="1" ht="15" hidden="1" customHeight="1" outlineLevel="1" thickBot="1">
      <c r="A381" s="886"/>
      <c r="B381" s="1091"/>
      <c r="C381" s="1094"/>
      <c r="D381" s="1094"/>
      <c r="E381" s="1094"/>
      <c r="F381" s="119"/>
      <c r="G381" s="120"/>
      <c r="H381" s="1094"/>
      <c r="I381" s="1094"/>
      <c r="J381" s="1094"/>
      <c r="K381" s="895"/>
    </row>
    <row r="382" spans="1:11" s="122" customFormat="1" ht="14.25" hidden="1" customHeight="1" outlineLevel="1">
      <c r="A382" s="886"/>
      <c r="B382" s="1089">
        <v>124</v>
      </c>
      <c r="C382" s="1092"/>
      <c r="D382" s="1097"/>
      <c r="E382" s="1092"/>
      <c r="F382" s="115"/>
      <c r="G382" s="116"/>
      <c r="H382" s="1092"/>
      <c r="I382" s="1113"/>
      <c r="J382" s="1113"/>
      <c r="K382" s="895"/>
    </row>
    <row r="383" spans="1:11" s="122" customFormat="1" ht="14.25" hidden="1" customHeight="1" outlineLevel="1">
      <c r="A383" s="886"/>
      <c r="B383" s="1090"/>
      <c r="C383" s="1093"/>
      <c r="D383" s="1093"/>
      <c r="E383" s="1093"/>
      <c r="F383" s="117"/>
      <c r="G383" s="118"/>
      <c r="H383" s="1093"/>
      <c r="I383" s="1093"/>
      <c r="J383" s="1093"/>
      <c r="K383" s="895"/>
    </row>
    <row r="384" spans="1:11" s="122" customFormat="1" ht="15" hidden="1" customHeight="1" outlineLevel="1" thickBot="1">
      <c r="A384" s="886"/>
      <c r="B384" s="1091"/>
      <c r="C384" s="1094"/>
      <c r="D384" s="1094"/>
      <c r="E384" s="1094"/>
      <c r="F384" s="119"/>
      <c r="G384" s="120"/>
      <c r="H384" s="1094"/>
      <c r="I384" s="1094"/>
      <c r="J384" s="1094"/>
      <c r="K384" s="895"/>
    </row>
    <row r="385" spans="1:11" s="122" customFormat="1" ht="14.25" hidden="1" customHeight="1" outlineLevel="1">
      <c r="A385" s="886"/>
      <c r="B385" s="1089">
        <v>125</v>
      </c>
      <c r="C385" s="1092"/>
      <c r="D385" s="1097"/>
      <c r="E385" s="1092"/>
      <c r="F385" s="115"/>
      <c r="G385" s="116"/>
      <c r="H385" s="1092"/>
      <c r="I385" s="1113"/>
      <c r="J385" s="1113"/>
      <c r="K385" s="895"/>
    </row>
    <row r="386" spans="1:11" s="122" customFormat="1" ht="14.25" hidden="1" customHeight="1" outlineLevel="1">
      <c r="A386" s="886"/>
      <c r="B386" s="1090"/>
      <c r="C386" s="1093"/>
      <c r="D386" s="1093"/>
      <c r="E386" s="1093"/>
      <c r="F386" s="117"/>
      <c r="G386" s="118"/>
      <c r="H386" s="1093"/>
      <c r="I386" s="1093"/>
      <c r="J386" s="1093"/>
      <c r="K386" s="895"/>
    </row>
    <row r="387" spans="1:11" s="122" customFormat="1" ht="15" hidden="1" customHeight="1" outlineLevel="1" thickBot="1">
      <c r="A387" s="886"/>
      <c r="B387" s="1091"/>
      <c r="C387" s="1094"/>
      <c r="D387" s="1094"/>
      <c r="E387" s="1094"/>
      <c r="F387" s="119"/>
      <c r="G387" s="120"/>
      <c r="H387" s="1094"/>
      <c r="I387" s="1094"/>
      <c r="J387" s="1094"/>
      <c r="K387" s="895"/>
    </row>
    <row r="388" spans="1:11" s="122" customFormat="1" ht="14.25" hidden="1" customHeight="1" outlineLevel="1">
      <c r="A388" s="886"/>
      <c r="B388" s="1089">
        <v>126</v>
      </c>
      <c r="C388" s="1092"/>
      <c r="D388" s="1097"/>
      <c r="E388" s="1092"/>
      <c r="F388" s="115"/>
      <c r="G388" s="116"/>
      <c r="H388" s="1092"/>
      <c r="I388" s="1113"/>
      <c r="J388" s="1113"/>
      <c r="K388" s="895"/>
    </row>
    <row r="389" spans="1:11" s="122" customFormat="1" ht="14.25" hidden="1" customHeight="1" outlineLevel="1">
      <c r="A389" s="886"/>
      <c r="B389" s="1090"/>
      <c r="C389" s="1093"/>
      <c r="D389" s="1093"/>
      <c r="E389" s="1093"/>
      <c r="F389" s="117"/>
      <c r="G389" s="118"/>
      <c r="H389" s="1093"/>
      <c r="I389" s="1093"/>
      <c r="J389" s="1093"/>
      <c r="K389" s="895"/>
    </row>
    <row r="390" spans="1:11" s="122" customFormat="1" ht="15" hidden="1" customHeight="1" outlineLevel="1" thickBot="1">
      <c r="A390" s="886"/>
      <c r="B390" s="1091"/>
      <c r="C390" s="1094"/>
      <c r="D390" s="1094"/>
      <c r="E390" s="1094"/>
      <c r="F390" s="119"/>
      <c r="G390" s="120"/>
      <c r="H390" s="1094"/>
      <c r="I390" s="1094"/>
      <c r="J390" s="1094"/>
      <c r="K390" s="895"/>
    </row>
    <row r="391" spans="1:11" s="122" customFormat="1" ht="14.25" hidden="1" customHeight="1" outlineLevel="1">
      <c r="A391" s="886"/>
      <c r="B391" s="1089">
        <v>127</v>
      </c>
      <c r="C391" s="1092"/>
      <c r="D391" s="1097"/>
      <c r="E391" s="1092"/>
      <c r="F391" s="115"/>
      <c r="G391" s="116"/>
      <c r="H391" s="1092"/>
      <c r="I391" s="1113"/>
      <c r="J391" s="1113"/>
      <c r="K391" s="895"/>
    </row>
    <row r="392" spans="1:11" s="122" customFormat="1" ht="14.25" hidden="1" customHeight="1" outlineLevel="1">
      <c r="A392" s="886"/>
      <c r="B392" s="1090"/>
      <c r="C392" s="1093"/>
      <c r="D392" s="1093"/>
      <c r="E392" s="1093"/>
      <c r="F392" s="117"/>
      <c r="G392" s="118"/>
      <c r="H392" s="1093"/>
      <c r="I392" s="1093"/>
      <c r="J392" s="1093"/>
      <c r="K392" s="895"/>
    </row>
    <row r="393" spans="1:11" s="122" customFormat="1" ht="15" hidden="1" customHeight="1" outlineLevel="1" thickBot="1">
      <c r="A393" s="886"/>
      <c r="B393" s="1091"/>
      <c r="C393" s="1094"/>
      <c r="D393" s="1094"/>
      <c r="E393" s="1094"/>
      <c r="F393" s="119"/>
      <c r="G393" s="120"/>
      <c r="H393" s="1094"/>
      <c r="I393" s="1094"/>
      <c r="J393" s="1094"/>
      <c r="K393" s="895"/>
    </row>
    <row r="394" spans="1:11" s="122" customFormat="1" ht="14.25" hidden="1" customHeight="1" outlineLevel="1">
      <c r="A394" s="886"/>
      <c r="B394" s="1089">
        <v>128</v>
      </c>
      <c r="C394" s="1092"/>
      <c r="D394" s="1097"/>
      <c r="E394" s="1092"/>
      <c r="F394" s="115"/>
      <c r="G394" s="116"/>
      <c r="H394" s="1092"/>
      <c r="I394" s="1113"/>
      <c r="J394" s="1113"/>
      <c r="K394" s="895"/>
    </row>
    <row r="395" spans="1:11" s="122" customFormat="1" ht="14.25" hidden="1" customHeight="1" outlineLevel="1">
      <c r="A395" s="886"/>
      <c r="B395" s="1090"/>
      <c r="C395" s="1093"/>
      <c r="D395" s="1093"/>
      <c r="E395" s="1093"/>
      <c r="F395" s="117"/>
      <c r="G395" s="118"/>
      <c r="H395" s="1093"/>
      <c r="I395" s="1093"/>
      <c r="J395" s="1093"/>
      <c r="K395" s="895"/>
    </row>
    <row r="396" spans="1:11" s="122" customFormat="1" ht="15" hidden="1" customHeight="1" outlineLevel="1" thickBot="1">
      <c r="A396" s="886"/>
      <c r="B396" s="1091"/>
      <c r="C396" s="1094"/>
      <c r="D396" s="1094"/>
      <c r="E396" s="1094"/>
      <c r="F396" s="119"/>
      <c r="G396" s="120"/>
      <c r="H396" s="1094"/>
      <c r="I396" s="1094"/>
      <c r="J396" s="1094"/>
      <c r="K396" s="895"/>
    </row>
    <row r="397" spans="1:11" s="122" customFormat="1" ht="14.25" hidden="1" customHeight="1" outlineLevel="1">
      <c r="A397" s="886"/>
      <c r="B397" s="1089">
        <v>129</v>
      </c>
      <c r="C397" s="1092"/>
      <c r="D397" s="1097"/>
      <c r="E397" s="1092"/>
      <c r="F397" s="115"/>
      <c r="G397" s="116"/>
      <c r="H397" s="1092"/>
      <c r="I397" s="1113"/>
      <c r="J397" s="1113"/>
      <c r="K397" s="895"/>
    </row>
    <row r="398" spans="1:11" s="122" customFormat="1" ht="14.25" hidden="1" customHeight="1" outlineLevel="1">
      <c r="A398" s="886"/>
      <c r="B398" s="1090"/>
      <c r="C398" s="1093"/>
      <c r="D398" s="1093"/>
      <c r="E398" s="1093"/>
      <c r="F398" s="117"/>
      <c r="G398" s="118"/>
      <c r="H398" s="1093"/>
      <c r="I398" s="1093"/>
      <c r="J398" s="1093"/>
      <c r="K398" s="895"/>
    </row>
    <row r="399" spans="1:11" s="122" customFormat="1" ht="15" hidden="1" customHeight="1" outlineLevel="1" thickBot="1">
      <c r="A399" s="886"/>
      <c r="B399" s="1091"/>
      <c r="C399" s="1094"/>
      <c r="D399" s="1094"/>
      <c r="E399" s="1094"/>
      <c r="F399" s="119"/>
      <c r="G399" s="120"/>
      <c r="H399" s="1094"/>
      <c r="I399" s="1094"/>
      <c r="J399" s="1094"/>
      <c r="K399" s="895"/>
    </row>
    <row r="400" spans="1:11" s="122" customFormat="1" ht="14.25" hidden="1" customHeight="1" outlineLevel="1">
      <c r="A400" s="886"/>
      <c r="B400" s="1089">
        <v>130</v>
      </c>
      <c r="C400" s="1092"/>
      <c r="D400" s="1097"/>
      <c r="E400" s="1092"/>
      <c r="F400" s="115"/>
      <c r="G400" s="116"/>
      <c r="H400" s="1092"/>
      <c r="I400" s="1113"/>
      <c r="J400" s="1113"/>
      <c r="K400" s="895"/>
    </row>
    <row r="401" spans="1:11" s="122" customFormat="1" ht="14.25" hidden="1" customHeight="1" outlineLevel="1">
      <c r="A401" s="886"/>
      <c r="B401" s="1090"/>
      <c r="C401" s="1093"/>
      <c r="D401" s="1093"/>
      <c r="E401" s="1093"/>
      <c r="F401" s="117"/>
      <c r="G401" s="118"/>
      <c r="H401" s="1093"/>
      <c r="I401" s="1093"/>
      <c r="J401" s="1093"/>
      <c r="K401" s="895"/>
    </row>
    <row r="402" spans="1:11" s="122" customFormat="1" ht="15" hidden="1" customHeight="1" outlineLevel="1" thickBot="1">
      <c r="A402" s="886"/>
      <c r="B402" s="1091"/>
      <c r="C402" s="1094"/>
      <c r="D402" s="1094"/>
      <c r="E402" s="1094"/>
      <c r="F402" s="119"/>
      <c r="G402" s="120"/>
      <c r="H402" s="1094"/>
      <c r="I402" s="1094"/>
      <c r="J402" s="1094"/>
      <c r="K402" s="895"/>
    </row>
    <row r="403" spans="1:11" s="122" customFormat="1" ht="14.25" hidden="1" customHeight="1" outlineLevel="1">
      <c r="A403" s="886"/>
      <c r="B403" s="1089">
        <v>131</v>
      </c>
      <c r="C403" s="1092"/>
      <c r="D403" s="1097"/>
      <c r="E403" s="1092"/>
      <c r="F403" s="115"/>
      <c r="G403" s="116"/>
      <c r="H403" s="1092"/>
      <c r="I403" s="1113"/>
      <c r="J403" s="1113"/>
      <c r="K403" s="895"/>
    </row>
    <row r="404" spans="1:11" s="122" customFormat="1" ht="14.25" hidden="1" customHeight="1" outlineLevel="1">
      <c r="A404" s="886"/>
      <c r="B404" s="1090"/>
      <c r="C404" s="1093"/>
      <c r="D404" s="1093"/>
      <c r="E404" s="1093"/>
      <c r="F404" s="117"/>
      <c r="G404" s="118"/>
      <c r="H404" s="1093"/>
      <c r="I404" s="1093"/>
      <c r="J404" s="1093"/>
      <c r="K404" s="895"/>
    </row>
    <row r="405" spans="1:11" s="122" customFormat="1" ht="15" hidden="1" customHeight="1" outlineLevel="1" thickBot="1">
      <c r="A405" s="886"/>
      <c r="B405" s="1091"/>
      <c r="C405" s="1094"/>
      <c r="D405" s="1094"/>
      <c r="E405" s="1094"/>
      <c r="F405" s="119"/>
      <c r="G405" s="120"/>
      <c r="H405" s="1094"/>
      <c r="I405" s="1094"/>
      <c r="J405" s="1094"/>
      <c r="K405" s="895"/>
    </row>
    <row r="406" spans="1:11" s="122" customFormat="1" ht="14.25" hidden="1" customHeight="1" outlineLevel="1">
      <c r="A406" s="886"/>
      <c r="B406" s="1089">
        <v>132</v>
      </c>
      <c r="C406" s="1092"/>
      <c r="D406" s="1097"/>
      <c r="E406" s="1092"/>
      <c r="F406" s="115"/>
      <c r="G406" s="116"/>
      <c r="H406" s="1092"/>
      <c r="I406" s="1113"/>
      <c r="J406" s="1113"/>
      <c r="K406" s="895"/>
    </row>
    <row r="407" spans="1:11" s="122" customFormat="1" ht="14.25" hidden="1" customHeight="1" outlineLevel="1">
      <c r="A407" s="886"/>
      <c r="B407" s="1090"/>
      <c r="C407" s="1093"/>
      <c r="D407" s="1093"/>
      <c r="E407" s="1093"/>
      <c r="F407" s="117"/>
      <c r="G407" s="118"/>
      <c r="H407" s="1093"/>
      <c r="I407" s="1093"/>
      <c r="J407" s="1093"/>
      <c r="K407" s="895"/>
    </row>
    <row r="408" spans="1:11" s="122" customFormat="1" ht="15" hidden="1" customHeight="1" outlineLevel="1" thickBot="1">
      <c r="A408" s="886"/>
      <c r="B408" s="1091"/>
      <c r="C408" s="1094"/>
      <c r="D408" s="1094"/>
      <c r="E408" s="1094"/>
      <c r="F408" s="119"/>
      <c r="G408" s="120"/>
      <c r="H408" s="1094"/>
      <c r="I408" s="1094"/>
      <c r="J408" s="1094"/>
      <c r="K408" s="895"/>
    </row>
    <row r="409" spans="1:11" s="122" customFormat="1" ht="14.25" hidden="1" customHeight="1" outlineLevel="1">
      <c r="A409" s="886"/>
      <c r="B409" s="1089">
        <v>133</v>
      </c>
      <c r="C409" s="1092"/>
      <c r="D409" s="1097"/>
      <c r="E409" s="1092"/>
      <c r="F409" s="115"/>
      <c r="G409" s="116"/>
      <c r="H409" s="1092"/>
      <c r="I409" s="1113"/>
      <c r="J409" s="1113"/>
      <c r="K409" s="895"/>
    </row>
    <row r="410" spans="1:11" s="122" customFormat="1" ht="14.25" hidden="1" customHeight="1" outlineLevel="1">
      <c r="A410" s="886"/>
      <c r="B410" s="1090"/>
      <c r="C410" s="1093"/>
      <c r="D410" s="1093"/>
      <c r="E410" s="1093"/>
      <c r="F410" s="117"/>
      <c r="G410" s="118"/>
      <c r="H410" s="1093"/>
      <c r="I410" s="1093"/>
      <c r="J410" s="1093"/>
      <c r="K410" s="895"/>
    </row>
    <row r="411" spans="1:11" s="122" customFormat="1" ht="15" hidden="1" customHeight="1" outlineLevel="1" thickBot="1">
      <c r="A411" s="886"/>
      <c r="B411" s="1091"/>
      <c r="C411" s="1094"/>
      <c r="D411" s="1094"/>
      <c r="E411" s="1094"/>
      <c r="F411" s="119"/>
      <c r="G411" s="120"/>
      <c r="H411" s="1094"/>
      <c r="I411" s="1094"/>
      <c r="J411" s="1094"/>
      <c r="K411" s="895"/>
    </row>
    <row r="412" spans="1:11" s="122" customFormat="1" ht="14.25" hidden="1" customHeight="1" outlineLevel="1">
      <c r="A412" s="886"/>
      <c r="B412" s="1089">
        <v>134</v>
      </c>
      <c r="C412" s="1092"/>
      <c r="D412" s="1097"/>
      <c r="E412" s="1092"/>
      <c r="F412" s="115"/>
      <c r="G412" s="116"/>
      <c r="H412" s="1092"/>
      <c r="I412" s="1113"/>
      <c r="J412" s="1113"/>
      <c r="K412" s="895"/>
    </row>
    <row r="413" spans="1:11" s="122" customFormat="1" ht="14.25" hidden="1" customHeight="1" outlineLevel="1">
      <c r="A413" s="886"/>
      <c r="B413" s="1090"/>
      <c r="C413" s="1093"/>
      <c r="D413" s="1093"/>
      <c r="E413" s="1093"/>
      <c r="F413" s="117"/>
      <c r="G413" s="118"/>
      <c r="H413" s="1093"/>
      <c r="I413" s="1093"/>
      <c r="J413" s="1093"/>
      <c r="K413" s="895"/>
    </row>
    <row r="414" spans="1:11" s="122" customFormat="1" ht="15" hidden="1" customHeight="1" outlineLevel="1" thickBot="1">
      <c r="A414" s="886"/>
      <c r="B414" s="1091"/>
      <c r="C414" s="1094"/>
      <c r="D414" s="1094"/>
      <c r="E414" s="1094"/>
      <c r="F414" s="119"/>
      <c r="G414" s="120"/>
      <c r="H414" s="1094"/>
      <c r="I414" s="1094"/>
      <c r="J414" s="1094"/>
      <c r="K414" s="895"/>
    </row>
    <row r="415" spans="1:11" s="122" customFormat="1" ht="14.25" hidden="1" customHeight="1" outlineLevel="1">
      <c r="A415" s="886"/>
      <c r="B415" s="1089">
        <v>135</v>
      </c>
      <c r="C415" s="1092"/>
      <c r="D415" s="1097"/>
      <c r="E415" s="1092"/>
      <c r="F415" s="115"/>
      <c r="G415" s="116"/>
      <c r="H415" s="1092"/>
      <c r="I415" s="1113"/>
      <c r="J415" s="1113"/>
      <c r="K415" s="895"/>
    </row>
    <row r="416" spans="1:11" s="122" customFormat="1" ht="14.25" hidden="1" customHeight="1" outlineLevel="1">
      <c r="A416" s="886"/>
      <c r="B416" s="1090"/>
      <c r="C416" s="1093"/>
      <c r="D416" s="1093"/>
      <c r="E416" s="1093"/>
      <c r="F416" s="117"/>
      <c r="G416" s="118"/>
      <c r="H416" s="1093"/>
      <c r="I416" s="1093"/>
      <c r="J416" s="1093"/>
      <c r="K416" s="895"/>
    </row>
    <row r="417" spans="1:11" s="122" customFormat="1" ht="15" hidden="1" customHeight="1" outlineLevel="1" thickBot="1">
      <c r="A417" s="886"/>
      <c r="B417" s="1091"/>
      <c r="C417" s="1094"/>
      <c r="D417" s="1094"/>
      <c r="E417" s="1094"/>
      <c r="F417" s="119"/>
      <c r="G417" s="120"/>
      <c r="H417" s="1094"/>
      <c r="I417" s="1094"/>
      <c r="J417" s="1094"/>
      <c r="K417" s="895"/>
    </row>
    <row r="418" spans="1:11" s="122" customFormat="1" ht="14.25" hidden="1" customHeight="1" outlineLevel="1">
      <c r="A418" s="886"/>
      <c r="B418" s="1089">
        <v>136</v>
      </c>
      <c r="C418" s="1092"/>
      <c r="D418" s="1097"/>
      <c r="E418" s="1092"/>
      <c r="F418" s="115"/>
      <c r="G418" s="116"/>
      <c r="H418" s="1092"/>
      <c r="I418" s="1113"/>
      <c r="J418" s="1113"/>
      <c r="K418" s="895"/>
    </row>
    <row r="419" spans="1:11" s="122" customFormat="1" ht="14.25" hidden="1" customHeight="1" outlineLevel="1">
      <c r="A419" s="886"/>
      <c r="B419" s="1090"/>
      <c r="C419" s="1093"/>
      <c r="D419" s="1093"/>
      <c r="E419" s="1093"/>
      <c r="F419" s="117"/>
      <c r="G419" s="118"/>
      <c r="H419" s="1093"/>
      <c r="I419" s="1093"/>
      <c r="J419" s="1093"/>
      <c r="K419" s="895"/>
    </row>
    <row r="420" spans="1:11" s="122" customFormat="1" ht="15" hidden="1" customHeight="1" outlineLevel="1" thickBot="1">
      <c r="A420" s="886"/>
      <c r="B420" s="1091"/>
      <c r="C420" s="1094"/>
      <c r="D420" s="1094"/>
      <c r="E420" s="1094"/>
      <c r="F420" s="119"/>
      <c r="G420" s="120"/>
      <c r="H420" s="1094"/>
      <c r="I420" s="1094"/>
      <c r="J420" s="1094"/>
      <c r="K420" s="895"/>
    </row>
    <row r="421" spans="1:11" s="122" customFormat="1" ht="14.25" hidden="1" customHeight="1" outlineLevel="1">
      <c r="A421" s="886"/>
      <c r="B421" s="1089">
        <v>137</v>
      </c>
      <c r="C421" s="1092"/>
      <c r="D421" s="1097"/>
      <c r="E421" s="1092"/>
      <c r="F421" s="115"/>
      <c r="G421" s="116"/>
      <c r="H421" s="1092"/>
      <c r="I421" s="1113"/>
      <c r="J421" s="1113"/>
      <c r="K421" s="895"/>
    </row>
    <row r="422" spans="1:11" s="122" customFormat="1" ht="14.25" hidden="1" customHeight="1" outlineLevel="1">
      <c r="A422" s="886"/>
      <c r="B422" s="1090"/>
      <c r="C422" s="1093"/>
      <c r="D422" s="1093"/>
      <c r="E422" s="1093"/>
      <c r="F422" s="117"/>
      <c r="G422" s="118"/>
      <c r="H422" s="1093"/>
      <c r="I422" s="1093"/>
      <c r="J422" s="1093"/>
      <c r="K422" s="895"/>
    </row>
    <row r="423" spans="1:11" s="122" customFormat="1" ht="15" hidden="1" customHeight="1" outlineLevel="1" thickBot="1">
      <c r="A423" s="886"/>
      <c r="B423" s="1091"/>
      <c r="C423" s="1094"/>
      <c r="D423" s="1094"/>
      <c r="E423" s="1094"/>
      <c r="F423" s="119"/>
      <c r="G423" s="120"/>
      <c r="H423" s="1094"/>
      <c r="I423" s="1094"/>
      <c r="J423" s="1094"/>
      <c r="K423" s="895"/>
    </row>
    <row r="424" spans="1:11" s="122" customFormat="1" ht="14.25" hidden="1" customHeight="1" outlineLevel="1">
      <c r="A424" s="886"/>
      <c r="B424" s="1089">
        <v>138</v>
      </c>
      <c r="C424" s="1092"/>
      <c r="D424" s="1097"/>
      <c r="E424" s="1092"/>
      <c r="F424" s="115"/>
      <c r="G424" s="116"/>
      <c r="H424" s="1092"/>
      <c r="I424" s="1113"/>
      <c r="J424" s="1113"/>
      <c r="K424" s="895"/>
    </row>
    <row r="425" spans="1:11" s="122" customFormat="1" ht="14.25" hidden="1" customHeight="1" outlineLevel="1">
      <c r="A425" s="886"/>
      <c r="B425" s="1090"/>
      <c r="C425" s="1093"/>
      <c r="D425" s="1093"/>
      <c r="E425" s="1093"/>
      <c r="F425" s="117"/>
      <c r="G425" s="118"/>
      <c r="H425" s="1093"/>
      <c r="I425" s="1093"/>
      <c r="J425" s="1093"/>
      <c r="K425" s="895"/>
    </row>
    <row r="426" spans="1:11" s="122" customFormat="1" ht="15" hidden="1" customHeight="1" outlineLevel="1" thickBot="1">
      <c r="A426" s="886"/>
      <c r="B426" s="1091"/>
      <c r="C426" s="1094"/>
      <c r="D426" s="1094"/>
      <c r="E426" s="1094"/>
      <c r="F426" s="119"/>
      <c r="G426" s="120"/>
      <c r="H426" s="1094"/>
      <c r="I426" s="1094"/>
      <c r="J426" s="1094"/>
      <c r="K426" s="895"/>
    </row>
    <row r="427" spans="1:11" s="122" customFormat="1" ht="14.25" hidden="1" customHeight="1" outlineLevel="1">
      <c r="A427" s="886"/>
      <c r="B427" s="1089">
        <v>139</v>
      </c>
      <c r="C427" s="1092"/>
      <c r="D427" s="1097"/>
      <c r="E427" s="1092"/>
      <c r="F427" s="115"/>
      <c r="G427" s="116"/>
      <c r="H427" s="1092"/>
      <c r="I427" s="1113"/>
      <c r="J427" s="1113"/>
      <c r="K427" s="895"/>
    </row>
    <row r="428" spans="1:11" s="122" customFormat="1" ht="14.25" hidden="1" customHeight="1" outlineLevel="1">
      <c r="A428" s="886"/>
      <c r="B428" s="1090"/>
      <c r="C428" s="1093"/>
      <c r="D428" s="1093"/>
      <c r="E428" s="1093"/>
      <c r="F428" s="117"/>
      <c r="G428" s="118"/>
      <c r="H428" s="1093"/>
      <c r="I428" s="1093"/>
      <c r="J428" s="1093"/>
      <c r="K428" s="895"/>
    </row>
    <row r="429" spans="1:11" s="122" customFormat="1" ht="15" hidden="1" customHeight="1" outlineLevel="1" thickBot="1">
      <c r="A429" s="886"/>
      <c r="B429" s="1091"/>
      <c r="C429" s="1094"/>
      <c r="D429" s="1094"/>
      <c r="E429" s="1094"/>
      <c r="F429" s="119"/>
      <c r="G429" s="120"/>
      <c r="H429" s="1094"/>
      <c r="I429" s="1094"/>
      <c r="J429" s="1094"/>
      <c r="K429" s="895"/>
    </row>
    <row r="430" spans="1:11" s="122" customFormat="1" ht="14.25" hidden="1" customHeight="1" outlineLevel="1">
      <c r="A430" s="886"/>
      <c r="B430" s="1089">
        <v>140</v>
      </c>
      <c r="C430" s="1092"/>
      <c r="D430" s="1097"/>
      <c r="E430" s="1092"/>
      <c r="F430" s="115"/>
      <c r="G430" s="116"/>
      <c r="H430" s="1092"/>
      <c r="I430" s="1113"/>
      <c r="J430" s="1113"/>
      <c r="K430" s="895"/>
    </row>
    <row r="431" spans="1:11" s="122" customFormat="1" ht="14.25" hidden="1" customHeight="1" outlineLevel="1">
      <c r="A431" s="886"/>
      <c r="B431" s="1090"/>
      <c r="C431" s="1093"/>
      <c r="D431" s="1093"/>
      <c r="E431" s="1093"/>
      <c r="F431" s="117"/>
      <c r="G431" s="118"/>
      <c r="H431" s="1093"/>
      <c r="I431" s="1093"/>
      <c r="J431" s="1093"/>
      <c r="K431" s="895"/>
    </row>
    <row r="432" spans="1:11" s="122" customFormat="1" ht="15" hidden="1" customHeight="1" outlineLevel="1" thickBot="1">
      <c r="A432" s="886"/>
      <c r="B432" s="1091"/>
      <c r="C432" s="1094"/>
      <c r="D432" s="1094"/>
      <c r="E432" s="1094"/>
      <c r="F432" s="119"/>
      <c r="G432" s="120"/>
      <c r="H432" s="1094"/>
      <c r="I432" s="1094"/>
      <c r="J432" s="1094"/>
      <c r="K432" s="895"/>
    </row>
    <row r="433" spans="1:11" s="122" customFormat="1" ht="14.25" hidden="1" customHeight="1" outlineLevel="1">
      <c r="A433" s="886"/>
      <c r="B433" s="1089">
        <v>141</v>
      </c>
      <c r="C433" s="1092"/>
      <c r="D433" s="1097"/>
      <c r="E433" s="1092"/>
      <c r="F433" s="115"/>
      <c r="G433" s="116"/>
      <c r="H433" s="1092"/>
      <c r="I433" s="1113"/>
      <c r="J433" s="1113"/>
      <c r="K433" s="895"/>
    </row>
    <row r="434" spans="1:11" s="122" customFormat="1" ht="14.25" hidden="1" customHeight="1" outlineLevel="1">
      <c r="A434" s="886"/>
      <c r="B434" s="1090"/>
      <c r="C434" s="1093"/>
      <c r="D434" s="1093"/>
      <c r="E434" s="1093"/>
      <c r="F434" s="117"/>
      <c r="G434" s="118"/>
      <c r="H434" s="1093"/>
      <c r="I434" s="1093"/>
      <c r="J434" s="1093"/>
      <c r="K434" s="895"/>
    </row>
    <row r="435" spans="1:11" s="122" customFormat="1" ht="15" hidden="1" customHeight="1" outlineLevel="1" thickBot="1">
      <c r="A435" s="886"/>
      <c r="B435" s="1091"/>
      <c r="C435" s="1094"/>
      <c r="D435" s="1094"/>
      <c r="E435" s="1094"/>
      <c r="F435" s="119"/>
      <c r="G435" s="120"/>
      <c r="H435" s="1094"/>
      <c r="I435" s="1094"/>
      <c r="J435" s="1094"/>
      <c r="K435" s="895"/>
    </row>
    <row r="436" spans="1:11" s="122" customFormat="1" ht="14.25" hidden="1" customHeight="1" outlineLevel="1">
      <c r="A436" s="886"/>
      <c r="B436" s="1089">
        <v>142</v>
      </c>
      <c r="C436" s="1092"/>
      <c r="D436" s="1097"/>
      <c r="E436" s="1092"/>
      <c r="F436" s="115"/>
      <c r="G436" s="116"/>
      <c r="H436" s="1092"/>
      <c r="I436" s="1113"/>
      <c r="J436" s="1113"/>
      <c r="K436" s="895"/>
    </row>
    <row r="437" spans="1:11" s="122" customFormat="1" ht="14.25" hidden="1" customHeight="1" outlineLevel="1">
      <c r="A437" s="886"/>
      <c r="B437" s="1090"/>
      <c r="C437" s="1093"/>
      <c r="D437" s="1093"/>
      <c r="E437" s="1093"/>
      <c r="F437" s="117"/>
      <c r="G437" s="118"/>
      <c r="H437" s="1093"/>
      <c r="I437" s="1093"/>
      <c r="J437" s="1093"/>
      <c r="K437" s="895"/>
    </row>
    <row r="438" spans="1:11" s="122" customFormat="1" ht="15" hidden="1" customHeight="1" outlineLevel="1" thickBot="1">
      <c r="A438" s="886"/>
      <c r="B438" s="1091"/>
      <c r="C438" s="1094"/>
      <c r="D438" s="1094"/>
      <c r="E438" s="1094"/>
      <c r="F438" s="119"/>
      <c r="G438" s="120"/>
      <c r="H438" s="1094"/>
      <c r="I438" s="1094"/>
      <c r="J438" s="1094"/>
      <c r="K438" s="895"/>
    </row>
    <row r="439" spans="1:11" s="122" customFormat="1" ht="14.25" hidden="1" customHeight="1" outlineLevel="1">
      <c r="A439" s="886"/>
      <c r="B439" s="1089">
        <v>143</v>
      </c>
      <c r="C439" s="1092"/>
      <c r="D439" s="1097"/>
      <c r="E439" s="1092"/>
      <c r="F439" s="115"/>
      <c r="G439" s="116"/>
      <c r="H439" s="1092"/>
      <c r="I439" s="1113"/>
      <c r="J439" s="1113"/>
      <c r="K439" s="895"/>
    </row>
    <row r="440" spans="1:11" s="122" customFormat="1" ht="14.25" hidden="1" customHeight="1" outlineLevel="1">
      <c r="A440" s="886"/>
      <c r="B440" s="1090"/>
      <c r="C440" s="1093"/>
      <c r="D440" s="1093"/>
      <c r="E440" s="1093"/>
      <c r="F440" s="117"/>
      <c r="G440" s="118"/>
      <c r="H440" s="1093"/>
      <c r="I440" s="1093"/>
      <c r="J440" s="1093"/>
      <c r="K440" s="895"/>
    </row>
    <row r="441" spans="1:11" s="122" customFormat="1" ht="15" hidden="1" customHeight="1" outlineLevel="1" thickBot="1">
      <c r="A441" s="886"/>
      <c r="B441" s="1091"/>
      <c r="C441" s="1094"/>
      <c r="D441" s="1094"/>
      <c r="E441" s="1094"/>
      <c r="F441" s="119"/>
      <c r="G441" s="120"/>
      <c r="H441" s="1094"/>
      <c r="I441" s="1094"/>
      <c r="J441" s="1094"/>
      <c r="K441" s="895"/>
    </row>
    <row r="442" spans="1:11" s="122" customFormat="1" ht="14.25" hidden="1" customHeight="1" outlineLevel="1">
      <c r="A442" s="886"/>
      <c r="B442" s="1089">
        <v>144</v>
      </c>
      <c r="C442" s="1092"/>
      <c r="D442" s="1097"/>
      <c r="E442" s="1092"/>
      <c r="F442" s="115"/>
      <c r="G442" s="116"/>
      <c r="H442" s="1092"/>
      <c r="I442" s="1113"/>
      <c r="J442" s="1113"/>
      <c r="K442" s="895"/>
    </row>
    <row r="443" spans="1:11" s="122" customFormat="1" ht="14.25" hidden="1" customHeight="1" outlineLevel="1">
      <c r="A443" s="886"/>
      <c r="B443" s="1090"/>
      <c r="C443" s="1093"/>
      <c r="D443" s="1093"/>
      <c r="E443" s="1093"/>
      <c r="F443" s="117"/>
      <c r="G443" s="118"/>
      <c r="H443" s="1093"/>
      <c r="I443" s="1093"/>
      <c r="J443" s="1093"/>
      <c r="K443" s="895"/>
    </row>
    <row r="444" spans="1:11" s="122" customFormat="1" ht="15" hidden="1" customHeight="1" outlineLevel="1" thickBot="1">
      <c r="A444" s="886"/>
      <c r="B444" s="1091"/>
      <c r="C444" s="1094"/>
      <c r="D444" s="1094"/>
      <c r="E444" s="1094"/>
      <c r="F444" s="119"/>
      <c r="G444" s="120"/>
      <c r="H444" s="1094"/>
      <c r="I444" s="1094"/>
      <c r="J444" s="1094"/>
      <c r="K444" s="895"/>
    </row>
    <row r="445" spans="1:11" s="122" customFormat="1" ht="14.25" hidden="1" customHeight="1" outlineLevel="1">
      <c r="A445" s="886"/>
      <c r="B445" s="1089">
        <v>145</v>
      </c>
      <c r="C445" s="1092"/>
      <c r="D445" s="1097"/>
      <c r="E445" s="1092"/>
      <c r="F445" s="115"/>
      <c r="G445" s="116"/>
      <c r="H445" s="1092"/>
      <c r="I445" s="1113"/>
      <c r="J445" s="1113"/>
      <c r="K445" s="895"/>
    </row>
    <row r="446" spans="1:11" s="122" customFormat="1" ht="14.25" hidden="1" customHeight="1" outlineLevel="1">
      <c r="A446" s="886"/>
      <c r="B446" s="1090"/>
      <c r="C446" s="1093"/>
      <c r="D446" s="1093"/>
      <c r="E446" s="1093"/>
      <c r="F446" s="117"/>
      <c r="G446" s="118"/>
      <c r="H446" s="1093"/>
      <c r="I446" s="1093"/>
      <c r="J446" s="1093"/>
      <c r="K446" s="895"/>
    </row>
    <row r="447" spans="1:11" s="122" customFormat="1" ht="15" hidden="1" customHeight="1" outlineLevel="1" thickBot="1">
      <c r="A447" s="886"/>
      <c r="B447" s="1091"/>
      <c r="C447" s="1094"/>
      <c r="D447" s="1094"/>
      <c r="E447" s="1094"/>
      <c r="F447" s="119"/>
      <c r="G447" s="120"/>
      <c r="H447" s="1094"/>
      <c r="I447" s="1094"/>
      <c r="J447" s="1094"/>
      <c r="K447" s="895"/>
    </row>
    <row r="448" spans="1:11" s="122" customFormat="1" ht="14.25" hidden="1" customHeight="1" outlineLevel="1">
      <c r="A448" s="886"/>
      <c r="B448" s="1089">
        <v>146</v>
      </c>
      <c r="C448" s="1092"/>
      <c r="D448" s="1097"/>
      <c r="E448" s="1092"/>
      <c r="F448" s="115"/>
      <c r="G448" s="116"/>
      <c r="H448" s="1092"/>
      <c r="I448" s="1113"/>
      <c r="J448" s="1113"/>
      <c r="K448" s="895"/>
    </row>
    <row r="449" spans="1:11" s="122" customFormat="1" ht="14.25" hidden="1" customHeight="1" outlineLevel="1">
      <c r="A449" s="886"/>
      <c r="B449" s="1090"/>
      <c r="C449" s="1093"/>
      <c r="D449" s="1093"/>
      <c r="E449" s="1093"/>
      <c r="F449" s="117"/>
      <c r="G449" s="118"/>
      <c r="H449" s="1093"/>
      <c r="I449" s="1093"/>
      <c r="J449" s="1093"/>
      <c r="K449" s="895"/>
    </row>
    <row r="450" spans="1:11" s="122" customFormat="1" ht="15" hidden="1" customHeight="1" outlineLevel="1" thickBot="1">
      <c r="A450" s="886"/>
      <c r="B450" s="1091"/>
      <c r="C450" s="1094"/>
      <c r="D450" s="1094"/>
      <c r="E450" s="1094"/>
      <c r="F450" s="119"/>
      <c r="G450" s="120"/>
      <c r="H450" s="1094"/>
      <c r="I450" s="1094"/>
      <c r="J450" s="1094"/>
      <c r="K450" s="895"/>
    </row>
    <row r="451" spans="1:11" s="122" customFormat="1" ht="14.25" hidden="1" customHeight="1" outlineLevel="1">
      <c r="A451" s="886"/>
      <c r="B451" s="1089">
        <v>147</v>
      </c>
      <c r="C451" s="1092"/>
      <c r="D451" s="1097"/>
      <c r="E451" s="1092"/>
      <c r="F451" s="115"/>
      <c r="G451" s="116"/>
      <c r="H451" s="1092"/>
      <c r="I451" s="1113"/>
      <c r="J451" s="1113"/>
      <c r="K451" s="895"/>
    </row>
    <row r="452" spans="1:11" s="122" customFormat="1" ht="14.25" hidden="1" customHeight="1" outlineLevel="1">
      <c r="A452" s="886"/>
      <c r="B452" s="1090"/>
      <c r="C452" s="1093"/>
      <c r="D452" s="1093"/>
      <c r="E452" s="1093"/>
      <c r="F452" s="117"/>
      <c r="G452" s="118"/>
      <c r="H452" s="1093"/>
      <c r="I452" s="1093"/>
      <c r="J452" s="1093"/>
      <c r="K452" s="895"/>
    </row>
    <row r="453" spans="1:11" s="122" customFormat="1" ht="15" hidden="1" customHeight="1" outlineLevel="1" thickBot="1">
      <c r="A453" s="886"/>
      <c r="B453" s="1091"/>
      <c r="C453" s="1094"/>
      <c r="D453" s="1094"/>
      <c r="E453" s="1094"/>
      <c r="F453" s="119"/>
      <c r="G453" s="120"/>
      <c r="H453" s="1094"/>
      <c r="I453" s="1094"/>
      <c r="J453" s="1094"/>
      <c r="K453" s="895"/>
    </row>
    <row r="454" spans="1:11" s="122" customFormat="1" ht="14.25" hidden="1" customHeight="1" outlineLevel="1">
      <c r="A454" s="886"/>
      <c r="B454" s="1089">
        <v>148</v>
      </c>
      <c r="C454" s="1092"/>
      <c r="D454" s="1097"/>
      <c r="E454" s="1092"/>
      <c r="F454" s="115"/>
      <c r="G454" s="116"/>
      <c r="H454" s="1092"/>
      <c r="I454" s="1113"/>
      <c r="J454" s="1113"/>
      <c r="K454" s="895"/>
    </row>
    <row r="455" spans="1:11" s="122" customFormat="1" ht="14.25" hidden="1" customHeight="1" outlineLevel="1">
      <c r="A455" s="886"/>
      <c r="B455" s="1090"/>
      <c r="C455" s="1093"/>
      <c r="D455" s="1093"/>
      <c r="E455" s="1093"/>
      <c r="F455" s="117"/>
      <c r="G455" s="118"/>
      <c r="H455" s="1093"/>
      <c r="I455" s="1093"/>
      <c r="J455" s="1093"/>
      <c r="K455" s="895"/>
    </row>
    <row r="456" spans="1:11" s="122" customFormat="1" ht="15" hidden="1" customHeight="1" outlineLevel="1" thickBot="1">
      <c r="A456" s="886"/>
      <c r="B456" s="1091"/>
      <c r="C456" s="1094"/>
      <c r="D456" s="1094"/>
      <c r="E456" s="1094"/>
      <c r="F456" s="119"/>
      <c r="G456" s="120"/>
      <c r="H456" s="1094"/>
      <c r="I456" s="1094"/>
      <c r="J456" s="1094"/>
      <c r="K456" s="895"/>
    </row>
    <row r="457" spans="1:11" s="122" customFormat="1" ht="14.25" hidden="1" customHeight="1" outlineLevel="1">
      <c r="A457" s="886"/>
      <c r="B457" s="1089">
        <v>149</v>
      </c>
      <c r="C457" s="1092"/>
      <c r="D457" s="1097"/>
      <c r="E457" s="1092"/>
      <c r="F457" s="115"/>
      <c r="G457" s="116"/>
      <c r="H457" s="1092"/>
      <c r="I457" s="1113"/>
      <c r="J457" s="1113"/>
      <c r="K457" s="895"/>
    </row>
    <row r="458" spans="1:11" s="122" customFormat="1" ht="14.25" hidden="1" customHeight="1" outlineLevel="1">
      <c r="A458" s="886"/>
      <c r="B458" s="1090"/>
      <c r="C458" s="1093"/>
      <c r="D458" s="1093"/>
      <c r="E458" s="1093"/>
      <c r="F458" s="117"/>
      <c r="G458" s="118"/>
      <c r="H458" s="1093"/>
      <c r="I458" s="1093"/>
      <c r="J458" s="1093"/>
      <c r="K458" s="895"/>
    </row>
    <row r="459" spans="1:11" s="122" customFormat="1" ht="15" hidden="1" customHeight="1" outlineLevel="1" thickBot="1">
      <c r="A459" s="886"/>
      <c r="B459" s="1091"/>
      <c r="C459" s="1094"/>
      <c r="D459" s="1094"/>
      <c r="E459" s="1094"/>
      <c r="F459" s="119"/>
      <c r="G459" s="120"/>
      <c r="H459" s="1094"/>
      <c r="I459" s="1094"/>
      <c r="J459" s="1094"/>
      <c r="K459" s="895"/>
    </row>
    <row r="460" spans="1:11" s="122" customFormat="1" ht="14.25" hidden="1" customHeight="1" outlineLevel="1">
      <c r="A460" s="886"/>
      <c r="B460" s="1089">
        <v>150</v>
      </c>
      <c r="C460" s="1092"/>
      <c r="D460" s="1097"/>
      <c r="E460" s="1092"/>
      <c r="F460" s="115"/>
      <c r="G460" s="116"/>
      <c r="H460" s="1092"/>
      <c r="I460" s="1113"/>
      <c r="J460" s="1113"/>
      <c r="K460" s="895"/>
    </row>
    <row r="461" spans="1:11" s="122" customFormat="1" ht="14.25" hidden="1" customHeight="1" outlineLevel="1">
      <c r="A461" s="886"/>
      <c r="B461" s="1090"/>
      <c r="C461" s="1093"/>
      <c r="D461" s="1093"/>
      <c r="E461" s="1093"/>
      <c r="F461" s="117"/>
      <c r="G461" s="118"/>
      <c r="H461" s="1093"/>
      <c r="I461" s="1093"/>
      <c r="J461" s="1093"/>
      <c r="K461" s="895"/>
    </row>
    <row r="462" spans="1:11" s="122" customFormat="1" ht="15" hidden="1" customHeight="1" outlineLevel="1" thickBot="1">
      <c r="A462" s="886"/>
      <c r="B462" s="1091"/>
      <c r="C462" s="1094"/>
      <c r="D462" s="1094"/>
      <c r="E462" s="1094"/>
      <c r="F462" s="119"/>
      <c r="G462" s="120"/>
      <c r="H462" s="1094"/>
      <c r="I462" s="1094"/>
      <c r="J462" s="1094"/>
      <c r="K462" s="895"/>
    </row>
    <row r="463" spans="1:11" s="122" customFormat="1" ht="14.25" hidden="1" customHeight="1" outlineLevel="1">
      <c r="A463" s="886"/>
      <c r="B463" s="1089">
        <v>151</v>
      </c>
      <c r="C463" s="1092"/>
      <c r="D463" s="1097"/>
      <c r="E463" s="1092"/>
      <c r="F463" s="115"/>
      <c r="G463" s="116"/>
      <c r="H463" s="1092"/>
      <c r="I463" s="1113"/>
      <c r="J463" s="1113"/>
      <c r="K463" s="895"/>
    </row>
    <row r="464" spans="1:11" s="122" customFormat="1" ht="14.25" hidden="1" customHeight="1" outlineLevel="1">
      <c r="A464" s="886"/>
      <c r="B464" s="1090"/>
      <c r="C464" s="1093"/>
      <c r="D464" s="1093"/>
      <c r="E464" s="1093"/>
      <c r="F464" s="117"/>
      <c r="G464" s="118"/>
      <c r="H464" s="1093"/>
      <c r="I464" s="1093"/>
      <c r="J464" s="1093"/>
      <c r="K464" s="895"/>
    </row>
    <row r="465" spans="1:11" s="122" customFormat="1" ht="15" hidden="1" customHeight="1" outlineLevel="1" thickBot="1">
      <c r="A465" s="886"/>
      <c r="B465" s="1091"/>
      <c r="C465" s="1094"/>
      <c r="D465" s="1094"/>
      <c r="E465" s="1094"/>
      <c r="F465" s="119"/>
      <c r="G465" s="120"/>
      <c r="H465" s="1094"/>
      <c r="I465" s="1094"/>
      <c r="J465" s="1094"/>
      <c r="K465" s="895"/>
    </row>
    <row r="466" spans="1:11" s="122" customFormat="1" ht="14.25" hidden="1" customHeight="1" outlineLevel="1">
      <c r="A466" s="886"/>
      <c r="B466" s="1089">
        <v>152</v>
      </c>
      <c r="C466" s="1092"/>
      <c r="D466" s="1097"/>
      <c r="E466" s="1092"/>
      <c r="F466" s="115"/>
      <c r="G466" s="116"/>
      <c r="H466" s="1092"/>
      <c r="I466" s="1113"/>
      <c r="J466" s="1113"/>
      <c r="K466" s="895"/>
    </row>
    <row r="467" spans="1:11" s="122" customFormat="1" ht="14.25" hidden="1" customHeight="1" outlineLevel="1">
      <c r="A467" s="886"/>
      <c r="B467" s="1090"/>
      <c r="C467" s="1093"/>
      <c r="D467" s="1093"/>
      <c r="E467" s="1093"/>
      <c r="F467" s="117"/>
      <c r="G467" s="118"/>
      <c r="H467" s="1093"/>
      <c r="I467" s="1093"/>
      <c r="J467" s="1093"/>
      <c r="K467" s="895"/>
    </row>
    <row r="468" spans="1:11" s="122" customFormat="1" ht="15" hidden="1" customHeight="1" outlineLevel="1" thickBot="1">
      <c r="A468" s="886"/>
      <c r="B468" s="1091"/>
      <c r="C468" s="1094"/>
      <c r="D468" s="1094"/>
      <c r="E468" s="1094"/>
      <c r="F468" s="119"/>
      <c r="G468" s="120"/>
      <c r="H468" s="1094"/>
      <c r="I468" s="1094"/>
      <c r="J468" s="1094"/>
      <c r="K468" s="895"/>
    </row>
    <row r="469" spans="1:11" s="122" customFormat="1" ht="14.25" hidden="1" customHeight="1" outlineLevel="1">
      <c r="A469" s="886"/>
      <c r="B469" s="1089">
        <v>153</v>
      </c>
      <c r="C469" s="1092"/>
      <c r="D469" s="1097"/>
      <c r="E469" s="1092"/>
      <c r="F469" s="115"/>
      <c r="G469" s="116"/>
      <c r="H469" s="1092"/>
      <c r="I469" s="1113"/>
      <c r="J469" s="1113"/>
      <c r="K469" s="895"/>
    </row>
    <row r="470" spans="1:11" s="122" customFormat="1" ht="14.25" hidden="1" customHeight="1" outlineLevel="1">
      <c r="A470" s="886"/>
      <c r="B470" s="1090"/>
      <c r="C470" s="1093"/>
      <c r="D470" s="1093"/>
      <c r="E470" s="1093"/>
      <c r="F470" s="117"/>
      <c r="G470" s="118"/>
      <c r="H470" s="1093"/>
      <c r="I470" s="1093"/>
      <c r="J470" s="1093"/>
      <c r="K470" s="895"/>
    </row>
    <row r="471" spans="1:11" s="122" customFormat="1" ht="15" hidden="1" customHeight="1" outlineLevel="1" thickBot="1">
      <c r="A471" s="886"/>
      <c r="B471" s="1091"/>
      <c r="C471" s="1094"/>
      <c r="D471" s="1094"/>
      <c r="E471" s="1094"/>
      <c r="F471" s="119"/>
      <c r="G471" s="120"/>
      <c r="H471" s="1094"/>
      <c r="I471" s="1094"/>
      <c r="J471" s="1094"/>
      <c r="K471" s="895"/>
    </row>
    <row r="472" spans="1:11" s="122" customFormat="1" ht="14.25" hidden="1" customHeight="1" outlineLevel="1">
      <c r="A472" s="886"/>
      <c r="B472" s="1089">
        <v>154</v>
      </c>
      <c r="C472" s="1092"/>
      <c r="D472" s="1097"/>
      <c r="E472" s="1092"/>
      <c r="F472" s="115"/>
      <c r="G472" s="116"/>
      <c r="H472" s="1092"/>
      <c r="I472" s="1113"/>
      <c r="J472" s="1113"/>
      <c r="K472" s="895"/>
    </row>
    <row r="473" spans="1:11" s="122" customFormat="1" ht="14.25" hidden="1" customHeight="1" outlineLevel="1">
      <c r="A473" s="886"/>
      <c r="B473" s="1090"/>
      <c r="C473" s="1093"/>
      <c r="D473" s="1093"/>
      <c r="E473" s="1093"/>
      <c r="F473" s="117"/>
      <c r="G473" s="118"/>
      <c r="H473" s="1093"/>
      <c r="I473" s="1093"/>
      <c r="J473" s="1093"/>
      <c r="K473" s="895"/>
    </row>
    <row r="474" spans="1:11" s="122" customFormat="1" ht="15" hidden="1" customHeight="1" outlineLevel="1" thickBot="1">
      <c r="A474" s="886"/>
      <c r="B474" s="1091"/>
      <c r="C474" s="1094"/>
      <c r="D474" s="1094"/>
      <c r="E474" s="1094"/>
      <c r="F474" s="119"/>
      <c r="G474" s="120"/>
      <c r="H474" s="1094"/>
      <c r="I474" s="1094"/>
      <c r="J474" s="1094"/>
      <c r="K474" s="895"/>
    </row>
    <row r="475" spans="1:11" s="122" customFormat="1" ht="14.25" hidden="1" customHeight="1" outlineLevel="1">
      <c r="A475" s="886"/>
      <c r="B475" s="1089">
        <v>155</v>
      </c>
      <c r="C475" s="1092"/>
      <c r="D475" s="1097"/>
      <c r="E475" s="1092"/>
      <c r="F475" s="115"/>
      <c r="G475" s="116"/>
      <c r="H475" s="1092"/>
      <c r="I475" s="1113"/>
      <c r="J475" s="1113"/>
      <c r="K475" s="895"/>
    </row>
    <row r="476" spans="1:11" s="122" customFormat="1" ht="14.25" hidden="1" customHeight="1" outlineLevel="1">
      <c r="A476" s="886"/>
      <c r="B476" s="1090"/>
      <c r="C476" s="1093"/>
      <c r="D476" s="1093"/>
      <c r="E476" s="1093"/>
      <c r="F476" s="117"/>
      <c r="G476" s="118"/>
      <c r="H476" s="1093"/>
      <c r="I476" s="1093"/>
      <c r="J476" s="1093"/>
      <c r="K476" s="895"/>
    </row>
    <row r="477" spans="1:11" s="122" customFormat="1" ht="15" hidden="1" customHeight="1" outlineLevel="1" thickBot="1">
      <c r="A477" s="886"/>
      <c r="B477" s="1091"/>
      <c r="C477" s="1094"/>
      <c r="D477" s="1094"/>
      <c r="E477" s="1094"/>
      <c r="F477" s="119"/>
      <c r="G477" s="120"/>
      <c r="H477" s="1094"/>
      <c r="I477" s="1094"/>
      <c r="J477" s="1094"/>
      <c r="K477" s="895"/>
    </row>
    <row r="478" spans="1:11" s="122" customFormat="1" ht="14.25" hidden="1" customHeight="1" outlineLevel="1">
      <c r="A478" s="886"/>
      <c r="B478" s="1089">
        <v>156</v>
      </c>
      <c r="C478" s="1092"/>
      <c r="D478" s="1097"/>
      <c r="E478" s="1092"/>
      <c r="F478" s="115"/>
      <c r="G478" s="116"/>
      <c r="H478" s="1092"/>
      <c r="I478" s="1113"/>
      <c r="J478" s="1113"/>
      <c r="K478" s="895"/>
    </row>
    <row r="479" spans="1:11" s="122" customFormat="1" ht="14.25" hidden="1" customHeight="1" outlineLevel="1">
      <c r="A479" s="886"/>
      <c r="B479" s="1090"/>
      <c r="C479" s="1093"/>
      <c r="D479" s="1093"/>
      <c r="E479" s="1093"/>
      <c r="F479" s="117"/>
      <c r="G479" s="118"/>
      <c r="H479" s="1093"/>
      <c r="I479" s="1093"/>
      <c r="J479" s="1093"/>
      <c r="K479" s="895"/>
    </row>
    <row r="480" spans="1:11" s="122" customFormat="1" ht="15" hidden="1" customHeight="1" outlineLevel="1" thickBot="1">
      <c r="A480" s="886"/>
      <c r="B480" s="1091"/>
      <c r="C480" s="1094"/>
      <c r="D480" s="1094"/>
      <c r="E480" s="1094"/>
      <c r="F480" s="119"/>
      <c r="G480" s="120"/>
      <c r="H480" s="1094"/>
      <c r="I480" s="1094"/>
      <c r="J480" s="1094"/>
      <c r="K480" s="895"/>
    </row>
    <row r="481" spans="1:11" s="122" customFormat="1" ht="14.25" hidden="1" customHeight="1" outlineLevel="1">
      <c r="A481" s="886"/>
      <c r="B481" s="1089">
        <v>157</v>
      </c>
      <c r="C481" s="1092"/>
      <c r="D481" s="1097"/>
      <c r="E481" s="1092"/>
      <c r="F481" s="115"/>
      <c r="G481" s="116"/>
      <c r="H481" s="1092"/>
      <c r="I481" s="1113"/>
      <c r="J481" s="1113"/>
      <c r="K481" s="895"/>
    </row>
    <row r="482" spans="1:11" s="122" customFormat="1" ht="14.25" hidden="1" customHeight="1" outlineLevel="1">
      <c r="A482" s="886"/>
      <c r="B482" s="1090"/>
      <c r="C482" s="1093"/>
      <c r="D482" s="1093"/>
      <c r="E482" s="1093"/>
      <c r="F482" s="117"/>
      <c r="G482" s="118"/>
      <c r="H482" s="1093"/>
      <c r="I482" s="1093"/>
      <c r="J482" s="1093"/>
      <c r="K482" s="895"/>
    </row>
    <row r="483" spans="1:11" s="122" customFormat="1" ht="15" hidden="1" customHeight="1" outlineLevel="1" thickBot="1">
      <c r="A483" s="886"/>
      <c r="B483" s="1091"/>
      <c r="C483" s="1094"/>
      <c r="D483" s="1094"/>
      <c r="E483" s="1094"/>
      <c r="F483" s="119"/>
      <c r="G483" s="120"/>
      <c r="H483" s="1094"/>
      <c r="I483" s="1094"/>
      <c r="J483" s="1094"/>
      <c r="K483" s="895"/>
    </row>
    <row r="484" spans="1:11" s="122" customFormat="1" ht="14.25" hidden="1" customHeight="1" outlineLevel="1">
      <c r="A484" s="886"/>
      <c r="B484" s="1089">
        <v>158</v>
      </c>
      <c r="C484" s="1092"/>
      <c r="D484" s="1097"/>
      <c r="E484" s="1092"/>
      <c r="F484" s="115"/>
      <c r="G484" s="116"/>
      <c r="H484" s="1092"/>
      <c r="I484" s="1113"/>
      <c r="J484" s="1113"/>
      <c r="K484" s="895"/>
    </row>
    <row r="485" spans="1:11" s="122" customFormat="1" ht="14.25" hidden="1" customHeight="1" outlineLevel="1">
      <c r="A485" s="886"/>
      <c r="B485" s="1090"/>
      <c r="C485" s="1093"/>
      <c r="D485" s="1093"/>
      <c r="E485" s="1093"/>
      <c r="F485" s="117"/>
      <c r="G485" s="118"/>
      <c r="H485" s="1093"/>
      <c r="I485" s="1093"/>
      <c r="J485" s="1093"/>
      <c r="K485" s="895"/>
    </row>
    <row r="486" spans="1:11" s="122" customFormat="1" ht="15" hidden="1" customHeight="1" outlineLevel="1" thickBot="1">
      <c r="A486" s="886"/>
      <c r="B486" s="1091"/>
      <c r="C486" s="1094"/>
      <c r="D486" s="1094"/>
      <c r="E486" s="1094"/>
      <c r="F486" s="119"/>
      <c r="G486" s="120"/>
      <c r="H486" s="1094"/>
      <c r="I486" s="1094"/>
      <c r="J486" s="1094"/>
      <c r="K486" s="895"/>
    </row>
    <row r="487" spans="1:11" s="122" customFormat="1" ht="14.25" hidden="1" customHeight="1" outlineLevel="1">
      <c r="A487" s="886"/>
      <c r="B487" s="1089">
        <v>159</v>
      </c>
      <c r="C487" s="1092"/>
      <c r="D487" s="1097"/>
      <c r="E487" s="1092"/>
      <c r="F487" s="115"/>
      <c r="G487" s="116"/>
      <c r="H487" s="1092"/>
      <c r="I487" s="1113"/>
      <c r="J487" s="1113"/>
      <c r="K487" s="895"/>
    </row>
    <row r="488" spans="1:11" s="122" customFormat="1" ht="14.25" hidden="1" customHeight="1" outlineLevel="1">
      <c r="A488" s="886"/>
      <c r="B488" s="1090"/>
      <c r="C488" s="1093"/>
      <c r="D488" s="1093"/>
      <c r="E488" s="1093"/>
      <c r="F488" s="117"/>
      <c r="G488" s="118"/>
      <c r="H488" s="1093"/>
      <c r="I488" s="1093"/>
      <c r="J488" s="1093"/>
      <c r="K488" s="895"/>
    </row>
    <row r="489" spans="1:11" s="122" customFormat="1" ht="15" hidden="1" customHeight="1" outlineLevel="1" thickBot="1">
      <c r="A489" s="886"/>
      <c r="B489" s="1091"/>
      <c r="C489" s="1094"/>
      <c r="D489" s="1094"/>
      <c r="E489" s="1094"/>
      <c r="F489" s="119"/>
      <c r="G489" s="120"/>
      <c r="H489" s="1094"/>
      <c r="I489" s="1094"/>
      <c r="J489" s="1094"/>
      <c r="K489" s="895"/>
    </row>
    <row r="490" spans="1:11" s="122" customFormat="1" ht="14.25" hidden="1" customHeight="1" outlineLevel="1">
      <c r="A490" s="886"/>
      <c r="B490" s="1089">
        <v>160</v>
      </c>
      <c r="C490" s="1092"/>
      <c r="D490" s="1097"/>
      <c r="E490" s="1092"/>
      <c r="F490" s="115"/>
      <c r="G490" s="116"/>
      <c r="H490" s="1092"/>
      <c r="I490" s="1113"/>
      <c r="J490" s="1113"/>
      <c r="K490" s="895"/>
    </row>
    <row r="491" spans="1:11" s="122" customFormat="1" ht="14.25" hidden="1" customHeight="1" outlineLevel="1">
      <c r="A491" s="886"/>
      <c r="B491" s="1090"/>
      <c r="C491" s="1093"/>
      <c r="D491" s="1093"/>
      <c r="E491" s="1093"/>
      <c r="F491" s="117"/>
      <c r="G491" s="118"/>
      <c r="H491" s="1093"/>
      <c r="I491" s="1093"/>
      <c r="J491" s="1093"/>
      <c r="K491" s="895"/>
    </row>
    <row r="492" spans="1:11" s="122" customFormat="1" ht="15" hidden="1" customHeight="1" outlineLevel="1" thickBot="1">
      <c r="A492" s="886"/>
      <c r="B492" s="1091"/>
      <c r="C492" s="1094"/>
      <c r="D492" s="1094"/>
      <c r="E492" s="1094"/>
      <c r="F492" s="119"/>
      <c r="G492" s="120"/>
      <c r="H492" s="1094"/>
      <c r="I492" s="1094"/>
      <c r="J492" s="1094"/>
      <c r="K492" s="895"/>
    </row>
    <row r="493" spans="1:11" s="122" customFormat="1" ht="14.25" hidden="1" customHeight="1" outlineLevel="1">
      <c r="A493" s="886"/>
      <c r="B493" s="1089">
        <v>161</v>
      </c>
      <c r="C493" s="1092"/>
      <c r="D493" s="1097"/>
      <c r="E493" s="1092"/>
      <c r="F493" s="115"/>
      <c r="G493" s="116"/>
      <c r="H493" s="1092"/>
      <c r="I493" s="1113"/>
      <c r="J493" s="1113"/>
      <c r="K493" s="895"/>
    </row>
    <row r="494" spans="1:11" s="122" customFormat="1" ht="14.25" hidden="1" customHeight="1" outlineLevel="1">
      <c r="A494" s="886"/>
      <c r="B494" s="1090"/>
      <c r="C494" s="1093"/>
      <c r="D494" s="1093"/>
      <c r="E494" s="1093"/>
      <c r="F494" s="117"/>
      <c r="G494" s="118"/>
      <c r="H494" s="1093"/>
      <c r="I494" s="1093"/>
      <c r="J494" s="1093"/>
      <c r="K494" s="895"/>
    </row>
    <row r="495" spans="1:11" s="122" customFormat="1" ht="15" hidden="1" customHeight="1" outlineLevel="1" thickBot="1">
      <c r="A495" s="886"/>
      <c r="B495" s="1091"/>
      <c r="C495" s="1094"/>
      <c r="D495" s="1094"/>
      <c r="E495" s="1094"/>
      <c r="F495" s="119"/>
      <c r="G495" s="120"/>
      <c r="H495" s="1094"/>
      <c r="I495" s="1094"/>
      <c r="J495" s="1094"/>
      <c r="K495" s="895"/>
    </row>
    <row r="496" spans="1:11" s="122" customFormat="1" ht="14.25" hidden="1" customHeight="1" outlineLevel="1">
      <c r="A496" s="886"/>
      <c r="B496" s="1089">
        <v>162</v>
      </c>
      <c r="C496" s="1092"/>
      <c r="D496" s="1097"/>
      <c r="E496" s="1092"/>
      <c r="F496" s="115"/>
      <c r="G496" s="116"/>
      <c r="H496" s="1092"/>
      <c r="I496" s="1113"/>
      <c r="J496" s="1113"/>
      <c r="K496" s="895"/>
    </row>
    <row r="497" spans="1:11" s="122" customFormat="1" ht="14.25" hidden="1" customHeight="1" outlineLevel="1">
      <c r="A497" s="886"/>
      <c r="B497" s="1090"/>
      <c r="C497" s="1093"/>
      <c r="D497" s="1093"/>
      <c r="E497" s="1093"/>
      <c r="F497" s="117"/>
      <c r="G497" s="118"/>
      <c r="H497" s="1093"/>
      <c r="I497" s="1093"/>
      <c r="J497" s="1093"/>
      <c r="K497" s="895"/>
    </row>
    <row r="498" spans="1:11" s="122" customFormat="1" ht="15" hidden="1" customHeight="1" outlineLevel="1" thickBot="1">
      <c r="A498" s="886"/>
      <c r="B498" s="1091"/>
      <c r="C498" s="1094"/>
      <c r="D498" s="1094"/>
      <c r="E498" s="1094"/>
      <c r="F498" s="119"/>
      <c r="G498" s="120"/>
      <c r="H498" s="1094"/>
      <c r="I498" s="1094"/>
      <c r="J498" s="1094"/>
      <c r="K498" s="895"/>
    </row>
    <row r="499" spans="1:11" s="122" customFormat="1" ht="14.25" hidden="1" customHeight="1" outlineLevel="1">
      <c r="A499" s="886"/>
      <c r="B499" s="1089">
        <v>163</v>
      </c>
      <c r="C499" s="1092"/>
      <c r="D499" s="1097"/>
      <c r="E499" s="1092"/>
      <c r="F499" s="115"/>
      <c r="G499" s="116"/>
      <c r="H499" s="1092"/>
      <c r="I499" s="1113"/>
      <c r="J499" s="1113"/>
      <c r="K499" s="895"/>
    </row>
    <row r="500" spans="1:11" s="122" customFormat="1" ht="14.25" hidden="1" customHeight="1" outlineLevel="1">
      <c r="A500" s="886"/>
      <c r="B500" s="1090"/>
      <c r="C500" s="1093"/>
      <c r="D500" s="1093"/>
      <c r="E500" s="1093"/>
      <c r="F500" s="117"/>
      <c r="G500" s="118"/>
      <c r="H500" s="1093"/>
      <c r="I500" s="1093"/>
      <c r="J500" s="1093"/>
      <c r="K500" s="895"/>
    </row>
    <row r="501" spans="1:11" s="122" customFormat="1" ht="15" hidden="1" customHeight="1" outlineLevel="1" thickBot="1">
      <c r="A501" s="886"/>
      <c r="B501" s="1091"/>
      <c r="C501" s="1094"/>
      <c r="D501" s="1094"/>
      <c r="E501" s="1094"/>
      <c r="F501" s="119"/>
      <c r="G501" s="120"/>
      <c r="H501" s="1094"/>
      <c r="I501" s="1094"/>
      <c r="J501" s="1094"/>
      <c r="K501" s="895"/>
    </row>
    <row r="502" spans="1:11" s="122" customFormat="1" ht="14.25" hidden="1" customHeight="1" outlineLevel="1">
      <c r="A502" s="886"/>
      <c r="B502" s="1089">
        <v>164</v>
      </c>
      <c r="C502" s="1092"/>
      <c r="D502" s="1097"/>
      <c r="E502" s="1092"/>
      <c r="F502" s="115"/>
      <c r="G502" s="116"/>
      <c r="H502" s="1092"/>
      <c r="I502" s="1113"/>
      <c r="J502" s="1113"/>
      <c r="K502" s="895"/>
    </row>
    <row r="503" spans="1:11" s="122" customFormat="1" ht="14.25" hidden="1" customHeight="1" outlineLevel="1">
      <c r="A503" s="886"/>
      <c r="B503" s="1090"/>
      <c r="C503" s="1093"/>
      <c r="D503" s="1093"/>
      <c r="E503" s="1093"/>
      <c r="F503" s="117"/>
      <c r="G503" s="118"/>
      <c r="H503" s="1093"/>
      <c r="I503" s="1093"/>
      <c r="J503" s="1093"/>
      <c r="K503" s="895"/>
    </row>
    <row r="504" spans="1:11" s="122" customFormat="1" ht="15" hidden="1" customHeight="1" outlineLevel="1" thickBot="1">
      <c r="A504" s="886"/>
      <c r="B504" s="1091"/>
      <c r="C504" s="1094"/>
      <c r="D504" s="1094"/>
      <c r="E504" s="1094"/>
      <c r="F504" s="119"/>
      <c r="G504" s="120"/>
      <c r="H504" s="1094"/>
      <c r="I504" s="1094"/>
      <c r="J504" s="1094"/>
      <c r="K504" s="895"/>
    </row>
    <row r="505" spans="1:11" s="122" customFormat="1" ht="14.25" hidden="1" customHeight="1" outlineLevel="1">
      <c r="A505" s="886"/>
      <c r="B505" s="1089">
        <v>165</v>
      </c>
      <c r="C505" s="1092"/>
      <c r="D505" s="1097"/>
      <c r="E505" s="1092"/>
      <c r="F505" s="115"/>
      <c r="G505" s="116"/>
      <c r="H505" s="1092"/>
      <c r="I505" s="1113"/>
      <c r="J505" s="1113"/>
      <c r="K505" s="895"/>
    </row>
    <row r="506" spans="1:11" s="122" customFormat="1" ht="14.25" hidden="1" customHeight="1" outlineLevel="1">
      <c r="A506" s="886"/>
      <c r="B506" s="1090"/>
      <c r="C506" s="1093"/>
      <c r="D506" s="1093"/>
      <c r="E506" s="1093"/>
      <c r="F506" s="117"/>
      <c r="G506" s="118"/>
      <c r="H506" s="1093"/>
      <c r="I506" s="1093"/>
      <c r="J506" s="1093"/>
      <c r="K506" s="895"/>
    </row>
    <row r="507" spans="1:11" s="122" customFormat="1" ht="15" hidden="1" customHeight="1" outlineLevel="1" thickBot="1">
      <c r="A507" s="886"/>
      <c r="B507" s="1091"/>
      <c r="C507" s="1094"/>
      <c r="D507" s="1094"/>
      <c r="E507" s="1094"/>
      <c r="F507" s="119"/>
      <c r="G507" s="120"/>
      <c r="H507" s="1094"/>
      <c r="I507" s="1094"/>
      <c r="J507" s="1094"/>
      <c r="K507" s="895"/>
    </row>
    <row r="508" spans="1:11" s="122" customFormat="1" ht="14.25" hidden="1" customHeight="1" outlineLevel="1">
      <c r="A508" s="886"/>
      <c r="B508" s="1089">
        <v>166</v>
      </c>
      <c r="C508" s="1092"/>
      <c r="D508" s="1097"/>
      <c r="E508" s="1092"/>
      <c r="F508" s="115"/>
      <c r="G508" s="116"/>
      <c r="H508" s="1092"/>
      <c r="I508" s="1113"/>
      <c r="J508" s="1113"/>
      <c r="K508" s="895"/>
    </row>
    <row r="509" spans="1:11" s="122" customFormat="1" ht="14.25" hidden="1" customHeight="1" outlineLevel="1">
      <c r="A509" s="886"/>
      <c r="B509" s="1090"/>
      <c r="C509" s="1093"/>
      <c r="D509" s="1093"/>
      <c r="E509" s="1093"/>
      <c r="F509" s="117"/>
      <c r="G509" s="118"/>
      <c r="H509" s="1093"/>
      <c r="I509" s="1093"/>
      <c r="J509" s="1093"/>
      <c r="K509" s="895"/>
    </row>
    <row r="510" spans="1:11" s="122" customFormat="1" ht="15" hidden="1" customHeight="1" outlineLevel="1" thickBot="1">
      <c r="A510" s="886"/>
      <c r="B510" s="1091"/>
      <c r="C510" s="1094"/>
      <c r="D510" s="1094"/>
      <c r="E510" s="1094"/>
      <c r="F510" s="119"/>
      <c r="G510" s="120"/>
      <c r="H510" s="1094"/>
      <c r="I510" s="1094"/>
      <c r="J510" s="1094"/>
      <c r="K510" s="895"/>
    </row>
    <row r="511" spans="1:11" s="122" customFormat="1" ht="14.25" hidden="1" customHeight="1" outlineLevel="1">
      <c r="A511" s="886"/>
      <c r="B511" s="1089">
        <v>167</v>
      </c>
      <c r="C511" s="1092"/>
      <c r="D511" s="1097"/>
      <c r="E511" s="1092"/>
      <c r="F511" s="115"/>
      <c r="G511" s="116"/>
      <c r="H511" s="1092"/>
      <c r="I511" s="1113"/>
      <c r="J511" s="1113"/>
      <c r="K511" s="895"/>
    </row>
    <row r="512" spans="1:11" s="122" customFormat="1" ht="14.25" hidden="1" customHeight="1" outlineLevel="1">
      <c r="A512" s="886"/>
      <c r="B512" s="1090"/>
      <c r="C512" s="1093"/>
      <c r="D512" s="1093"/>
      <c r="E512" s="1093"/>
      <c r="F512" s="117"/>
      <c r="G512" s="118"/>
      <c r="H512" s="1093"/>
      <c r="I512" s="1093"/>
      <c r="J512" s="1093"/>
      <c r="K512" s="895"/>
    </row>
    <row r="513" spans="1:11" s="122" customFormat="1" ht="15" hidden="1" customHeight="1" outlineLevel="1" thickBot="1">
      <c r="A513" s="886"/>
      <c r="B513" s="1091"/>
      <c r="C513" s="1094"/>
      <c r="D513" s="1094"/>
      <c r="E513" s="1094"/>
      <c r="F513" s="119"/>
      <c r="G513" s="120"/>
      <c r="H513" s="1094"/>
      <c r="I513" s="1094"/>
      <c r="J513" s="1094"/>
      <c r="K513" s="895"/>
    </row>
    <row r="514" spans="1:11" s="122" customFormat="1" ht="14.25" hidden="1" customHeight="1" outlineLevel="1">
      <c r="A514" s="886"/>
      <c r="B514" s="1089">
        <v>168</v>
      </c>
      <c r="C514" s="1092"/>
      <c r="D514" s="1097"/>
      <c r="E514" s="1092"/>
      <c r="F514" s="115"/>
      <c r="G514" s="116"/>
      <c r="H514" s="1092"/>
      <c r="I514" s="1113"/>
      <c r="J514" s="1113"/>
      <c r="K514" s="895"/>
    </row>
    <row r="515" spans="1:11" s="122" customFormat="1" ht="14.25" hidden="1" customHeight="1" outlineLevel="1">
      <c r="A515" s="886"/>
      <c r="B515" s="1090"/>
      <c r="C515" s="1093"/>
      <c r="D515" s="1093"/>
      <c r="E515" s="1093"/>
      <c r="F515" s="117"/>
      <c r="G515" s="118"/>
      <c r="H515" s="1093"/>
      <c r="I515" s="1093"/>
      <c r="J515" s="1093"/>
      <c r="K515" s="895"/>
    </row>
    <row r="516" spans="1:11" s="122" customFormat="1" ht="15" hidden="1" customHeight="1" outlineLevel="1" thickBot="1">
      <c r="A516" s="886"/>
      <c r="B516" s="1091"/>
      <c r="C516" s="1094"/>
      <c r="D516" s="1094"/>
      <c r="E516" s="1094"/>
      <c r="F516" s="119"/>
      <c r="G516" s="120"/>
      <c r="H516" s="1094"/>
      <c r="I516" s="1094"/>
      <c r="J516" s="1094"/>
      <c r="K516" s="895"/>
    </row>
    <row r="517" spans="1:11" s="122" customFormat="1" ht="14.25" hidden="1" customHeight="1" outlineLevel="1">
      <c r="A517" s="886"/>
      <c r="B517" s="1089">
        <v>169</v>
      </c>
      <c r="C517" s="1092"/>
      <c r="D517" s="1097"/>
      <c r="E517" s="1092"/>
      <c r="F517" s="115"/>
      <c r="G517" s="116"/>
      <c r="H517" s="1092"/>
      <c r="I517" s="1113"/>
      <c r="J517" s="1113"/>
      <c r="K517" s="895"/>
    </row>
    <row r="518" spans="1:11" s="122" customFormat="1" ht="14.25" hidden="1" customHeight="1" outlineLevel="1">
      <c r="A518" s="886"/>
      <c r="B518" s="1090"/>
      <c r="C518" s="1093"/>
      <c r="D518" s="1093"/>
      <c r="E518" s="1093"/>
      <c r="F518" s="117"/>
      <c r="G518" s="118"/>
      <c r="H518" s="1093"/>
      <c r="I518" s="1093"/>
      <c r="J518" s="1093"/>
      <c r="K518" s="895"/>
    </row>
    <row r="519" spans="1:11" s="122" customFormat="1" ht="15" hidden="1" customHeight="1" outlineLevel="1" thickBot="1">
      <c r="A519" s="886"/>
      <c r="B519" s="1091"/>
      <c r="C519" s="1094"/>
      <c r="D519" s="1094"/>
      <c r="E519" s="1094"/>
      <c r="F519" s="119"/>
      <c r="G519" s="120"/>
      <c r="H519" s="1094"/>
      <c r="I519" s="1094"/>
      <c r="J519" s="1094"/>
      <c r="K519" s="895"/>
    </row>
    <row r="520" spans="1:11" s="122" customFormat="1" ht="14.25" hidden="1" customHeight="1" outlineLevel="1">
      <c r="A520" s="886"/>
      <c r="B520" s="1089">
        <v>170</v>
      </c>
      <c r="C520" s="1092"/>
      <c r="D520" s="1097"/>
      <c r="E520" s="1092"/>
      <c r="F520" s="115"/>
      <c r="G520" s="116"/>
      <c r="H520" s="1092"/>
      <c r="I520" s="1113"/>
      <c r="J520" s="1113"/>
      <c r="K520" s="895"/>
    </row>
    <row r="521" spans="1:11" s="122" customFormat="1" ht="14.25" hidden="1" customHeight="1" outlineLevel="1">
      <c r="A521" s="886"/>
      <c r="B521" s="1090"/>
      <c r="C521" s="1093"/>
      <c r="D521" s="1093"/>
      <c r="E521" s="1093"/>
      <c r="F521" s="117"/>
      <c r="G521" s="118"/>
      <c r="H521" s="1093"/>
      <c r="I521" s="1093"/>
      <c r="J521" s="1093"/>
      <c r="K521" s="895"/>
    </row>
    <row r="522" spans="1:11" s="122" customFormat="1" ht="15" hidden="1" customHeight="1" outlineLevel="1" thickBot="1">
      <c r="A522" s="886"/>
      <c r="B522" s="1091"/>
      <c r="C522" s="1094"/>
      <c r="D522" s="1094"/>
      <c r="E522" s="1094"/>
      <c r="F522" s="119"/>
      <c r="G522" s="120"/>
      <c r="H522" s="1094"/>
      <c r="I522" s="1094"/>
      <c r="J522" s="1094"/>
      <c r="K522" s="895"/>
    </row>
    <row r="523" spans="1:11" s="122" customFormat="1" ht="14.25" hidden="1" customHeight="1" outlineLevel="1">
      <c r="A523" s="886"/>
      <c r="B523" s="1089">
        <v>171</v>
      </c>
      <c r="C523" s="1092"/>
      <c r="D523" s="1097"/>
      <c r="E523" s="1092"/>
      <c r="F523" s="115"/>
      <c r="G523" s="116"/>
      <c r="H523" s="1092"/>
      <c r="I523" s="1113"/>
      <c r="J523" s="1113"/>
      <c r="K523" s="895"/>
    </row>
    <row r="524" spans="1:11" s="122" customFormat="1" ht="14.25" hidden="1" customHeight="1" outlineLevel="1">
      <c r="A524" s="886"/>
      <c r="B524" s="1090"/>
      <c r="C524" s="1093"/>
      <c r="D524" s="1093"/>
      <c r="E524" s="1093"/>
      <c r="F524" s="117"/>
      <c r="G524" s="118"/>
      <c r="H524" s="1093"/>
      <c r="I524" s="1093"/>
      <c r="J524" s="1093"/>
      <c r="K524" s="895"/>
    </row>
    <row r="525" spans="1:11" s="122" customFormat="1" ht="15" hidden="1" customHeight="1" outlineLevel="1" thickBot="1">
      <c r="A525" s="886"/>
      <c r="B525" s="1091"/>
      <c r="C525" s="1094"/>
      <c r="D525" s="1094"/>
      <c r="E525" s="1094"/>
      <c r="F525" s="119"/>
      <c r="G525" s="120"/>
      <c r="H525" s="1094"/>
      <c r="I525" s="1094"/>
      <c r="J525" s="1094"/>
      <c r="K525" s="895"/>
    </row>
    <row r="526" spans="1:11" s="122" customFormat="1" ht="14.25" hidden="1" customHeight="1" outlineLevel="1">
      <c r="A526" s="886"/>
      <c r="B526" s="1089">
        <v>172</v>
      </c>
      <c r="C526" s="1092"/>
      <c r="D526" s="1097"/>
      <c r="E526" s="1092"/>
      <c r="F526" s="115"/>
      <c r="G526" s="116"/>
      <c r="H526" s="1092"/>
      <c r="I526" s="1113"/>
      <c r="J526" s="1113"/>
      <c r="K526" s="895"/>
    </row>
    <row r="527" spans="1:11" s="122" customFormat="1" ht="14.25" hidden="1" customHeight="1" outlineLevel="1">
      <c r="A527" s="886"/>
      <c r="B527" s="1090"/>
      <c r="C527" s="1093"/>
      <c r="D527" s="1093"/>
      <c r="E527" s="1093"/>
      <c r="F527" s="117"/>
      <c r="G527" s="118"/>
      <c r="H527" s="1093"/>
      <c r="I527" s="1093"/>
      <c r="J527" s="1093"/>
      <c r="K527" s="895"/>
    </row>
    <row r="528" spans="1:11" s="122" customFormat="1" ht="15" hidden="1" customHeight="1" outlineLevel="1" thickBot="1">
      <c r="A528" s="886"/>
      <c r="B528" s="1091"/>
      <c r="C528" s="1094"/>
      <c r="D528" s="1094"/>
      <c r="E528" s="1094"/>
      <c r="F528" s="119"/>
      <c r="G528" s="120"/>
      <c r="H528" s="1094"/>
      <c r="I528" s="1094"/>
      <c r="J528" s="1094"/>
      <c r="K528" s="895"/>
    </row>
    <row r="529" spans="1:11" s="122" customFormat="1" ht="14.25" hidden="1" customHeight="1" outlineLevel="1">
      <c r="A529" s="886"/>
      <c r="B529" s="1089">
        <v>173</v>
      </c>
      <c r="C529" s="1092"/>
      <c r="D529" s="1097"/>
      <c r="E529" s="1092"/>
      <c r="F529" s="115"/>
      <c r="G529" s="116"/>
      <c r="H529" s="1092"/>
      <c r="I529" s="1113"/>
      <c r="J529" s="1113"/>
      <c r="K529" s="895"/>
    </row>
    <row r="530" spans="1:11" s="122" customFormat="1" ht="14.25" hidden="1" customHeight="1" outlineLevel="1">
      <c r="A530" s="886"/>
      <c r="B530" s="1090"/>
      <c r="C530" s="1093"/>
      <c r="D530" s="1093"/>
      <c r="E530" s="1093"/>
      <c r="F530" s="117"/>
      <c r="G530" s="118"/>
      <c r="H530" s="1093"/>
      <c r="I530" s="1093"/>
      <c r="J530" s="1093"/>
      <c r="K530" s="895"/>
    </row>
    <row r="531" spans="1:11" s="122" customFormat="1" ht="15" hidden="1" customHeight="1" outlineLevel="1" thickBot="1">
      <c r="A531" s="886"/>
      <c r="B531" s="1091"/>
      <c r="C531" s="1094"/>
      <c r="D531" s="1094"/>
      <c r="E531" s="1094"/>
      <c r="F531" s="119"/>
      <c r="G531" s="120"/>
      <c r="H531" s="1094"/>
      <c r="I531" s="1094"/>
      <c r="J531" s="1094"/>
      <c r="K531" s="895"/>
    </row>
    <row r="532" spans="1:11" s="122" customFormat="1" ht="14.25" hidden="1" customHeight="1" outlineLevel="1">
      <c r="A532" s="886"/>
      <c r="B532" s="1089">
        <v>174</v>
      </c>
      <c r="C532" s="1092"/>
      <c r="D532" s="1097"/>
      <c r="E532" s="1092"/>
      <c r="F532" s="115"/>
      <c r="G532" s="116"/>
      <c r="H532" s="1092"/>
      <c r="I532" s="1113"/>
      <c r="J532" s="1113"/>
      <c r="K532" s="895"/>
    </row>
    <row r="533" spans="1:11" s="122" customFormat="1" ht="14.25" hidden="1" customHeight="1" outlineLevel="1">
      <c r="A533" s="886"/>
      <c r="B533" s="1090"/>
      <c r="C533" s="1093"/>
      <c r="D533" s="1093"/>
      <c r="E533" s="1093"/>
      <c r="F533" s="117"/>
      <c r="G533" s="118"/>
      <c r="H533" s="1093"/>
      <c r="I533" s="1093"/>
      <c r="J533" s="1093"/>
      <c r="K533" s="895"/>
    </row>
    <row r="534" spans="1:11" s="122" customFormat="1" ht="15" hidden="1" customHeight="1" outlineLevel="1" thickBot="1">
      <c r="A534" s="886"/>
      <c r="B534" s="1091"/>
      <c r="C534" s="1094"/>
      <c r="D534" s="1094"/>
      <c r="E534" s="1094"/>
      <c r="F534" s="119"/>
      <c r="G534" s="120"/>
      <c r="H534" s="1094"/>
      <c r="I534" s="1094"/>
      <c r="J534" s="1094"/>
      <c r="K534" s="895"/>
    </row>
    <row r="535" spans="1:11" s="122" customFormat="1" ht="14.25" hidden="1" customHeight="1" outlineLevel="1">
      <c r="A535" s="886"/>
      <c r="B535" s="1089">
        <v>175</v>
      </c>
      <c r="C535" s="1092"/>
      <c r="D535" s="1097"/>
      <c r="E535" s="1092"/>
      <c r="F535" s="115"/>
      <c r="G535" s="116"/>
      <c r="H535" s="1092"/>
      <c r="I535" s="1113"/>
      <c r="J535" s="1113"/>
      <c r="K535" s="895"/>
    </row>
    <row r="536" spans="1:11" s="122" customFormat="1" ht="14.25" hidden="1" customHeight="1" outlineLevel="1">
      <c r="A536" s="886"/>
      <c r="B536" s="1090"/>
      <c r="C536" s="1093"/>
      <c r="D536" s="1093"/>
      <c r="E536" s="1093"/>
      <c r="F536" s="117"/>
      <c r="G536" s="118"/>
      <c r="H536" s="1093"/>
      <c r="I536" s="1093"/>
      <c r="J536" s="1093"/>
      <c r="K536" s="895"/>
    </row>
    <row r="537" spans="1:11" s="122" customFormat="1" ht="15" hidden="1" customHeight="1" outlineLevel="1" thickBot="1">
      <c r="A537" s="886"/>
      <c r="B537" s="1091"/>
      <c r="C537" s="1094"/>
      <c r="D537" s="1094"/>
      <c r="E537" s="1094"/>
      <c r="F537" s="119"/>
      <c r="G537" s="120"/>
      <c r="H537" s="1094"/>
      <c r="I537" s="1094"/>
      <c r="J537" s="1094"/>
      <c r="K537" s="895"/>
    </row>
    <row r="538" spans="1:11" s="122" customFormat="1" ht="14.25" hidden="1" customHeight="1" outlineLevel="1">
      <c r="A538" s="886"/>
      <c r="B538" s="1089">
        <v>176</v>
      </c>
      <c r="C538" s="1092"/>
      <c r="D538" s="1097"/>
      <c r="E538" s="1092"/>
      <c r="F538" s="115"/>
      <c r="G538" s="116"/>
      <c r="H538" s="1092"/>
      <c r="I538" s="1113"/>
      <c r="J538" s="1113"/>
      <c r="K538" s="895"/>
    </row>
    <row r="539" spans="1:11" s="122" customFormat="1" ht="14.25" hidden="1" customHeight="1" outlineLevel="1">
      <c r="A539" s="886"/>
      <c r="B539" s="1090"/>
      <c r="C539" s="1093"/>
      <c r="D539" s="1093"/>
      <c r="E539" s="1093"/>
      <c r="F539" s="117"/>
      <c r="G539" s="118"/>
      <c r="H539" s="1093"/>
      <c r="I539" s="1093"/>
      <c r="J539" s="1093"/>
      <c r="K539" s="895"/>
    </row>
    <row r="540" spans="1:11" s="122" customFormat="1" ht="15" hidden="1" customHeight="1" outlineLevel="1" thickBot="1">
      <c r="A540" s="886"/>
      <c r="B540" s="1091"/>
      <c r="C540" s="1094"/>
      <c r="D540" s="1094"/>
      <c r="E540" s="1094"/>
      <c r="F540" s="119"/>
      <c r="G540" s="120"/>
      <c r="H540" s="1094"/>
      <c r="I540" s="1094"/>
      <c r="J540" s="1094"/>
      <c r="K540" s="895"/>
    </row>
    <row r="541" spans="1:11" s="122" customFormat="1" ht="14.25" hidden="1" customHeight="1" outlineLevel="1">
      <c r="A541" s="886"/>
      <c r="B541" s="1089">
        <v>177</v>
      </c>
      <c r="C541" s="1092"/>
      <c r="D541" s="1097"/>
      <c r="E541" s="1092"/>
      <c r="F541" s="115"/>
      <c r="G541" s="116"/>
      <c r="H541" s="1092"/>
      <c r="I541" s="1113"/>
      <c r="J541" s="1113"/>
      <c r="K541" s="895"/>
    </row>
    <row r="542" spans="1:11" s="122" customFormat="1" ht="14.25" hidden="1" customHeight="1" outlineLevel="1">
      <c r="A542" s="886"/>
      <c r="B542" s="1090"/>
      <c r="C542" s="1093"/>
      <c r="D542" s="1093"/>
      <c r="E542" s="1093"/>
      <c r="F542" s="117"/>
      <c r="G542" s="118"/>
      <c r="H542" s="1093"/>
      <c r="I542" s="1093"/>
      <c r="J542" s="1093"/>
      <c r="K542" s="895"/>
    </row>
    <row r="543" spans="1:11" s="122" customFormat="1" ht="15" hidden="1" customHeight="1" outlineLevel="1" thickBot="1">
      <c r="A543" s="886"/>
      <c r="B543" s="1091"/>
      <c r="C543" s="1094"/>
      <c r="D543" s="1094"/>
      <c r="E543" s="1094"/>
      <c r="F543" s="119"/>
      <c r="G543" s="120"/>
      <c r="H543" s="1094"/>
      <c r="I543" s="1094"/>
      <c r="J543" s="1094"/>
      <c r="K543" s="895"/>
    </row>
    <row r="544" spans="1:11" s="122" customFormat="1" ht="14.25" hidden="1" customHeight="1" outlineLevel="1">
      <c r="A544" s="886"/>
      <c r="B544" s="1089">
        <v>178</v>
      </c>
      <c r="C544" s="1092"/>
      <c r="D544" s="1097"/>
      <c r="E544" s="1092"/>
      <c r="F544" s="115"/>
      <c r="G544" s="116"/>
      <c r="H544" s="1092"/>
      <c r="I544" s="1113"/>
      <c r="J544" s="1113"/>
      <c r="K544" s="895"/>
    </row>
    <row r="545" spans="1:11" s="122" customFormat="1" ht="14.25" hidden="1" customHeight="1" outlineLevel="1">
      <c r="A545" s="886"/>
      <c r="B545" s="1090"/>
      <c r="C545" s="1093"/>
      <c r="D545" s="1093"/>
      <c r="E545" s="1093"/>
      <c r="F545" s="117"/>
      <c r="G545" s="118"/>
      <c r="H545" s="1093"/>
      <c r="I545" s="1093"/>
      <c r="J545" s="1093"/>
      <c r="K545" s="895"/>
    </row>
    <row r="546" spans="1:11" s="122" customFormat="1" ht="15" hidden="1" customHeight="1" outlineLevel="1" thickBot="1">
      <c r="A546" s="886"/>
      <c r="B546" s="1091"/>
      <c r="C546" s="1094"/>
      <c r="D546" s="1094"/>
      <c r="E546" s="1094"/>
      <c r="F546" s="119"/>
      <c r="G546" s="120"/>
      <c r="H546" s="1094"/>
      <c r="I546" s="1094"/>
      <c r="J546" s="1094"/>
      <c r="K546" s="895"/>
    </row>
    <row r="547" spans="1:11" s="122" customFormat="1" ht="14.25" hidden="1" customHeight="1" outlineLevel="1">
      <c r="A547" s="886"/>
      <c r="B547" s="1089">
        <v>179</v>
      </c>
      <c r="C547" s="1092"/>
      <c r="D547" s="1097"/>
      <c r="E547" s="1092"/>
      <c r="F547" s="115"/>
      <c r="G547" s="116"/>
      <c r="H547" s="1092"/>
      <c r="I547" s="1113"/>
      <c r="J547" s="1113"/>
      <c r="K547" s="895"/>
    </row>
    <row r="548" spans="1:11" s="122" customFormat="1" ht="14.25" hidden="1" customHeight="1" outlineLevel="1">
      <c r="A548" s="886"/>
      <c r="B548" s="1090"/>
      <c r="C548" s="1093"/>
      <c r="D548" s="1093"/>
      <c r="E548" s="1093"/>
      <c r="F548" s="117"/>
      <c r="G548" s="118"/>
      <c r="H548" s="1093"/>
      <c r="I548" s="1093"/>
      <c r="J548" s="1093"/>
      <c r="K548" s="895"/>
    </row>
    <row r="549" spans="1:11" s="122" customFormat="1" ht="15" hidden="1" customHeight="1" outlineLevel="1" thickBot="1">
      <c r="A549" s="886"/>
      <c r="B549" s="1091"/>
      <c r="C549" s="1094"/>
      <c r="D549" s="1094"/>
      <c r="E549" s="1094"/>
      <c r="F549" s="119"/>
      <c r="G549" s="120"/>
      <c r="H549" s="1094"/>
      <c r="I549" s="1094"/>
      <c r="J549" s="1094"/>
      <c r="K549" s="895"/>
    </row>
    <row r="550" spans="1:11" s="122" customFormat="1" ht="14.25" hidden="1" customHeight="1" outlineLevel="1">
      <c r="A550" s="886"/>
      <c r="B550" s="1089">
        <v>180</v>
      </c>
      <c r="C550" s="1092"/>
      <c r="D550" s="1097"/>
      <c r="E550" s="1092"/>
      <c r="F550" s="115"/>
      <c r="G550" s="116"/>
      <c r="H550" s="1092"/>
      <c r="I550" s="1113"/>
      <c r="J550" s="1113"/>
      <c r="K550" s="895"/>
    </row>
    <row r="551" spans="1:11" s="122" customFormat="1" ht="14.25" hidden="1" customHeight="1" outlineLevel="1">
      <c r="A551" s="886"/>
      <c r="B551" s="1090"/>
      <c r="C551" s="1093"/>
      <c r="D551" s="1093"/>
      <c r="E551" s="1093"/>
      <c r="F551" s="117"/>
      <c r="G551" s="118"/>
      <c r="H551" s="1093"/>
      <c r="I551" s="1093"/>
      <c r="J551" s="1093"/>
      <c r="K551" s="895"/>
    </row>
    <row r="552" spans="1:11" s="122" customFormat="1" ht="15" hidden="1" customHeight="1" outlineLevel="1" thickBot="1">
      <c r="A552" s="886"/>
      <c r="B552" s="1091"/>
      <c r="C552" s="1094"/>
      <c r="D552" s="1094"/>
      <c r="E552" s="1094"/>
      <c r="F552" s="119"/>
      <c r="G552" s="120"/>
      <c r="H552" s="1094"/>
      <c r="I552" s="1094"/>
      <c r="J552" s="1094"/>
      <c r="K552" s="895"/>
    </row>
    <row r="553" spans="1:11" s="122" customFormat="1" ht="14.25" hidden="1" customHeight="1" outlineLevel="1">
      <c r="A553" s="886"/>
      <c r="B553" s="1089">
        <v>181</v>
      </c>
      <c r="C553" s="1092"/>
      <c r="D553" s="1097"/>
      <c r="E553" s="1092"/>
      <c r="F553" s="115"/>
      <c r="G553" s="116"/>
      <c r="H553" s="1092"/>
      <c r="I553" s="1113"/>
      <c r="J553" s="1113"/>
      <c r="K553" s="895"/>
    </row>
    <row r="554" spans="1:11" s="122" customFormat="1" ht="14.25" hidden="1" customHeight="1" outlineLevel="1">
      <c r="A554" s="886"/>
      <c r="B554" s="1090"/>
      <c r="C554" s="1093"/>
      <c r="D554" s="1093"/>
      <c r="E554" s="1093"/>
      <c r="F554" s="117"/>
      <c r="G554" s="118"/>
      <c r="H554" s="1093"/>
      <c r="I554" s="1093"/>
      <c r="J554" s="1093"/>
      <c r="K554" s="895"/>
    </row>
    <row r="555" spans="1:11" s="122" customFormat="1" ht="15" hidden="1" customHeight="1" outlineLevel="1" thickBot="1">
      <c r="A555" s="886"/>
      <c r="B555" s="1091"/>
      <c r="C555" s="1094"/>
      <c r="D555" s="1094"/>
      <c r="E555" s="1094"/>
      <c r="F555" s="119"/>
      <c r="G555" s="120"/>
      <c r="H555" s="1094"/>
      <c r="I555" s="1094"/>
      <c r="J555" s="1094"/>
      <c r="K555" s="895"/>
    </row>
    <row r="556" spans="1:11" s="122" customFormat="1" ht="14.25" hidden="1" customHeight="1" outlineLevel="1">
      <c r="A556" s="886"/>
      <c r="B556" s="1089">
        <v>182</v>
      </c>
      <c r="C556" s="1092"/>
      <c r="D556" s="1097"/>
      <c r="E556" s="1092"/>
      <c r="F556" s="115"/>
      <c r="G556" s="116"/>
      <c r="H556" s="1092"/>
      <c r="I556" s="1113"/>
      <c r="J556" s="1113"/>
      <c r="K556" s="895"/>
    </row>
    <row r="557" spans="1:11" s="122" customFormat="1" ht="14.25" hidden="1" customHeight="1" outlineLevel="1">
      <c r="A557" s="886"/>
      <c r="B557" s="1090"/>
      <c r="C557" s="1093"/>
      <c r="D557" s="1093"/>
      <c r="E557" s="1093"/>
      <c r="F557" s="117"/>
      <c r="G557" s="118"/>
      <c r="H557" s="1093"/>
      <c r="I557" s="1093"/>
      <c r="J557" s="1093"/>
      <c r="K557" s="895"/>
    </row>
    <row r="558" spans="1:11" s="122" customFormat="1" ht="15" hidden="1" customHeight="1" outlineLevel="1" thickBot="1">
      <c r="A558" s="886"/>
      <c r="B558" s="1091"/>
      <c r="C558" s="1094"/>
      <c r="D558" s="1094"/>
      <c r="E558" s="1094"/>
      <c r="F558" s="119"/>
      <c r="G558" s="120"/>
      <c r="H558" s="1094"/>
      <c r="I558" s="1094"/>
      <c r="J558" s="1094"/>
      <c r="K558" s="895"/>
    </row>
    <row r="559" spans="1:11" s="122" customFormat="1" ht="14.25" hidden="1" customHeight="1" outlineLevel="1">
      <c r="A559" s="886"/>
      <c r="B559" s="1089">
        <v>183</v>
      </c>
      <c r="C559" s="1092"/>
      <c r="D559" s="1097"/>
      <c r="E559" s="1092"/>
      <c r="F559" s="115"/>
      <c r="G559" s="116"/>
      <c r="H559" s="1092"/>
      <c r="I559" s="1113"/>
      <c r="J559" s="1113"/>
      <c r="K559" s="895"/>
    </row>
    <row r="560" spans="1:11" s="122" customFormat="1" ht="14.25" hidden="1" customHeight="1" outlineLevel="1">
      <c r="A560" s="886"/>
      <c r="B560" s="1090"/>
      <c r="C560" s="1093"/>
      <c r="D560" s="1093"/>
      <c r="E560" s="1093"/>
      <c r="F560" s="117"/>
      <c r="G560" s="118"/>
      <c r="H560" s="1093"/>
      <c r="I560" s="1093"/>
      <c r="J560" s="1093"/>
      <c r="K560" s="895"/>
    </row>
    <row r="561" spans="1:11" s="122" customFormat="1" ht="15" hidden="1" customHeight="1" outlineLevel="1" thickBot="1">
      <c r="A561" s="886"/>
      <c r="B561" s="1091"/>
      <c r="C561" s="1094"/>
      <c r="D561" s="1094"/>
      <c r="E561" s="1094"/>
      <c r="F561" s="119"/>
      <c r="G561" s="120"/>
      <c r="H561" s="1094"/>
      <c r="I561" s="1094"/>
      <c r="J561" s="1094"/>
      <c r="K561" s="895"/>
    </row>
    <row r="562" spans="1:11" s="122" customFormat="1" ht="14.25" hidden="1" customHeight="1" outlineLevel="1">
      <c r="A562" s="886"/>
      <c r="B562" s="1089">
        <v>184</v>
      </c>
      <c r="C562" s="1092"/>
      <c r="D562" s="1097"/>
      <c r="E562" s="1092"/>
      <c r="F562" s="115"/>
      <c r="G562" s="116"/>
      <c r="H562" s="1092"/>
      <c r="I562" s="1113"/>
      <c r="J562" s="1113"/>
      <c r="K562" s="895"/>
    </row>
    <row r="563" spans="1:11" s="122" customFormat="1" ht="14.25" hidden="1" customHeight="1" outlineLevel="1">
      <c r="A563" s="886"/>
      <c r="B563" s="1090"/>
      <c r="C563" s="1093"/>
      <c r="D563" s="1093"/>
      <c r="E563" s="1093"/>
      <c r="F563" s="117"/>
      <c r="G563" s="118"/>
      <c r="H563" s="1093"/>
      <c r="I563" s="1093"/>
      <c r="J563" s="1093"/>
      <c r="K563" s="895"/>
    </row>
    <row r="564" spans="1:11" s="122" customFormat="1" ht="15" hidden="1" customHeight="1" outlineLevel="1" thickBot="1">
      <c r="A564" s="886"/>
      <c r="B564" s="1091"/>
      <c r="C564" s="1094"/>
      <c r="D564" s="1094"/>
      <c r="E564" s="1094"/>
      <c r="F564" s="119"/>
      <c r="G564" s="120"/>
      <c r="H564" s="1094"/>
      <c r="I564" s="1094"/>
      <c r="J564" s="1094"/>
      <c r="K564" s="895"/>
    </row>
    <row r="565" spans="1:11" s="122" customFormat="1" ht="14.25" hidden="1" customHeight="1" outlineLevel="1">
      <c r="A565" s="886"/>
      <c r="B565" s="1089">
        <v>185</v>
      </c>
      <c r="C565" s="1092"/>
      <c r="D565" s="1097"/>
      <c r="E565" s="1092"/>
      <c r="F565" s="115"/>
      <c r="G565" s="116"/>
      <c r="H565" s="1092"/>
      <c r="I565" s="1113"/>
      <c r="J565" s="1113"/>
      <c r="K565" s="895"/>
    </row>
    <row r="566" spans="1:11" s="122" customFormat="1" ht="14.25" hidden="1" customHeight="1" outlineLevel="1">
      <c r="A566" s="886"/>
      <c r="B566" s="1090"/>
      <c r="C566" s="1093"/>
      <c r="D566" s="1093"/>
      <c r="E566" s="1093"/>
      <c r="F566" s="117"/>
      <c r="G566" s="118"/>
      <c r="H566" s="1093"/>
      <c r="I566" s="1093"/>
      <c r="J566" s="1093"/>
      <c r="K566" s="895"/>
    </row>
    <row r="567" spans="1:11" s="122" customFormat="1" ht="15" hidden="1" customHeight="1" outlineLevel="1" thickBot="1">
      <c r="A567" s="886"/>
      <c r="B567" s="1091"/>
      <c r="C567" s="1094"/>
      <c r="D567" s="1094"/>
      <c r="E567" s="1094"/>
      <c r="F567" s="119"/>
      <c r="G567" s="120"/>
      <c r="H567" s="1094"/>
      <c r="I567" s="1094"/>
      <c r="J567" s="1094"/>
      <c r="K567" s="895"/>
    </row>
    <row r="568" spans="1:11" s="122" customFormat="1" ht="14.25" hidden="1" customHeight="1" outlineLevel="1">
      <c r="A568" s="886"/>
      <c r="B568" s="1089">
        <v>186</v>
      </c>
      <c r="C568" s="1092"/>
      <c r="D568" s="1097"/>
      <c r="E568" s="1092"/>
      <c r="F568" s="115"/>
      <c r="G568" s="116"/>
      <c r="H568" s="1092"/>
      <c r="I568" s="1113"/>
      <c r="J568" s="1113"/>
      <c r="K568" s="895"/>
    </row>
    <row r="569" spans="1:11" s="122" customFormat="1" ht="14.25" hidden="1" customHeight="1" outlineLevel="1">
      <c r="A569" s="886"/>
      <c r="B569" s="1090"/>
      <c r="C569" s="1093"/>
      <c r="D569" s="1093"/>
      <c r="E569" s="1093"/>
      <c r="F569" s="117"/>
      <c r="G569" s="118"/>
      <c r="H569" s="1093"/>
      <c r="I569" s="1093"/>
      <c r="J569" s="1093"/>
      <c r="K569" s="895"/>
    </row>
    <row r="570" spans="1:11" s="122" customFormat="1" ht="15" hidden="1" customHeight="1" outlineLevel="1" thickBot="1">
      <c r="A570" s="886"/>
      <c r="B570" s="1091"/>
      <c r="C570" s="1094"/>
      <c r="D570" s="1094"/>
      <c r="E570" s="1094"/>
      <c r="F570" s="119"/>
      <c r="G570" s="120"/>
      <c r="H570" s="1094"/>
      <c r="I570" s="1094"/>
      <c r="J570" s="1094"/>
      <c r="K570" s="895"/>
    </row>
    <row r="571" spans="1:11" s="122" customFormat="1" ht="14.25" hidden="1" customHeight="1" outlineLevel="1">
      <c r="A571" s="886"/>
      <c r="B571" s="1089">
        <v>187</v>
      </c>
      <c r="C571" s="1092"/>
      <c r="D571" s="1097"/>
      <c r="E571" s="1092"/>
      <c r="F571" s="115"/>
      <c r="G571" s="116"/>
      <c r="H571" s="1092"/>
      <c r="I571" s="1113"/>
      <c r="J571" s="1113"/>
      <c r="K571" s="895"/>
    </row>
    <row r="572" spans="1:11" s="122" customFormat="1" ht="14.25" hidden="1" customHeight="1" outlineLevel="1">
      <c r="A572" s="886"/>
      <c r="B572" s="1090"/>
      <c r="C572" s="1093"/>
      <c r="D572" s="1093"/>
      <c r="E572" s="1093"/>
      <c r="F572" s="117"/>
      <c r="G572" s="118"/>
      <c r="H572" s="1093"/>
      <c r="I572" s="1093"/>
      <c r="J572" s="1093"/>
      <c r="K572" s="895"/>
    </row>
    <row r="573" spans="1:11" s="122" customFormat="1" ht="15" hidden="1" customHeight="1" outlineLevel="1" thickBot="1">
      <c r="A573" s="886"/>
      <c r="B573" s="1091"/>
      <c r="C573" s="1094"/>
      <c r="D573" s="1094"/>
      <c r="E573" s="1094"/>
      <c r="F573" s="119"/>
      <c r="G573" s="120"/>
      <c r="H573" s="1094"/>
      <c r="I573" s="1094"/>
      <c r="J573" s="1094"/>
      <c r="K573" s="895"/>
    </row>
    <row r="574" spans="1:11" s="122" customFormat="1" ht="14.25" hidden="1" customHeight="1" outlineLevel="1">
      <c r="A574" s="886"/>
      <c r="B574" s="1089">
        <v>188</v>
      </c>
      <c r="C574" s="1092"/>
      <c r="D574" s="1097"/>
      <c r="E574" s="1092"/>
      <c r="F574" s="115"/>
      <c r="G574" s="116"/>
      <c r="H574" s="1092"/>
      <c r="I574" s="1113"/>
      <c r="J574" s="1113"/>
      <c r="K574" s="895"/>
    </row>
    <row r="575" spans="1:11" s="122" customFormat="1" ht="14.25" hidden="1" customHeight="1" outlineLevel="1">
      <c r="A575" s="886"/>
      <c r="B575" s="1090"/>
      <c r="C575" s="1093"/>
      <c r="D575" s="1093"/>
      <c r="E575" s="1093"/>
      <c r="F575" s="117"/>
      <c r="G575" s="118"/>
      <c r="H575" s="1093"/>
      <c r="I575" s="1093"/>
      <c r="J575" s="1093"/>
      <c r="K575" s="895"/>
    </row>
    <row r="576" spans="1:11" s="122" customFormat="1" ht="15" hidden="1" customHeight="1" outlineLevel="1" thickBot="1">
      <c r="A576" s="886"/>
      <c r="B576" s="1091"/>
      <c r="C576" s="1094"/>
      <c r="D576" s="1094"/>
      <c r="E576" s="1094"/>
      <c r="F576" s="119"/>
      <c r="G576" s="120"/>
      <c r="H576" s="1094"/>
      <c r="I576" s="1094"/>
      <c r="J576" s="1094"/>
      <c r="K576" s="895"/>
    </row>
    <row r="577" spans="1:11" s="122" customFormat="1" ht="14.25" hidden="1" customHeight="1" outlineLevel="1">
      <c r="A577" s="886"/>
      <c r="B577" s="1089">
        <v>189</v>
      </c>
      <c r="C577" s="1092"/>
      <c r="D577" s="1097"/>
      <c r="E577" s="1092"/>
      <c r="F577" s="115"/>
      <c r="G577" s="116"/>
      <c r="H577" s="1092"/>
      <c r="I577" s="1113"/>
      <c r="J577" s="1113"/>
      <c r="K577" s="895"/>
    </row>
    <row r="578" spans="1:11" s="122" customFormat="1" ht="14.25" hidden="1" customHeight="1" outlineLevel="1">
      <c r="A578" s="886"/>
      <c r="B578" s="1090"/>
      <c r="C578" s="1093"/>
      <c r="D578" s="1093"/>
      <c r="E578" s="1093"/>
      <c r="F578" s="117"/>
      <c r="G578" s="118"/>
      <c r="H578" s="1093"/>
      <c r="I578" s="1093"/>
      <c r="J578" s="1093"/>
      <c r="K578" s="895"/>
    </row>
    <row r="579" spans="1:11" s="122" customFormat="1" ht="15" hidden="1" customHeight="1" outlineLevel="1" thickBot="1">
      <c r="A579" s="886"/>
      <c r="B579" s="1091"/>
      <c r="C579" s="1094"/>
      <c r="D579" s="1094"/>
      <c r="E579" s="1094"/>
      <c r="F579" s="119"/>
      <c r="G579" s="120"/>
      <c r="H579" s="1094"/>
      <c r="I579" s="1094"/>
      <c r="J579" s="1094"/>
      <c r="K579" s="895"/>
    </row>
    <row r="580" spans="1:11" s="122" customFormat="1" ht="14.25" hidden="1" customHeight="1" outlineLevel="1">
      <c r="A580" s="886"/>
      <c r="B580" s="1089">
        <v>190</v>
      </c>
      <c r="C580" s="1092"/>
      <c r="D580" s="1097"/>
      <c r="E580" s="1092"/>
      <c r="F580" s="115"/>
      <c r="G580" s="116"/>
      <c r="H580" s="1092"/>
      <c r="I580" s="1113"/>
      <c r="J580" s="1113"/>
      <c r="K580" s="895"/>
    </row>
    <row r="581" spans="1:11" s="122" customFormat="1" ht="14.25" hidden="1" customHeight="1" outlineLevel="1">
      <c r="A581" s="886"/>
      <c r="B581" s="1090"/>
      <c r="C581" s="1093"/>
      <c r="D581" s="1093"/>
      <c r="E581" s="1093"/>
      <c r="F581" s="117"/>
      <c r="G581" s="118"/>
      <c r="H581" s="1093"/>
      <c r="I581" s="1093"/>
      <c r="J581" s="1093"/>
      <c r="K581" s="895"/>
    </row>
    <row r="582" spans="1:11" s="122" customFormat="1" ht="15" hidden="1" customHeight="1" outlineLevel="1" thickBot="1">
      <c r="A582" s="886"/>
      <c r="B582" s="1091"/>
      <c r="C582" s="1094"/>
      <c r="D582" s="1094"/>
      <c r="E582" s="1094"/>
      <c r="F582" s="119"/>
      <c r="G582" s="120"/>
      <c r="H582" s="1094"/>
      <c r="I582" s="1094"/>
      <c r="J582" s="1094"/>
      <c r="K582" s="895"/>
    </row>
    <row r="583" spans="1:11" s="122" customFormat="1" ht="14.25" hidden="1" customHeight="1" outlineLevel="1">
      <c r="A583" s="886"/>
      <c r="B583" s="1089">
        <v>191</v>
      </c>
      <c r="C583" s="1092"/>
      <c r="D583" s="1097"/>
      <c r="E583" s="1092"/>
      <c r="F583" s="115"/>
      <c r="G583" s="116"/>
      <c r="H583" s="1092"/>
      <c r="I583" s="1113"/>
      <c r="J583" s="1113"/>
      <c r="K583" s="895"/>
    </row>
    <row r="584" spans="1:11" s="122" customFormat="1" ht="14.25" hidden="1" customHeight="1" outlineLevel="1">
      <c r="A584" s="886"/>
      <c r="B584" s="1090"/>
      <c r="C584" s="1093"/>
      <c r="D584" s="1093"/>
      <c r="E584" s="1093"/>
      <c r="F584" s="117"/>
      <c r="G584" s="118"/>
      <c r="H584" s="1093"/>
      <c r="I584" s="1093"/>
      <c r="J584" s="1093"/>
      <c r="K584" s="895"/>
    </row>
    <row r="585" spans="1:11" s="122" customFormat="1" ht="15" hidden="1" customHeight="1" outlineLevel="1" thickBot="1">
      <c r="A585" s="886"/>
      <c r="B585" s="1091"/>
      <c r="C585" s="1094"/>
      <c r="D585" s="1094"/>
      <c r="E585" s="1094"/>
      <c r="F585" s="119"/>
      <c r="G585" s="120"/>
      <c r="H585" s="1094"/>
      <c r="I585" s="1094"/>
      <c r="J585" s="1094"/>
      <c r="K585" s="895"/>
    </row>
    <row r="586" spans="1:11" s="122" customFormat="1" ht="14.25" hidden="1" customHeight="1" outlineLevel="1">
      <c r="A586" s="886"/>
      <c r="B586" s="1089">
        <v>192</v>
      </c>
      <c r="C586" s="1092"/>
      <c r="D586" s="1097"/>
      <c r="E586" s="1092"/>
      <c r="F586" s="115"/>
      <c r="G586" s="116"/>
      <c r="H586" s="1092"/>
      <c r="I586" s="1113"/>
      <c r="J586" s="1113"/>
      <c r="K586" s="895"/>
    </row>
    <row r="587" spans="1:11" s="122" customFormat="1" ht="14.25" hidden="1" customHeight="1" outlineLevel="1">
      <c r="A587" s="886"/>
      <c r="B587" s="1090"/>
      <c r="C587" s="1093"/>
      <c r="D587" s="1093"/>
      <c r="E587" s="1093"/>
      <c r="F587" s="117"/>
      <c r="G587" s="118"/>
      <c r="H587" s="1093"/>
      <c r="I587" s="1093"/>
      <c r="J587" s="1093"/>
      <c r="K587" s="895"/>
    </row>
    <row r="588" spans="1:11" s="122" customFormat="1" ht="15" hidden="1" customHeight="1" outlineLevel="1" thickBot="1">
      <c r="A588" s="886"/>
      <c r="B588" s="1091"/>
      <c r="C588" s="1094"/>
      <c r="D588" s="1094"/>
      <c r="E588" s="1094"/>
      <c r="F588" s="119"/>
      <c r="G588" s="120"/>
      <c r="H588" s="1094"/>
      <c r="I588" s="1094"/>
      <c r="J588" s="1094"/>
      <c r="K588" s="895"/>
    </row>
    <row r="589" spans="1:11" s="122" customFormat="1" ht="14.25" hidden="1" customHeight="1" outlineLevel="1">
      <c r="A589" s="886"/>
      <c r="B589" s="1089">
        <v>193</v>
      </c>
      <c r="C589" s="1092"/>
      <c r="D589" s="1097"/>
      <c r="E589" s="1092"/>
      <c r="F589" s="115"/>
      <c r="G589" s="116"/>
      <c r="H589" s="1092"/>
      <c r="I589" s="1113"/>
      <c r="J589" s="1113"/>
      <c r="K589" s="895"/>
    </row>
    <row r="590" spans="1:11" s="122" customFormat="1" ht="14.25" hidden="1" customHeight="1" outlineLevel="1">
      <c r="A590" s="886"/>
      <c r="B590" s="1090"/>
      <c r="C590" s="1093"/>
      <c r="D590" s="1093"/>
      <c r="E590" s="1093"/>
      <c r="F590" s="117"/>
      <c r="G590" s="118"/>
      <c r="H590" s="1093"/>
      <c r="I590" s="1093"/>
      <c r="J590" s="1093"/>
      <c r="K590" s="895"/>
    </row>
    <row r="591" spans="1:11" s="122" customFormat="1" ht="15" hidden="1" customHeight="1" outlineLevel="1" thickBot="1">
      <c r="A591" s="886"/>
      <c r="B591" s="1091"/>
      <c r="C591" s="1094"/>
      <c r="D591" s="1094"/>
      <c r="E591" s="1094"/>
      <c r="F591" s="119"/>
      <c r="G591" s="120"/>
      <c r="H591" s="1094"/>
      <c r="I591" s="1094"/>
      <c r="J591" s="1094"/>
      <c r="K591" s="895"/>
    </row>
    <row r="592" spans="1:11" s="122" customFormat="1" ht="14.25" hidden="1" customHeight="1" outlineLevel="1">
      <c r="A592" s="886"/>
      <c r="B592" s="1089">
        <v>194</v>
      </c>
      <c r="C592" s="1092"/>
      <c r="D592" s="1097"/>
      <c r="E592" s="1092"/>
      <c r="F592" s="115"/>
      <c r="G592" s="116"/>
      <c r="H592" s="1092"/>
      <c r="I592" s="1113"/>
      <c r="J592" s="1113"/>
      <c r="K592" s="895"/>
    </row>
    <row r="593" spans="1:11" s="122" customFormat="1" ht="14.25" hidden="1" customHeight="1" outlineLevel="1">
      <c r="A593" s="886"/>
      <c r="B593" s="1090"/>
      <c r="C593" s="1093"/>
      <c r="D593" s="1093"/>
      <c r="E593" s="1093"/>
      <c r="F593" s="117"/>
      <c r="G593" s="118"/>
      <c r="H593" s="1093"/>
      <c r="I593" s="1093"/>
      <c r="J593" s="1093"/>
      <c r="K593" s="895"/>
    </row>
    <row r="594" spans="1:11" s="122" customFormat="1" ht="15" hidden="1" customHeight="1" outlineLevel="1" thickBot="1">
      <c r="A594" s="886"/>
      <c r="B594" s="1091"/>
      <c r="C594" s="1094"/>
      <c r="D594" s="1094"/>
      <c r="E594" s="1094"/>
      <c r="F594" s="119"/>
      <c r="G594" s="120"/>
      <c r="H594" s="1094"/>
      <c r="I594" s="1094"/>
      <c r="J594" s="1094"/>
      <c r="K594" s="895"/>
    </row>
    <row r="595" spans="1:11" s="122" customFormat="1" ht="14.25" hidden="1" customHeight="1" outlineLevel="1">
      <c r="A595" s="886"/>
      <c r="B595" s="1089">
        <v>195</v>
      </c>
      <c r="C595" s="1092"/>
      <c r="D595" s="1097"/>
      <c r="E595" s="1092"/>
      <c r="F595" s="115"/>
      <c r="G595" s="116"/>
      <c r="H595" s="1092"/>
      <c r="I595" s="1113"/>
      <c r="J595" s="1113"/>
      <c r="K595" s="895"/>
    </row>
    <row r="596" spans="1:11" s="122" customFormat="1" ht="14.25" hidden="1" customHeight="1" outlineLevel="1">
      <c r="A596" s="886"/>
      <c r="B596" s="1090"/>
      <c r="C596" s="1093"/>
      <c r="D596" s="1093"/>
      <c r="E596" s="1093"/>
      <c r="F596" s="117"/>
      <c r="G596" s="118"/>
      <c r="H596" s="1093"/>
      <c r="I596" s="1093"/>
      <c r="J596" s="1093"/>
      <c r="K596" s="895"/>
    </row>
    <row r="597" spans="1:11" s="122" customFormat="1" ht="15" hidden="1" customHeight="1" outlineLevel="1" thickBot="1">
      <c r="A597" s="886"/>
      <c r="B597" s="1091"/>
      <c r="C597" s="1094"/>
      <c r="D597" s="1094"/>
      <c r="E597" s="1094"/>
      <c r="F597" s="119"/>
      <c r="G597" s="120"/>
      <c r="H597" s="1094"/>
      <c r="I597" s="1094"/>
      <c r="J597" s="1094"/>
      <c r="K597" s="895"/>
    </row>
    <row r="598" spans="1:11" s="122" customFormat="1" ht="14.25" hidden="1" customHeight="1" outlineLevel="1">
      <c r="A598" s="886"/>
      <c r="B598" s="1089">
        <v>196</v>
      </c>
      <c r="C598" s="1092"/>
      <c r="D598" s="1097"/>
      <c r="E598" s="1092"/>
      <c r="F598" s="115"/>
      <c r="G598" s="116"/>
      <c r="H598" s="1092"/>
      <c r="I598" s="1113"/>
      <c r="J598" s="1113"/>
      <c r="K598" s="895"/>
    </row>
    <row r="599" spans="1:11" s="122" customFormat="1" ht="14.25" hidden="1" customHeight="1" outlineLevel="1">
      <c r="A599" s="886"/>
      <c r="B599" s="1090"/>
      <c r="C599" s="1093"/>
      <c r="D599" s="1093"/>
      <c r="E599" s="1093"/>
      <c r="F599" s="117"/>
      <c r="G599" s="118"/>
      <c r="H599" s="1093"/>
      <c r="I599" s="1093"/>
      <c r="J599" s="1093"/>
      <c r="K599" s="895"/>
    </row>
    <row r="600" spans="1:11" s="122" customFormat="1" ht="15" hidden="1" customHeight="1" outlineLevel="1" thickBot="1">
      <c r="A600" s="886"/>
      <c r="B600" s="1091"/>
      <c r="C600" s="1094"/>
      <c r="D600" s="1094"/>
      <c r="E600" s="1094"/>
      <c r="F600" s="119"/>
      <c r="G600" s="120"/>
      <c r="H600" s="1094"/>
      <c r="I600" s="1094"/>
      <c r="J600" s="1094"/>
      <c r="K600" s="895"/>
    </row>
    <row r="601" spans="1:11" s="122" customFormat="1" ht="14.25" hidden="1" customHeight="1" outlineLevel="1">
      <c r="A601" s="886"/>
      <c r="B601" s="1089">
        <v>197</v>
      </c>
      <c r="C601" s="1092"/>
      <c r="D601" s="1097"/>
      <c r="E601" s="1092"/>
      <c r="F601" s="115"/>
      <c r="G601" s="116"/>
      <c r="H601" s="1092"/>
      <c r="I601" s="1113"/>
      <c r="J601" s="1113"/>
      <c r="K601" s="895"/>
    </row>
    <row r="602" spans="1:11" s="122" customFormat="1" ht="14.25" hidden="1" customHeight="1" outlineLevel="1">
      <c r="A602" s="886"/>
      <c r="B602" s="1090"/>
      <c r="C602" s="1093"/>
      <c r="D602" s="1093"/>
      <c r="E602" s="1093"/>
      <c r="F602" s="117"/>
      <c r="G602" s="118"/>
      <c r="H602" s="1093"/>
      <c r="I602" s="1093"/>
      <c r="J602" s="1093"/>
      <c r="K602" s="895"/>
    </row>
    <row r="603" spans="1:11" s="122" customFormat="1" ht="15" hidden="1" customHeight="1" outlineLevel="1" thickBot="1">
      <c r="A603" s="886"/>
      <c r="B603" s="1091"/>
      <c r="C603" s="1094"/>
      <c r="D603" s="1094"/>
      <c r="E603" s="1094"/>
      <c r="F603" s="119"/>
      <c r="G603" s="120"/>
      <c r="H603" s="1094"/>
      <c r="I603" s="1094"/>
      <c r="J603" s="1094"/>
      <c r="K603" s="895"/>
    </row>
    <row r="604" spans="1:11" s="122" customFormat="1" ht="14.25" hidden="1" customHeight="1" outlineLevel="1">
      <c r="A604" s="886"/>
      <c r="B604" s="1089">
        <v>198</v>
      </c>
      <c r="C604" s="1092"/>
      <c r="D604" s="1097"/>
      <c r="E604" s="1092"/>
      <c r="F604" s="115"/>
      <c r="G604" s="116"/>
      <c r="H604" s="1092"/>
      <c r="I604" s="1113"/>
      <c r="J604" s="1113"/>
      <c r="K604" s="895"/>
    </row>
    <row r="605" spans="1:11" s="122" customFormat="1" ht="14.25" hidden="1" customHeight="1" outlineLevel="1">
      <c r="A605" s="886"/>
      <c r="B605" s="1090"/>
      <c r="C605" s="1093"/>
      <c r="D605" s="1093"/>
      <c r="E605" s="1093"/>
      <c r="F605" s="117"/>
      <c r="G605" s="118"/>
      <c r="H605" s="1093"/>
      <c r="I605" s="1093"/>
      <c r="J605" s="1093"/>
      <c r="K605" s="895"/>
    </row>
    <row r="606" spans="1:11" s="122" customFormat="1" ht="15" hidden="1" customHeight="1" outlineLevel="1" thickBot="1">
      <c r="A606" s="886"/>
      <c r="B606" s="1091"/>
      <c r="C606" s="1094"/>
      <c r="D606" s="1094"/>
      <c r="E606" s="1094"/>
      <c r="F606" s="119"/>
      <c r="G606" s="120"/>
      <c r="H606" s="1094"/>
      <c r="I606" s="1094"/>
      <c r="J606" s="1094"/>
      <c r="K606" s="895"/>
    </row>
    <row r="607" spans="1:11" s="122" customFormat="1" ht="14.25" hidden="1" customHeight="1" outlineLevel="1">
      <c r="A607" s="886"/>
      <c r="B607" s="1089">
        <v>199</v>
      </c>
      <c r="C607" s="1092"/>
      <c r="D607" s="1097"/>
      <c r="E607" s="1092"/>
      <c r="F607" s="115"/>
      <c r="G607" s="116"/>
      <c r="H607" s="1092"/>
      <c r="I607" s="1113"/>
      <c r="J607" s="1113"/>
      <c r="K607" s="895"/>
    </row>
    <row r="608" spans="1:11" s="122" customFormat="1" ht="14.25" hidden="1" customHeight="1" outlineLevel="1">
      <c r="A608" s="886"/>
      <c r="B608" s="1090"/>
      <c r="C608" s="1093"/>
      <c r="D608" s="1093"/>
      <c r="E608" s="1093"/>
      <c r="F608" s="117"/>
      <c r="G608" s="118"/>
      <c r="H608" s="1093"/>
      <c r="I608" s="1093"/>
      <c r="J608" s="1093"/>
      <c r="K608" s="895"/>
    </row>
    <row r="609" spans="1:11" s="122" customFormat="1" ht="15" hidden="1" customHeight="1" outlineLevel="1" thickBot="1">
      <c r="A609" s="886"/>
      <c r="B609" s="1091"/>
      <c r="C609" s="1094"/>
      <c r="D609" s="1094"/>
      <c r="E609" s="1094"/>
      <c r="F609" s="119"/>
      <c r="G609" s="120"/>
      <c r="H609" s="1094"/>
      <c r="I609" s="1094"/>
      <c r="J609" s="1094"/>
      <c r="K609" s="895"/>
    </row>
    <row r="610" spans="1:11" s="122" customFormat="1" ht="14.25" hidden="1" customHeight="1" outlineLevel="1">
      <c r="A610" s="886"/>
      <c r="B610" s="1089">
        <v>200</v>
      </c>
      <c r="C610" s="1092"/>
      <c r="D610" s="1097"/>
      <c r="E610" s="1092"/>
      <c r="F610" s="115"/>
      <c r="G610" s="116"/>
      <c r="H610" s="1092"/>
      <c r="I610" s="1113"/>
      <c r="J610" s="1113"/>
      <c r="K610" s="895"/>
    </row>
    <row r="611" spans="1:11" s="122" customFormat="1" ht="14.25" hidden="1" customHeight="1" outlineLevel="1">
      <c r="A611" s="886"/>
      <c r="B611" s="1090"/>
      <c r="C611" s="1093"/>
      <c r="D611" s="1093"/>
      <c r="E611" s="1093"/>
      <c r="F611" s="117"/>
      <c r="G611" s="118"/>
      <c r="H611" s="1093"/>
      <c r="I611" s="1093"/>
      <c r="J611" s="1093"/>
      <c r="K611" s="895"/>
    </row>
    <row r="612" spans="1:11" s="122" customFormat="1" ht="15" hidden="1" customHeight="1" outlineLevel="1" thickBot="1">
      <c r="A612" s="886"/>
      <c r="B612" s="1122"/>
      <c r="C612" s="1121"/>
      <c r="D612" s="1121"/>
      <c r="E612" s="1121"/>
      <c r="F612" s="119"/>
      <c r="G612" s="123"/>
      <c r="H612" s="1121"/>
      <c r="I612" s="1121"/>
      <c r="J612" s="1121"/>
      <c r="K612" s="895"/>
    </row>
    <row r="613" spans="1:11" ht="19.5" customHeight="1" collapsed="1" thickBot="1">
      <c r="A613" s="887"/>
      <c r="B613" s="888"/>
      <c r="C613" s="888"/>
      <c r="D613" s="889"/>
      <c r="E613" s="889"/>
      <c r="F613" s="889"/>
      <c r="G613" s="889"/>
      <c r="H613" s="124" t="s">
        <v>5</v>
      </c>
      <c r="I613" s="125">
        <f>SUM(I13:I612)</f>
        <v>0</v>
      </c>
      <c r="J613" s="125"/>
      <c r="K613" s="896"/>
    </row>
    <row r="614" spans="1:11" ht="14.25">
      <c r="A614" s="887"/>
      <c r="B614" s="887"/>
      <c r="C614" s="890"/>
      <c r="D614" s="889"/>
      <c r="E614" s="889"/>
      <c r="F614" s="889"/>
      <c r="G614" s="889"/>
      <c r="H614" s="889"/>
      <c r="I614" s="887"/>
      <c r="J614" s="887"/>
      <c r="K614" s="889"/>
    </row>
    <row r="615" spans="1:11" ht="12.75" customHeight="1">
      <c r="A615" s="887"/>
      <c r="B615" s="887"/>
      <c r="C615" s="890"/>
      <c r="D615" s="890"/>
      <c r="E615" s="890"/>
      <c r="F615" s="890"/>
      <c r="G615" s="890"/>
      <c r="H615" s="890"/>
      <c r="I615" s="887"/>
      <c r="J615" s="887"/>
      <c r="K615" s="890"/>
    </row>
    <row r="616" spans="1:11">
      <c r="A616" s="887"/>
      <c r="C616" s="83"/>
      <c r="I616" s="127"/>
      <c r="J616" s="127"/>
    </row>
    <row r="617" spans="1:11">
      <c r="I617" s="127"/>
      <c r="J617" s="127"/>
    </row>
    <row r="618" spans="1:11" ht="12.75" customHeight="1">
      <c r="I618" s="127"/>
      <c r="J618" s="127"/>
    </row>
  </sheetData>
  <mergeCells count="1415">
    <mergeCell ref="C3:H3"/>
    <mergeCell ref="C4:H4"/>
    <mergeCell ref="C5:H5"/>
    <mergeCell ref="C6:H6"/>
    <mergeCell ref="C7:H7"/>
    <mergeCell ref="J610:J612"/>
    <mergeCell ref="J607:J609"/>
    <mergeCell ref="I607:I609"/>
    <mergeCell ref="I610:I612"/>
    <mergeCell ref="B610:B612"/>
    <mergeCell ref="C610:C612"/>
    <mergeCell ref="D610:D612"/>
    <mergeCell ref="E610:E612"/>
    <mergeCell ref="I604:I606"/>
    <mergeCell ref="H601:H603"/>
    <mergeCell ref="H598:H600"/>
    <mergeCell ref="H607:H609"/>
    <mergeCell ref="B607:B609"/>
    <mergeCell ref="C607:C609"/>
    <mergeCell ref="D607:D609"/>
    <mergeCell ref="E607:E609"/>
    <mergeCell ref="H610:H612"/>
    <mergeCell ref="D586:D588"/>
    <mergeCell ref="E586:E588"/>
    <mergeCell ref="D589:D591"/>
    <mergeCell ref="E589:E591"/>
    <mergeCell ref="J589:J591"/>
    <mergeCell ref="D595:D597"/>
    <mergeCell ref="E595:E597"/>
    <mergeCell ref="I592:I594"/>
    <mergeCell ref="D592:D594"/>
    <mergeCell ref="E592:E594"/>
    <mergeCell ref="C2:G2"/>
    <mergeCell ref="H604:H606"/>
    <mergeCell ref="H592:H594"/>
    <mergeCell ref="H589:H591"/>
    <mergeCell ref="H586:H588"/>
    <mergeCell ref="H583:H585"/>
    <mergeCell ref="H580:H582"/>
    <mergeCell ref="B601:B603"/>
    <mergeCell ref="C601:C603"/>
    <mergeCell ref="B595:B597"/>
    <mergeCell ref="C595:C597"/>
    <mergeCell ref="J601:J603"/>
    <mergeCell ref="D601:D603"/>
    <mergeCell ref="E601:E603"/>
    <mergeCell ref="B598:B600"/>
    <mergeCell ref="C598:C600"/>
    <mergeCell ref="D598:D600"/>
    <mergeCell ref="E598:E600"/>
    <mergeCell ref="J604:J606"/>
    <mergeCell ref="B604:B606"/>
    <mergeCell ref="C604:C606"/>
    <mergeCell ref="D604:D606"/>
    <mergeCell ref="E604:E606"/>
    <mergeCell ref="I598:I600"/>
    <mergeCell ref="J598:J600"/>
    <mergeCell ref="I601:I603"/>
    <mergeCell ref="I589:I591"/>
    <mergeCell ref="B589:B591"/>
    <mergeCell ref="C589:C591"/>
    <mergeCell ref="J592:J594"/>
    <mergeCell ref="I595:I597"/>
    <mergeCell ref="J595:J597"/>
    <mergeCell ref="H595:H597"/>
    <mergeCell ref="B592:B594"/>
    <mergeCell ref="C592:C594"/>
    <mergeCell ref="J583:J585"/>
    <mergeCell ref="I580:I582"/>
    <mergeCell ref="J580:J582"/>
    <mergeCell ref="E577:E579"/>
    <mergeCell ref="I583:I585"/>
    <mergeCell ref="I577:I579"/>
    <mergeCell ref="B583:B585"/>
    <mergeCell ref="C583:C585"/>
    <mergeCell ref="D583:D585"/>
    <mergeCell ref="E583:E585"/>
    <mergeCell ref="B586:B588"/>
    <mergeCell ref="C586:C588"/>
    <mergeCell ref="I586:I588"/>
    <mergeCell ref="J586:J588"/>
    <mergeCell ref="I574:I576"/>
    <mergeCell ref="J574:J576"/>
    <mergeCell ref="H577:H579"/>
    <mergeCell ref="B574:B576"/>
    <mergeCell ref="C574:C576"/>
    <mergeCell ref="D574:D576"/>
    <mergeCell ref="E574:E576"/>
    <mergeCell ref="H574:H576"/>
    <mergeCell ref="B580:B582"/>
    <mergeCell ref="C580:C582"/>
    <mergeCell ref="D580:D582"/>
    <mergeCell ref="E580:E582"/>
    <mergeCell ref="J577:J579"/>
    <mergeCell ref="B577:B579"/>
    <mergeCell ref="C577:C579"/>
    <mergeCell ref="D577:D579"/>
    <mergeCell ref="H571:H573"/>
    <mergeCell ref="B568:B570"/>
    <mergeCell ref="C568:C570"/>
    <mergeCell ref="D568:D570"/>
    <mergeCell ref="E568:E570"/>
    <mergeCell ref="H568:H570"/>
    <mergeCell ref="B571:B573"/>
    <mergeCell ref="C571:C573"/>
    <mergeCell ref="D571:D573"/>
    <mergeCell ref="E571:E573"/>
    <mergeCell ref="I568:I570"/>
    <mergeCell ref="J568:J570"/>
    <mergeCell ref="I571:I573"/>
    <mergeCell ref="J571:J573"/>
    <mergeCell ref="H565:H567"/>
    <mergeCell ref="B562:B564"/>
    <mergeCell ref="C562:C564"/>
    <mergeCell ref="D562:D564"/>
    <mergeCell ref="E562:E564"/>
    <mergeCell ref="H562:H564"/>
    <mergeCell ref="B565:B567"/>
    <mergeCell ref="C565:C567"/>
    <mergeCell ref="D565:D567"/>
    <mergeCell ref="E565:E567"/>
    <mergeCell ref="I562:I564"/>
    <mergeCell ref="J562:J564"/>
    <mergeCell ref="I565:I567"/>
    <mergeCell ref="J565:J567"/>
    <mergeCell ref="H559:H561"/>
    <mergeCell ref="B556:B558"/>
    <mergeCell ref="C556:C558"/>
    <mergeCell ref="D556:D558"/>
    <mergeCell ref="E556:E558"/>
    <mergeCell ref="H556:H558"/>
    <mergeCell ref="B559:B561"/>
    <mergeCell ref="C559:C561"/>
    <mergeCell ref="D559:D561"/>
    <mergeCell ref="E559:E561"/>
    <mergeCell ref="I556:I558"/>
    <mergeCell ref="J556:J558"/>
    <mergeCell ref="I559:I561"/>
    <mergeCell ref="J559:J561"/>
    <mergeCell ref="H553:H555"/>
    <mergeCell ref="B550:B552"/>
    <mergeCell ref="C550:C552"/>
    <mergeCell ref="D550:D552"/>
    <mergeCell ref="E550:E552"/>
    <mergeCell ref="H550:H552"/>
    <mergeCell ref="B553:B555"/>
    <mergeCell ref="C553:C555"/>
    <mergeCell ref="D553:D555"/>
    <mergeCell ref="E553:E555"/>
    <mergeCell ref="I550:I552"/>
    <mergeCell ref="J550:J552"/>
    <mergeCell ref="I553:I555"/>
    <mergeCell ref="J553:J555"/>
    <mergeCell ref="H547:H549"/>
    <mergeCell ref="B544:B546"/>
    <mergeCell ref="C544:C546"/>
    <mergeCell ref="D544:D546"/>
    <mergeCell ref="E544:E546"/>
    <mergeCell ref="H544:H546"/>
    <mergeCell ref="B547:B549"/>
    <mergeCell ref="C547:C549"/>
    <mergeCell ref="D547:D549"/>
    <mergeCell ref="E547:E549"/>
    <mergeCell ref="I544:I546"/>
    <mergeCell ref="J544:J546"/>
    <mergeCell ref="I547:I549"/>
    <mergeCell ref="J547:J549"/>
    <mergeCell ref="H541:H543"/>
    <mergeCell ref="B538:B540"/>
    <mergeCell ref="C538:C540"/>
    <mergeCell ref="D538:D540"/>
    <mergeCell ref="E538:E540"/>
    <mergeCell ref="H538:H540"/>
    <mergeCell ref="B541:B543"/>
    <mergeCell ref="C541:C543"/>
    <mergeCell ref="D541:D543"/>
    <mergeCell ref="E541:E543"/>
    <mergeCell ref="I538:I540"/>
    <mergeCell ref="J538:J540"/>
    <mergeCell ref="I541:I543"/>
    <mergeCell ref="J541:J543"/>
    <mergeCell ref="H535:H537"/>
    <mergeCell ref="B532:B534"/>
    <mergeCell ref="C532:C534"/>
    <mergeCell ref="D532:D534"/>
    <mergeCell ref="E532:E534"/>
    <mergeCell ref="H532:H534"/>
    <mergeCell ref="B535:B537"/>
    <mergeCell ref="C535:C537"/>
    <mergeCell ref="D535:D537"/>
    <mergeCell ref="E535:E537"/>
    <mergeCell ref="I532:I534"/>
    <mergeCell ref="J532:J534"/>
    <mergeCell ref="I535:I537"/>
    <mergeCell ref="J535:J537"/>
    <mergeCell ref="H529:H531"/>
    <mergeCell ref="B526:B528"/>
    <mergeCell ref="C526:C528"/>
    <mergeCell ref="D526:D528"/>
    <mergeCell ref="E526:E528"/>
    <mergeCell ref="H526:H528"/>
    <mergeCell ref="B529:B531"/>
    <mergeCell ref="C529:C531"/>
    <mergeCell ref="D529:D531"/>
    <mergeCell ref="E529:E531"/>
    <mergeCell ref="I526:I528"/>
    <mergeCell ref="J526:J528"/>
    <mergeCell ref="I529:I531"/>
    <mergeCell ref="J529:J531"/>
    <mergeCell ref="H523:H525"/>
    <mergeCell ref="B520:B522"/>
    <mergeCell ref="C520:C522"/>
    <mergeCell ref="D520:D522"/>
    <mergeCell ref="E520:E522"/>
    <mergeCell ref="H520:H522"/>
    <mergeCell ref="B523:B525"/>
    <mergeCell ref="C523:C525"/>
    <mergeCell ref="D523:D525"/>
    <mergeCell ref="E523:E525"/>
    <mergeCell ref="I520:I522"/>
    <mergeCell ref="J520:J522"/>
    <mergeCell ref="I523:I525"/>
    <mergeCell ref="J523:J525"/>
    <mergeCell ref="H517:H519"/>
    <mergeCell ref="B514:B516"/>
    <mergeCell ref="C514:C516"/>
    <mergeCell ref="D514:D516"/>
    <mergeCell ref="E514:E516"/>
    <mergeCell ref="H514:H516"/>
    <mergeCell ref="B517:B519"/>
    <mergeCell ref="C517:C519"/>
    <mergeCell ref="D517:D519"/>
    <mergeCell ref="E517:E519"/>
    <mergeCell ref="I514:I516"/>
    <mergeCell ref="J514:J516"/>
    <mergeCell ref="I517:I519"/>
    <mergeCell ref="J517:J519"/>
    <mergeCell ref="H511:H513"/>
    <mergeCell ref="B508:B510"/>
    <mergeCell ref="C508:C510"/>
    <mergeCell ref="D508:D510"/>
    <mergeCell ref="E508:E510"/>
    <mergeCell ref="H508:H510"/>
    <mergeCell ref="B511:B513"/>
    <mergeCell ref="C511:C513"/>
    <mergeCell ref="D511:D513"/>
    <mergeCell ref="E511:E513"/>
    <mergeCell ref="I508:I510"/>
    <mergeCell ref="J508:J510"/>
    <mergeCell ref="I511:I513"/>
    <mergeCell ref="J511:J513"/>
    <mergeCell ref="H505:H507"/>
    <mergeCell ref="B502:B504"/>
    <mergeCell ref="C502:C504"/>
    <mergeCell ref="D502:D504"/>
    <mergeCell ref="E502:E504"/>
    <mergeCell ref="H502:H504"/>
    <mergeCell ref="B505:B507"/>
    <mergeCell ref="C505:C507"/>
    <mergeCell ref="D505:D507"/>
    <mergeCell ref="E505:E507"/>
    <mergeCell ref="I502:I504"/>
    <mergeCell ref="J502:J504"/>
    <mergeCell ref="I505:I507"/>
    <mergeCell ref="J505:J507"/>
    <mergeCell ref="H499:H501"/>
    <mergeCell ref="B496:B498"/>
    <mergeCell ref="C496:C498"/>
    <mergeCell ref="D496:D498"/>
    <mergeCell ref="E496:E498"/>
    <mergeCell ref="H496:H498"/>
    <mergeCell ref="B499:B501"/>
    <mergeCell ref="C499:C501"/>
    <mergeCell ref="D499:D501"/>
    <mergeCell ref="E499:E501"/>
    <mergeCell ref="I496:I498"/>
    <mergeCell ref="J496:J498"/>
    <mergeCell ref="I499:I501"/>
    <mergeCell ref="J499:J501"/>
    <mergeCell ref="H493:H495"/>
    <mergeCell ref="B490:B492"/>
    <mergeCell ref="C490:C492"/>
    <mergeCell ref="D490:D492"/>
    <mergeCell ref="E490:E492"/>
    <mergeCell ref="H490:H492"/>
    <mergeCell ref="B493:B495"/>
    <mergeCell ref="C493:C495"/>
    <mergeCell ref="D493:D495"/>
    <mergeCell ref="E493:E495"/>
    <mergeCell ref="I490:I492"/>
    <mergeCell ref="J490:J492"/>
    <mergeCell ref="I493:I495"/>
    <mergeCell ref="J493:J495"/>
    <mergeCell ref="H487:H489"/>
    <mergeCell ref="B484:B486"/>
    <mergeCell ref="C484:C486"/>
    <mergeCell ref="D484:D486"/>
    <mergeCell ref="E484:E486"/>
    <mergeCell ref="H484:H486"/>
    <mergeCell ref="B487:B489"/>
    <mergeCell ref="C487:C489"/>
    <mergeCell ref="D487:D489"/>
    <mergeCell ref="E487:E489"/>
    <mergeCell ref="I484:I486"/>
    <mergeCell ref="J484:J486"/>
    <mergeCell ref="I487:I489"/>
    <mergeCell ref="J487:J489"/>
    <mergeCell ref="H481:H483"/>
    <mergeCell ref="B478:B480"/>
    <mergeCell ref="C478:C480"/>
    <mergeCell ref="D478:D480"/>
    <mergeCell ref="E478:E480"/>
    <mergeCell ref="H478:H480"/>
    <mergeCell ref="B481:B483"/>
    <mergeCell ref="C481:C483"/>
    <mergeCell ref="D481:D483"/>
    <mergeCell ref="E481:E483"/>
    <mergeCell ref="I478:I480"/>
    <mergeCell ref="J478:J480"/>
    <mergeCell ref="I481:I483"/>
    <mergeCell ref="J481:J483"/>
    <mergeCell ref="H475:H477"/>
    <mergeCell ref="B472:B474"/>
    <mergeCell ref="C472:C474"/>
    <mergeCell ref="D472:D474"/>
    <mergeCell ref="E472:E474"/>
    <mergeCell ref="H472:H474"/>
    <mergeCell ref="B475:B477"/>
    <mergeCell ref="C475:C477"/>
    <mergeCell ref="D475:D477"/>
    <mergeCell ref="E475:E477"/>
    <mergeCell ref="I472:I474"/>
    <mergeCell ref="J472:J474"/>
    <mergeCell ref="I475:I477"/>
    <mergeCell ref="J475:J477"/>
    <mergeCell ref="H469:H471"/>
    <mergeCell ref="B466:B468"/>
    <mergeCell ref="C466:C468"/>
    <mergeCell ref="D466:D468"/>
    <mergeCell ref="E466:E468"/>
    <mergeCell ref="H466:H468"/>
    <mergeCell ref="B469:B471"/>
    <mergeCell ref="C469:C471"/>
    <mergeCell ref="D469:D471"/>
    <mergeCell ref="E469:E471"/>
    <mergeCell ref="I466:I468"/>
    <mergeCell ref="J466:J468"/>
    <mergeCell ref="I469:I471"/>
    <mergeCell ref="J469:J471"/>
    <mergeCell ref="H463:H465"/>
    <mergeCell ref="B460:B462"/>
    <mergeCell ref="C460:C462"/>
    <mergeCell ref="D460:D462"/>
    <mergeCell ref="E460:E462"/>
    <mergeCell ref="H460:H462"/>
    <mergeCell ref="B463:B465"/>
    <mergeCell ref="C463:C465"/>
    <mergeCell ref="D463:D465"/>
    <mergeCell ref="E463:E465"/>
    <mergeCell ref="I460:I462"/>
    <mergeCell ref="J460:J462"/>
    <mergeCell ref="I463:I465"/>
    <mergeCell ref="J463:J465"/>
    <mergeCell ref="H457:H459"/>
    <mergeCell ref="B454:B456"/>
    <mergeCell ref="C454:C456"/>
    <mergeCell ref="D454:D456"/>
    <mergeCell ref="E454:E456"/>
    <mergeCell ref="H454:H456"/>
    <mergeCell ref="B457:B459"/>
    <mergeCell ref="C457:C459"/>
    <mergeCell ref="D457:D459"/>
    <mergeCell ref="E457:E459"/>
    <mergeCell ref="I454:I456"/>
    <mergeCell ref="J454:J456"/>
    <mergeCell ref="I457:I459"/>
    <mergeCell ref="J457:J459"/>
    <mergeCell ref="H451:H453"/>
    <mergeCell ref="B448:B450"/>
    <mergeCell ref="C448:C450"/>
    <mergeCell ref="D448:D450"/>
    <mergeCell ref="E448:E450"/>
    <mergeCell ref="H448:H450"/>
    <mergeCell ref="B451:B453"/>
    <mergeCell ref="C451:C453"/>
    <mergeCell ref="D451:D453"/>
    <mergeCell ref="E451:E453"/>
    <mergeCell ref="I448:I450"/>
    <mergeCell ref="J448:J450"/>
    <mergeCell ref="I451:I453"/>
    <mergeCell ref="J451:J453"/>
    <mergeCell ref="H445:H447"/>
    <mergeCell ref="B442:B444"/>
    <mergeCell ref="C442:C444"/>
    <mergeCell ref="D442:D444"/>
    <mergeCell ref="E442:E444"/>
    <mergeCell ref="H442:H444"/>
    <mergeCell ref="B445:B447"/>
    <mergeCell ref="C445:C447"/>
    <mergeCell ref="D445:D447"/>
    <mergeCell ref="E445:E447"/>
    <mergeCell ref="I442:I444"/>
    <mergeCell ref="J442:J444"/>
    <mergeCell ref="I445:I447"/>
    <mergeCell ref="J445:J447"/>
    <mergeCell ref="H439:H441"/>
    <mergeCell ref="B436:B438"/>
    <mergeCell ref="C436:C438"/>
    <mergeCell ref="D436:D438"/>
    <mergeCell ref="E436:E438"/>
    <mergeCell ref="H436:H438"/>
    <mergeCell ref="B439:B441"/>
    <mergeCell ref="C439:C441"/>
    <mergeCell ref="D439:D441"/>
    <mergeCell ref="E439:E441"/>
    <mergeCell ref="I436:I438"/>
    <mergeCell ref="J436:J438"/>
    <mergeCell ref="I439:I441"/>
    <mergeCell ref="J439:J441"/>
    <mergeCell ref="H433:H435"/>
    <mergeCell ref="B430:B432"/>
    <mergeCell ref="C430:C432"/>
    <mergeCell ref="D430:D432"/>
    <mergeCell ref="E430:E432"/>
    <mergeCell ref="H430:H432"/>
    <mergeCell ref="B433:B435"/>
    <mergeCell ref="C433:C435"/>
    <mergeCell ref="D433:D435"/>
    <mergeCell ref="E433:E435"/>
    <mergeCell ref="I430:I432"/>
    <mergeCell ref="J430:J432"/>
    <mergeCell ref="I433:I435"/>
    <mergeCell ref="J433:J435"/>
    <mergeCell ref="H427:H429"/>
    <mergeCell ref="B424:B426"/>
    <mergeCell ref="C424:C426"/>
    <mergeCell ref="D424:D426"/>
    <mergeCell ref="E424:E426"/>
    <mergeCell ref="H424:H426"/>
    <mergeCell ref="B427:B429"/>
    <mergeCell ref="C427:C429"/>
    <mergeCell ref="D427:D429"/>
    <mergeCell ref="E427:E429"/>
    <mergeCell ref="I424:I426"/>
    <mergeCell ref="J424:J426"/>
    <mergeCell ref="I427:I429"/>
    <mergeCell ref="J427:J429"/>
    <mergeCell ref="H421:H423"/>
    <mergeCell ref="B418:B420"/>
    <mergeCell ref="C418:C420"/>
    <mergeCell ref="D418:D420"/>
    <mergeCell ref="E418:E420"/>
    <mergeCell ref="H418:H420"/>
    <mergeCell ref="B421:B423"/>
    <mergeCell ref="C421:C423"/>
    <mergeCell ref="D421:D423"/>
    <mergeCell ref="E421:E423"/>
    <mergeCell ref="I418:I420"/>
    <mergeCell ref="J418:J420"/>
    <mergeCell ref="I421:I423"/>
    <mergeCell ref="J421:J423"/>
    <mergeCell ref="H415:H417"/>
    <mergeCell ref="B412:B414"/>
    <mergeCell ref="C412:C414"/>
    <mergeCell ref="D412:D414"/>
    <mergeCell ref="E412:E414"/>
    <mergeCell ref="H412:H414"/>
    <mergeCell ref="B415:B417"/>
    <mergeCell ref="C415:C417"/>
    <mergeCell ref="D415:D417"/>
    <mergeCell ref="E415:E417"/>
    <mergeCell ref="I412:I414"/>
    <mergeCell ref="J412:J414"/>
    <mergeCell ref="I415:I417"/>
    <mergeCell ref="J415:J417"/>
    <mergeCell ref="H409:H411"/>
    <mergeCell ref="B406:B408"/>
    <mergeCell ref="C406:C408"/>
    <mergeCell ref="D406:D408"/>
    <mergeCell ref="E406:E408"/>
    <mergeCell ref="H406:H408"/>
    <mergeCell ref="B409:B411"/>
    <mergeCell ref="C409:C411"/>
    <mergeCell ref="D409:D411"/>
    <mergeCell ref="E409:E411"/>
    <mergeCell ref="I406:I408"/>
    <mergeCell ref="J406:J408"/>
    <mergeCell ref="I409:I411"/>
    <mergeCell ref="J409:J411"/>
    <mergeCell ref="H403:H405"/>
    <mergeCell ref="B400:B402"/>
    <mergeCell ref="C400:C402"/>
    <mergeCell ref="D400:D402"/>
    <mergeCell ref="E400:E402"/>
    <mergeCell ref="H400:H402"/>
    <mergeCell ref="B403:B405"/>
    <mergeCell ref="C403:C405"/>
    <mergeCell ref="D403:D405"/>
    <mergeCell ref="E403:E405"/>
    <mergeCell ref="I400:I402"/>
    <mergeCell ref="J400:J402"/>
    <mergeCell ref="I403:I405"/>
    <mergeCell ref="J403:J405"/>
    <mergeCell ref="H397:H399"/>
    <mergeCell ref="B394:B396"/>
    <mergeCell ref="C394:C396"/>
    <mergeCell ref="D394:D396"/>
    <mergeCell ref="E394:E396"/>
    <mergeCell ref="H394:H396"/>
    <mergeCell ref="B397:B399"/>
    <mergeCell ref="C397:C399"/>
    <mergeCell ref="D397:D399"/>
    <mergeCell ref="E397:E399"/>
    <mergeCell ref="I394:I396"/>
    <mergeCell ref="J394:J396"/>
    <mergeCell ref="I397:I399"/>
    <mergeCell ref="J397:J399"/>
    <mergeCell ref="H391:H393"/>
    <mergeCell ref="B388:B390"/>
    <mergeCell ref="C388:C390"/>
    <mergeCell ref="D388:D390"/>
    <mergeCell ref="E388:E390"/>
    <mergeCell ref="H388:H390"/>
    <mergeCell ref="B391:B393"/>
    <mergeCell ref="C391:C393"/>
    <mergeCell ref="D391:D393"/>
    <mergeCell ref="E391:E393"/>
    <mergeCell ref="I388:I390"/>
    <mergeCell ref="J388:J390"/>
    <mergeCell ref="I391:I393"/>
    <mergeCell ref="J391:J393"/>
    <mergeCell ref="H385:H387"/>
    <mergeCell ref="B382:B384"/>
    <mergeCell ref="C382:C384"/>
    <mergeCell ref="D382:D384"/>
    <mergeCell ref="E382:E384"/>
    <mergeCell ref="H382:H384"/>
    <mergeCell ref="B385:B387"/>
    <mergeCell ref="C385:C387"/>
    <mergeCell ref="D385:D387"/>
    <mergeCell ref="E385:E387"/>
    <mergeCell ref="I382:I384"/>
    <mergeCell ref="J382:J384"/>
    <mergeCell ref="I385:I387"/>
    <mergeCell ref="J385:J387"/>
    <mergeCell ref="H379:H381"/>
    <mergeCell ref="B376:B378"/>
    <mergeCell ref="C376:C378"/>
    <mergeCell ref="D376:D378"/>
    <mergeCell ref="E376:E378"/>
    <mergeCell ref="H376:H378"/>
    <mergeCell ref="B379:B381"/>
    <mergeCell ref="C379:C381"/>
    <mergeCell ref="D379:D381"/>
    <mergeCell ref="E379:E381"/>
    <mergeCell ref="I376:I378"/>
    <mergeCell ref="J376:J378"/>
    <mergeCell ref="I379:I381"/>
    <mergeCell ref="J379:J381"/>
    <mergeCell ref="H373:H375"/>
    <mergeCell ref="B370:B372"/>
    <mergeCell ref="C370:C372"/>
    <mergeCell ref="D370:D372"/>
    <mergeCell ref="E370:E372"/>
    <mergeCell ref="H370:H372"/>
    <mergeCell ref="B373:B375"/>
    <mergeCell ref="C373:C375"/>
    <mergeCell ref="D373:D375"/>
    <mergeCell ref="E373:E375"/>
    <mergeCell ref="I370:I372"/>
    <mergeCell ref="J370:J372"/>
    <mergeCell ref="I373:I375"/>
    <mergeCell ref="J373:J375"/>
    <mergeCell ref="H367:H369"/>
    <mergeCell ref="B364:B366"/>
    <mergeCell ref="C364:C366"/>
    <mergeCell ref="D364:D366"/>
    <mergeCell ref="E364:E366"/>
    <mergeCell ref="H364:H366"/>
    <mergeCell ref="B367:B369"/>
    <mergeCell ref="C367:C369"/>
    <mergeCell ref="D367:D369"/>
    <mergeCell ref="E367:E369"/>
    <mergeCell ref="I364:I366"/>
    <mergeCell ref="J364:J366"/>
    <mergeCell ref="I367:I369"/>
    <mergeCell ref="J367:J369"/>
    <mergeCell ref="H361:H363"/>
    <mergeCell ref="B358:B360"/>
    <mergeCell ref="C358:C360"/>
    <mergeCell ref="D358:D360"/>
    <mergeCell ref="E358:E360"/>
    <mergeCell ref="H358:H360"/>
    <mergeCell ref="B361:B363"/>
    <mergeCell ref="C361:C363"/>
    <mergeCell ref="D361:D363"/>
    <mergeCell ref="E361:E363"/>
    <mergeCell ref="I358:I360"/>
    <mergeCell ref="J358:J360"/>
    <mergeCell ref="I361:I363"/>
    <mergeCell ref="J361:J363"/>
    <mergeCell ref="H355:H357"/>
    <mergeCell ref="B352:B354"/>
    <mergeCell ref="C352:C354"/>
    <mergeCell ref="D352:D354"/>
    <mergeCell ref="E352:E354"/>
    <mergeCell ref="H352:H354"/>
    <mergeCell ref="B355:B357"/>
    <mergeCell ref="C355:C357"/>
    <mergeCell ref="D355:D357"/>
    <mergeCell ref="E355:E357"/>
    <mergeCell ref="I352:I354"/>
    <mergeCell ref="J352:J354"/>
    <mergeCell ref="I355:I357"/>
    <mergeCell ref="J355:J357"/>
    <mergeCell ref="H349:H351"/>
    <mergeCell ref="B346:B348"/>
    <mergeCell ref="C346:C348"/>
    <mergeCell ref="D346:D348"/>
    <mergeCell ref="E346:E348"/>
    <mergeCell ref="H346:H348"/>
    <mergeCell ref="B349:B351"/>
    <mergeCell ref="C349:C351"/>
    <mergeCell ref="D349:D351"/>
    <mergeCell ref="E349:E351"/>
    <mergeCell ref="I346:I348"/>
    <mergeCell ref="J346:J348"/>
    <mergeCell ref="I349:I351"/>
    <mergeCell ref="J349:J351"/>
    <mergeCell ref="H343:H345"/>
    <mergeCell ref="B340:B342"/>
    <mergeCell ref="C340:C342"/>
    <mergeCell ref="D340:D342"/>
    <mergeCell ref="E340:E342"/>
    <mergeCell ref="H340:H342"/>
    <mergeCell ref="B343:B345"/>
    <mergeCell ref="C343:C345"/>
    <mergeCell ref="D343:D345"/>
    <mergeCell ref="E343:E345"/>
    <mergeCell ref="I340:I342"/>
    <mergeCell ref="J340:J342"/>
    <mergeCell ref="I343:I345"/>
    <mergeCell ref="J343:J345"/>
    <mergeCell ref="H337:H339"/>
    <mergeCell ref="B334:B336"/>
    <mergeCell ref="C334:C336"/>
    <mergeCell ref="D334:D336"/>
    <mergeCell ref="E334:E336"/>
    <mergeCell ref="H334:H336"/>
    <mergeCell ref="B337:B339"/>
    <mergeCell ref="C337:C339"/>
    <mergeCell ref="D337:D339"/>
    <mergeCell ref="E337:E339"/>
    <mergeCell ref="I334:I336"/>
    <mergeCell ref="J334:J336"/>
    <mergeCell ref="I337:I339"/>
    <mergeCell ref="J337:J339"/>
    <mergeCell ref="H331:H333"/>
    <mergeCell ref="B328:B330"/>
    <mergeCell ref="C328:C330"/>
    <mergeCell ref="D328:D330"/>
    <mergeCell ref="E328:E330"/>
    <mergeCell ref="H328:H330"/>
    <mergeCell ref="B331:B333"/>
    <mergeCell ref="C331:C333"/>
    <mergeCell ref="D331:D333"/>
    <mergeCell ref="E331:E333"/>
    <mergeCell ref="I328:I330"/>
    <mergeCell ref="J328:J330"/>
    <mergeCell ref="I331:I333"/>
    <mergeCell ref="J331:J333"/>
    <mergeCell ref="H325:H327"/>
    <mergeCell ref="B322:B324"/>
    <mergeCell ref="C322:C324"/>
    <mergeCell ref="D322:D324"/>
    <mergeCell ref="E322:E324"/>
    <mergeCell ref="H322:H324"/>
    <mergeCell ref="B325:B327"/>
    <mergeCell ref="C325:C327"/>
    <mergeCell ref="D325:D327"/>
    <mergeCell ref="E325:E327"/>
    <mergeCell ref="I322:I324"/>
    <mergeCell ref="J322:J324"/>
    <mergeCell ref="I325:I327"/>
    <mergeCell ref="J325:J327"/>
    <mergeCell ref="H319:H321"/>
    <mergeCell ref="B316:B318"/>
    <mergeCell ref="C316:C318"/>
    <mergeCell ref="D316:D318"/>
    <mergeCell ref="E316:E318"/>
    <mergeCell ref="H316:H318"/>
    <mergeCell ref="B319:B321"/>
    <mergeCell ref="C319:C321"/>
    <mergeCell ref="D319:D321"/>
    <mergeCell ref="E319:E321"/>
    <mergeCell ref="I316:I318"/>
    <mergeCell ref="J316:J318"/>
    <mergeCell ref="I319:I321"/>
    <mergeCell ref="J319:J321"/>
    <mergeCell ref="H313:H315"/>
    <mergeCell ref="B310:B312"/>
    <mergeCell ref="C310:C312"/>
    <mergeCell ref="D310:D312"/>
    <mergeCell ref="E310:E312"/>
    <mergeCell ref="H310:H312"/>
    <mergeCell ref="B313:B315"/>
    <mergeCell ref="C313:C315"/>
    <mergeCell ref="D313:D315"/>
    <mergeCell ref="E313:E315"/>
    <mergeCell ref="I310:I312"/>
    <mergeCell ref="J310:J312"/>
    <mergeCell ref="I313:I315"/>
    <mergeCell ref="J313:J315"/>
    <mergeCell ref="H307:H309"/>
    <mergeCell ref="B304:B306"/>
    <mergeCell ref="C304:C306"/>
    <mergeCell ref="D304:D306"/>
    <mergeCell ref="E304:E306"/>
    <mergeCell ref="H304:H306"/>
    <mergeCell ref="B307:B309"/>
    <mergeCell ref="C307:C309"/>
    <mergeCell ref="D307:D309"/>
    <mergeCell ref="E307:E309"/>
    <mergeCell ref="I304:I306"/>
    <mergeCell ref="J304:J306"/>
    <mergeCell ref="I307:I309"/>
    <mergeCell ref="J307:J309"/>
    <mergeCell ref="H301:H303"/>
    <mergeCell ref="B298:B300"/>
    <mergeCell ref="C298:C300"/>
    <mergeCell ref="D298:D300"/>
    <mergeCell ref="E298:E300"/>
    <mergeCell ref="H298:H300"/>
    <mergeCell ref="B301:B303"/>
    <mergeCell ref="C301:C303"/>
    <mergeCell ref="D301:D303"/>
    <mergeCell ref="E301:E303"/>
    <mergeCell ref="I298:I300"/>
    <mergeCell ref="J298:J300"/>
    <mergeCell ref="I301:I303"/>
    <mergeCell ref="J301:J303"/>
    <mergeCell ref="H295:H297"/>
    <mergeCell ref="B292:B294"/>
    <mergeCell ref="C292:C294"/>
    <mergeCell ref="D292:D294"/>
    <mergeCell ref="E292:E294"/>
    <mergeCell ref="H292:H294"/>
    <mergeCell ref="B295:B297"/>
    <mergeCell ref="C295:C297"/>
    <mergeCell ref="D295:D297"/>
    <mergeCell ref="E295:E297"/>
    <mergeCell ref="I292:I294"/>
    <mergeCell ref="J292:J294"/>
    <mergeCell ref="I295:I297"/>
    <mergeCell ref="J295:J297"/>
    <mergeCell ref="H289:H291"/>
    <mergeCell ref="B286:B288"/>
    <mergeCell ref="C286:C288"/>
    <mergeCell ref="D286:D288"/>
    <mergeCell ref="E286:E288"/>
    <mergeCell ref="H286:H288"/>
    <mergeCell ref="B289:B291"/>
    <mergeCell ref="C289:C291"/>
    <mergeCell ref="D289:D291"/>
    <mergeCell ref="E289:E291"/>
    <mergeCell ref="I286:I288"/>
    <mergeCell ref="J286:J288"/>
    <mergeCell ref="I289:I291"/>
    <mergeCell ref="J289:J291"/>
    <mergeCell ref="H283:H285"/>
    <mergeCell ref="B280:B282"/>
    <mergeCell ref="C280:C282"/>
    <mergeCell ref="D280:D282"/>
    <mergeCell ref="E280:E282"/>
    <mergeCell ref="H280:H282"/>
    <mergeCell ref="B283:B285"/>
    <mergeCell ref="C283:C285"/>
    <mergeCell ref="D283:D285"/>
    <mergeCell ref="E283:E285"/>
    <mergeCell ref="I280:I282"/>
    <mergeCell ref="J280:J282"/>
    <mergeCell ref="I283:I285"/>
    <mergeCell ref="J283:J285"/>
    <mergeCell ref="H277:H279"/>
    <mergeCell ref="B274:B276"/>
    <mergeCell ref="C274:C276"/>
    <mergeCell ref="D274:D276"/>
    <mergeCell ref="E274:E276"/>
    <mergeCell ref="H274:H276"/>
    <mergeCell ref="B277:B279"/>
    <mergeCell ref="C277:C279"/>
    <mergeCell ref="D277:D279"/>
    <mergeCell ref="E277:E279"/>
    <mergeCell ref="I274:I276"/>
    <mergeCell ref="J274:J276"/>
    <mergeCell ref="I277:I279"/>
    <mergeCell ref="J277:J279"/>
    <mergeCell ref="H271:H273"/>
    <mergeCell ref="B268:B270"/>
    <mergeCell ref="C268:C270"/>
    <mergeCell ref="D268:D270"/>
    <mergeCell ref="E268:E270"/>
    <mergeCell ref="H268:H270"/>
    <mergeCell ref="B271:B273"/>
    <mergeCell ref="C271:C273"/>
    <mergeCell ref="D271:D273"/>
    <mergeCell ref="E271:E273"/>
    <mergeCell ref="I268:I270"/>
    <mergeCell ref="J268:J270"/>
    <mergeCell ref="I271:I273"/>
    <mergeCell ref="J271:J273"/>
    <mergeCell ref="H265:H267"/>
    <mergeCell ref="B262:B264"/>
    <mergeCell ref="C262:C264"/>
    <mergeCell ref="D262:D264"/>
    <mergeCell ref="E262:E264"/>
    <mergeCell ref="H262:H264"/>
    <mergeCell ref="B265:B267"/>
    <mergeCell ref="C265:C267"/>
    <mergeCell ref="D265:D267"/>
    <mergeCell ref="E265:E267"/>
    <mergeCell ref="I262:I264"/>
    <mergeCell ref="J262:J264"/>
    <mergeCell ref="I265:I267"/>
    <mergeCell ref="J265:J267"/>
    <mergeCell ref="H259:H261"/>
    <mergeCell ref="B256:B258"/>
    <mergeCell ref="C256:C258"/>
    <mergeCell ref="D256:D258"/>
    <mergeCell ref="E256:E258"/>
    <mergeCell ref="H256:H258"/>
    <mergeCell ref="B259:B261"/>
    <mergeCell ref="C259:C261"/>
    <mergeCell ref="D259:D261"/>
    <mergeCell ref="E259:E261"/>
    <mergeCell ref="I256:I258"/>
    <mergeCell ref="J256:J258"/>
    <mergeCell ref="I259:I261"/>
    <mergeCell ref="J259:J261"/>
    <mergeCell ref="H253:H255"/>
    <mergeCell ref="B250:B252"/>
    <mergeCell ref="C250:C252"/>
    <mergeCell ref="D250:D252"/>
    <mergeCell ref="E250:E252"/>
    <mergeCell ref="H250:H252"/>
    <mergeCell ref="B253:B255"/>
    <mergeCell ref="C253:C255"/>
    <mergeCell ref="D253:D255"/>
    <mergeCell ref="E253:E255"/>
    <mergeCell ref="I250:I252"/>
    <mergeCell ref="J250:J252"/>
    <mergeCell ref="I253:I255"/>
    <mergeCell ref="J253:J255"/>
    <mergeCell ref="H247:H249"/>
    <mergeCell ref="B244:B246"/>
    <mergeCell ref="C244:C246"/>
    <mergeCell ref="D244:D246"/>
    <mergeCell ref="E244:E246"/>
    <mergeCell ref="H244:H246"/>
    <mergeCell ref="B247:B249"/>
    <mergeCell ref="C247:C249"/>
    <mergeCell ref="D247:D249"/>
    <mergeCell ref="E247:E249"/>
    <mergeCell ref="I244:I246"/>
    <mergeCell ref="J244:J246"/>
    <mergeCell ref="I247:I249"/>
    <mergeCell ref="J247:J249"/>
    <mergeCell ref="H241:H243"/>
    <mergeCell ref="B238:B240"/>
    <mergeCell ref="C238:C240"/>
    <mergeCell ref="D238:D240"/>
    <mergeCell ref="E238:E240"/>
    <mergeCell ref="H238:H240"/>
    <mergeCell ref="B241:B243"/>
    <mergeCell ref="C241:C243"/>
    <mergeCell ref="D241:D243"/>
    <mergeCell ref="E241:E243"/>
    <mergeCell ref="I238:I240"/>
    <mergeCell ref="J238:J240"/>
    <mergeCell ref="I241:I243"/>
    <mergeCell ref="J241:J243"/>
    <mergeCell ref="H235:H237"/>
    <mergeCell ref="B232:B234"/>
    <mergeCell ref="C232:C234"/>
    <mergeCell ref="D232:D234"/>
    <mergeCell ref="E232:E234"/>
    <mergeCell ref="H232:H234"/>
    <mergeCell ref="B235:B237"/>
    <mergeCell ref="C235:C237"/>
    <mergeCell ref="D235:D237"/>
    <mergeCell ref="E235:E237"/>
    <mergeCell ref="I232:I234"/>
    <mergeCell ref="J232:J234"/>
    <mergeCell ref="I235:I237"/>
    <mergeCell ref="J235:J237"/>
    <mergeCell ref="H229:H231"/>
    <mergeCell ref="B226:B228"/>
    <mergeCell ref="C226:C228"/>
    <mergeCell ref="D226:D228"/>
    <mergeCell ref="E226:E228"/>
    <mergeCell ref="H226:H228"/>
    <mergeCell ref="B229:B231"/>
    <mergeCell ref="C229:C231"/>
    <mergeCell ref="D229:D231"/>
    <mergeCell ref="E229:E231"/>
    <mergeCell ref="I226:I228"/>
    <mergeCell ref="J226:J228"/>
    <mergeCell ref="I229:I231"/>
    <mergeCell ref="J229:J231"/>
    <mergeCell ref="H223:H225"/>
    <mergeCell ref="B220:B222"/>
    <mergeCell ref="C220:C222"/>
    <mergeCell ref="D220:D222"/>
    <mergeCell ref="E220:E222"/>
    <mergeCell ref="H220:H222"/>
    <mergeCell ref="B223:B225"/>
    <mergeCell ref="C223:C225"/>
    <mergeCell ref="D223:D225"/>
    <mergeCell ref="E223:E225"/>
    <mergeCell ref="I220:I222"/>
    <mergeCell ref="J220:J222"/>
    <mergeCell ref="I223:I225"/>
    <mergeCell ref="J223:J225"/>
    <mergeCell ref="H217:H219"/>
    <mergeCell ref="B214:B216"/>
    <mergeCell ref="C214:C216"/>
    <mergeCell ref="D214:D216"/>
    <mergeCell ref="E214:E216"/>
    <mergeCell ref="H214:H216"/>
    <mergeCell ref="B217:B219"/>
    <mergeCell ref="C217:C219"/>
    <mergeCell ref="D217:D219"/>
    <mergeCell ref="E217:E219"/>
    <mergeCell ref="I214:I216"/>
    <mergeCell ref="J214:J216"/>
    <mergeCell ref="I217:I219"/>
    <mergeCell ref="J217:J219"/>
    <mergeCell ref="H211:H213"/>
    <mergeCell ref="B208:B210"/>
    <mergeCell ref="C208:C210"/>
    <mergeCell ref="D208:D210"/>
    <mergeCell ref="E208:E210"/>
    <mergeCell ref="H208:H210"/>
    <mergeCell ref="B211:B213"/>
    <mergeCell ref="C211:C213"/>
    <mergeCell ref="D211:D213"/>
    <mergeCell ref="E211:E213"/>
    <mergeCell ref="I208:I210"/>
    <mergeCell ref="J208:J210"/>
    <mergeCell ref="I211:I213"/>
    <mergeCell ref="J211:J213"/>
    <mergeCell ref="H205:H207"/>
    <mergeCell ref="B202:B204"/>
    <mergeCell ref="C202:C204"/>
    <mergeCell ref="D202:D204"/>
    <mergeCell ref="E202:E204"/>
    <mergeCell ref="H202:H204"/>
    <mergeCell ref="B205:B207"/>
    <mergeCell ref="C205:C207"/>
    <mergeCell ref="D205:D207"/>
    <mergeCell ref="E205:E207"/>
    <mergeCell ref="I202:I204"/>
    <mergeCell ref="J202:J204"/>
    <mergeCell ref="I205:I207"/>
    <mergeCell ref="J205:J207"/>
    <mergeCell ref="H199:H201"/>
    <mergeCell ref="B196:B198"/>
    <mergeCell ref="C196:C198"/>
    <mergeCell ref="D196:D198"/>
    <mergeCell ref="E196:E198"/>
    <mergeCell ref="H196:H198"/>
    <mergeCell ref="B199:B201"/>
    <mergeCell ref="C199:C201"/>
    <mergeCell ref="D199:D201"/>
    <mergeCell ref="E199:E201"/>
    <mergeCell ref="I196:I198"/>
    <mergeCell ref="J196:J198"/>
    <mergeCell ref="I199:I201"/>
    <mergeCell ref="J199:J201"/>
    <mergeCell ref="H193:H195"/>
    <mergeCell ref="B190:B192"/>
    <mergeCell ref="C190:C192"/>
    <mergeCell ref="D190:D192"/>
    <mergeCell ref="E190:E192"/>
    <mergeCell ref="H190:H192"/>
    <mergeCell ref="B193:B195"/>
    <mergeCell ref="C193:C195"/>
    <mergeCell ref="D193:D195"/>
    <mergeCell ref="E193:E195"/>
    <mergeCell ref="I190:I192"/>
    <mergeCell ref="J190:J192"/>
    <mergeCell ref="I193:I195"/>
    <mergeCell ref="J193:J195"/>
    <mergeCell ref="H187:H189"/>
    <mergeCell ref="B184:B186"/>
    <mergeCell ref="C184:C186"/>
    <mergeCell ref="D184:D186"/>
    <mergeCell ref="E184:E186"/>
    <mergeCell ref="H184:H186"/>
    <mergeCell ref="B187:B189"/>
    <mergeCell ref="C187:C189"/>
    <mergeCell ref="D187:D189"/>
    <mergeCell ref="E187:E189"/>
    <mergeCell ref="I184:I186"/>
    <mergeCell ref="J184:J186"/>
    <mergeCell ref="I187:I189"/>
    <mergeCell ref="J187:J189"/>
    <mergeCell ref="H181:H183"/>
    <mergeCell ref="B178:B180"/>
    <mergeCell ref="C178:C180"/>
    <mergeCell ref="D178:D180"/>
    <mergeCell ref="E178:E180"/>
    <mergeCell ref="H178:H180"/>
    <mergeCell ref="B181:B183"/>
    <mergeCell ref="C181:C183"/>
    <mergeCell ref="D181:D183"/>
    <mergeCell ref="E181:E183"/>
    <mergeCell ref="I178:I180"/>
    <mergeCell ref="J178:J180"/>
    <mergeCell ref="I181:I183"/>
    <mergeCell ref="J181:J183"/>
    <mergeCell ref="H175:H177"/>
    <mergeCell ref="B172:B174"/>
    <mergeCell ref="C172:C174"/>
    <mergeCell ref="D172:D174"/>
    <mergeCell ref="E172:E174"/>
    <mergeCell ref="H172:H174"/>
    <mergeCell ref="B175:B177"/>
    <mergeCell ref="C175:C177"/>
    <mergeCell ref="D175:D177"/>
    <mergeCell ref="E175:E177"/>
    <mergeCell ref="I172:I174"/>
    <mergeCell ref="J172:J174"/>
    <mergeCell ref="I175:I177"/>
    <mergeCell ref="J175:J177"/>
    <mergeCell ref="H169:H171"/>
    <mergeCell ref="B166:B168"/>
    <mergeCell ref="C166:C168"/>
    <mergeCell ref="D166:D168"/>
    <mergeCell ref="E166:E168"/>
    <mergeCell ref="H166:H168"/>
    <mergeCell ref="B169:B171"/>
    <mergeCell ref="C169:C171"/>
    <mergeCell ref="D169:D171"/>
    <mergeCell ref="E169:E171"/>
    <mergeCell ref="I166:I168"/>
    <mergeCell ref="J166:J168"/>
    <mergeCell ref="I169:I171"/>
    <mergeCell ref="J169:J171"/>
    <mergeCell ref="H163:H165"/>
    <mergeCell ref="B160:B162"/>
    <mergeCell ref="C160:C162"/>
    <mergeCell ref="D160:D162"/>
    <mergeCell ref="E160:E162"/>
    <mergeCell ref="H160:H162"/>
    <mergeCell ref="B163:B165"/>
    <mergeCell ref="C163:C165"/>
    <mergeCell ref="D163:D165"/>
    <mergeCell ref="E163:E165"/>
    <mergeCell ref="I160:I162"/>
    <mergeCell ref="J160:J162"/>
    <mergeCell ref="I163:I165"/>
    <mergeCell ref="J163:J165"/>
    <mergeCell ref="H157:H159"/>
    <mergeCell ref="B154:B156"/>
    <mergeCell ref="C154:C156"/>
    <mergeCell ref="D154:D156"/>
    <mergeCell ref="E154:E156"/>
    <mergeCell ref="H154:H156"/>
    <mergeCell ref="B157:B159"/>
    <mergeCell ref="C157:C159"/>
    <mergeCell ref="D157:D159"/>
    <mergeCell ref="E157:E159"/>
    <mergeCell ref="I154:I156"/>
    <mergeCell ref="J154:J156"/>
    <mergeCell ref="I157:I159"/>
    <mergeCell ref="J157:J159"/>
    <mergeCell ref="H151:H153"/>
    <mergeCell ref="B148:B150"/>
    <mergeCell ref="C148:C150"/>
    <mergeCell ref="D148:D150"/>
    <mergeCell ref="E148:E150"/>
    <mergeCell ref="H148:H150"/>
    <mergeCell ref="B151:B153"/>
    <mergeCell ref="C151:C153"/>
    <mergeCell ref="D151:D153"/>
    <mergeCell ref="E151:E153"/>
    <mergeCell ref="I148:I150"/>
    <mergeCell ref="J148:J150"/>
    <mergeCell ref="I151:I153"/>
    <mergeCell ref="J151:J153"/>
    <mergeCell ref="H145:H147"/>
    <mergeCell ref="B142:B144"/>
    <mergeCell ref="C142:C144"/>
    <mergeCell ref="D142:D144"/>
    <mergeCell ref="E142:E144"/>
    <mergeCell ref="H142:H144"/>
    <mergeCell ref="B145:B147"/>
    <mergeCell ref="C145:C147"/>
    <mergeCell ref="D145:D147"/>
    <mergeCell ref="E145:E147"/>
    <mergeCell ref="I142:I144"/>
    <mergeCell ref="J142:J144"/>
    <mergeCell ref="I145:I147"/>
    <mergeCell ref="J145:J147"/>
    <mergeCell ref="H139:H141"/>
    <mergeCell ref="B136:B138"/>
    <mergeCell ref="C136:C138"/>
    <mergeCell ref="D136:D138"/>
    <mergeCell ref="E136:E138"/>
    <mergeCell ref="H136:H138"/>
    <mergeCell ref="B139:B141"/>
    <mergeCell ref="C139:C141"/>
    <mergeCell ref="D139:D141"/>
    <mergeCell ref="E139:E141"/>
    <mergeCell ref="I136:I138"/>
    <mergeCell ref="J136:J138"/>
    <mergeCell ref="I139:I141"/>
    <mergeCell ref="J139:J141"/>
    <mergeCell ref="H133:H135"/>
    <mergeCell ref="B130:B132"/>
    <mergeCell ref="C130:C132"/>
    <mergeCell ref="D130:D132"/>
    <mergeCell ref="E130:E132"/>
    <mergeCell ref="H130:H132"/>
    <mergeCell ref="B133:B135"/>
    <mergeCell ref="C133:C135"/>
    <mergeCell ref="D133:D135"/>
    <mergeCell ref="E133:E135"/>
    <mergeCell ref="I130:I132"/>
    <mergeCell ref="J130:J132"/>
    <mergeCell ref="I133:I135"/>
    <mergeCell ref="J133:J135"/>
    <mergeCell ref="H127:H129"/>
    <mergeCell ref="B124:B126"/>
    <mergeCell ref="C124:C126"/>
    <mergeCell ref="D124:D126"/>
    <mergeCell ref="E124:E126"/>
    <mergeCell ref="H124:H126"/>
    <mergeCell ref="B127:B129"/>
    <mergeCell ref="C127:C129"/>
    <mergeCell ref="D127:D129"/>
    <mergeCell ref="E127:E129"/>
    <mergeCell ref="I124:I126"/>
    <mergeCell ref="J124:J126"/>
    <mergeCell ref="I127:I129"/>
    <mergeCell ref="J127:J129"/>
    <mergeCell ref="H121:H123"/>
    <mergeCell ref="B118:B120"/>
    <mergeCell ref="C118:C120"/>
    <mergeCell ref="D118:D120"/>
    <mergeCell ref="E118:E120"/>
    <mergeCell ref="H118:H120"/>
    <mergeCell ref="B121:B123"/>
    <mergeCell ref="C121:C123"/>
    <mergeCell ref="D121:D123"/>
    <mergeCell ref="E121:E123"/>
    <mergeCell ref="I118:I120"/>
    <mergeCell ref="J118:J120"/>
    <mergeCell ref="I121:I123"/>
    <mergeCell ref="J121:J123"/>
    <mergeCell ref="H115:H117"/>
    <mergeCell ref="B112:B114"/>
    <mergeCell ref="C112:C114"/>
    <mergeCell ref="D112:D114"/>
    <mergeCell ref="E112:E114"/>
    <mergeCell ref="H112:H114"/>
    <mergeCell ref="B115:B117"/>
    <mergeCell ref="C115:C117"/>
    <mergeCell ref="D115:D117"/>
    <mergeCell ref="E115:E117"/>
    <mergeCell ref="I112:I114"/>
    <mergeCell ref="J112:J114"/>
    <mergeCell ref="I115:I117"/>
    <mergeCell ref="J115:J117"/>
    <mergeCell ref="H109:H111"/>
    <mergeCell ref="B106:B108"/>
    <mergeCell ref="C106:C108"/>
    <mergeCell ref="D106:D108"/>
    <mergeCell ref="E106:E108"/>
    <mergeCell ref="H106:H108"/>
    <mergeCell ref="B109:B111"/>
    <mergeCell ref="C109:C111"/>
    <mergeCell ref="D109:D111"/>
    <mergeCell ref="E109:E111"/>
    <mergeCell ref="I106:I108"/>
    <mergeCell ref="J106:J108"/>
    <mergeCell ref="I109:I111"/>
    <mergeCell ref="J109:J111"/>
    <mergeCell ref="H103:H105"/>
    <mergeCell ref="B100:B102"/>
    <mergeCell ref="C100:C102"/>
    <mergeCell ref="D100:D102"/>
    <mergeCell ref="E100:E102"/>
    <mergeCell ref="H100:H102"/>
    <mergeCell ref="B103:B105"/>
    <mergeCell ref="C103:C105"/>
    <mergeCell ref="D103:D105"/>
    <mergeCell ref="E103:E105"/>
    <mergeCell ref="I100:I102"/>
    <mergeCell ref="J100:J102"/>
    <mergeCell ref="I103:I105"/>
    <mergeCell ref="J103:J105"/>
    <mergeCell ref="H97:H99"/>
    <mergeCell ref="B94:B96"/>
    <mergeCell ref="C94:C96"/>
    <mergeCell ref="D94:D96"/>
    <mergeCell ref="E94:E96"/>
    <mergeCell ref="H94:H96"/>
    <mergeCell ref="B97:B99"/>
    <mergeCell ref="C97:C99"/>
    <mergeCell ref="D97:D99"/>
    <mergeCell ref="E97:E99"/>
    <mergeCell ref="I94:I96"/>
    <mergeCell ref="J94:J96"/>
    <mergeCell ref="I97:I99"/>
    <mergeCell ref="J97:J99"/>
    <mergeCell ref="H91:H93"/>
    <mergeCell ref="B88:B90"/>
    <mergeCell ref="C88:C90"/>
    <mergeCell ref="D88:D90"/>
    <mergeCell ref="E88:E90"/>
    <mergeCell ref="H88:H90"/>
    <mergeCell ref="B91:B93"/>
    <mergeCell ref="C91:C93"/>
    <mergeCell ref="D91:D93"/>
    <mergeCell ref="E91:E93"/>
    <mergeCell ref="I88:I90"/>
    <mergeCell ref="J88:J90"/>
    <mergeCell ref="I91:I93"/>
    <mergeCell ref="J91:J93"/>
    <mergeCell ref="H85:H87"/>
    <mergeCell ref="I79:I81"/>
    <mergeCell ref="I85:I87"/>
    <mergeCell ref="H79:H81"/>
    <mergeCell ref="J79:J81"/>
    <mergeCell ref="J85:J87"/>
    <mergeCell ref="B85:B87"/>
    <mergeCell ref="C85:C87"/>
    <mergeCell ref="D85:D87"/>
    <mergeCell ref="E85:E87"/>
    <mergeCell ref="I82:I84"/>
    <mergeCell ref="J82:J84"/>
    <mergeCell ref="H82:H84"/>
    <mergeCell ref="J67:J69"/>
    <mergeCell ref="J76:J78"/>
    <mergeCell ref="H70:H72"/>
    <mergeCell ref="B76:B78"/>
    <mergeCell ref="B82:B84"/>
    <mergeCell ref="C82:C84"/>
    <mergeCell ref="D82:D84"/>
    <mergeCell ref="E82:E84"/>
    <mergeCell ref="B79:B81"/>
    <mergeCell ref="I76:I78"/>
    <mergeCell ref="J70:J72"/>
    <mergeCell ref="J73:J75"/>
    <mergeCell ref="D73:D75"/>
    <mergeCell ref="E73:E75"/>
    <mergeCell ref="D76:D78"/>
    <mergeCell ref="E76:E78"/>
    <mergeCell ref="H76:H78"/>
    <mergeCell ref="I73:I75"/>
    <mergeCell ref="I70:I72"/>
    <mergeCell ref="B55:B57"/>
    <mergeCell ref="I58:I60"/>
    <mergeCell ref="C79:C81"/>
    <mergeCell ref="D79:D81"/>
    <mergeCell ref="C76:C78"/>
    <mergeCell ref="E79:E81"/>
    <mergeCell ref="C58:C60"/>
    <mergeCell ref="C55:C57"/>
    <mergeCell ref="B49:B51"/>
    <mergeCell ref="C49:C51"/>
    <mergeCell ref="B73:B75"/>
    <mergeCell ref="C73:C75"/>
    <mergeCell ref="B70:B72"/>
    <mergeCell ref="C70:C72"/>
    <mergeCell ref="D70:D72"/>
    <mergeCell ref="E70:E72"/>
    <mergeCell ref="H73:H75"/>
    <mergeCell ref="B46:B48"/>
    <mergeCell ref="C46:C48"/>
    <mergeCell ref="B52:B54"/>
    <mergeCell ref="C52:C54"/>
    <mergeCell ref="B58:B60"/>
    <mergeCell ref="D55:D57"/>
    <mergeCell ref="E46:E48"/>
    <mergeCell ref="I67:I69"/>
    <mergeCell ref="I46:I48"/>
    <mergeCell ref="H67:H69"/>
    <mergeCell ref="B61:B63"/>
    <mergeCell ref="C61:C63"/>
    <mergeCell ref="H61:H63"/>
    <mergeCell ref="D61:D63"/>
    <mergeCell ref="E61:E63"/>
    <mergeCell ref="B64:B66"/>
    <mergeCell ref="C64:C66"/>
    <mergeCell ref="B67:B69"/>
    <mergeCell ref="C67:C69"/>
    <mergeCell ref="D67:D69"/>
    <mergeCell ref="E67:E69"/>
    <mergeCell ref="D52:D54"/>
    <mergeCell ref="E52:E54"/>
    <mergeCell ref="H52:H54"/>
    <mergeCell ref="H46:H48"/>
    <mergeCell ref="H49:H51"/>
    <mergeCell ref="D49:D51"/>
    <mergeCell ref="D64:D66"/>
    <mergeCell ref="E64:E66"/>
    <mergeCell ref="I64:I66"/>
    <mergeCell ref="I61:I63"/>
    <mergeCell ref="I49:I51"/>
    <mergeCell ref="J52:J54"/>
    <mergeCell ref="I52:I54"/>
    <mergeCell ref="J55:J57"/>
    <mergeCell ref="J58:J60"/>
    <mergeCell ref="J49:J51"/>
    <mergeCell ref="H64:H66"/>
    <mergeCell ref="J46:J48"/>
    <mergeCell ref="H55:H57"/>
    <mergeCell ref="H58:H60"/>
    <mergeCell ref="J61:J63"/>
    <mergeCell ref="I55:I57"/>
    <mergeCell ref="J43:J45"/>
    <mergeCell ref="D58:D60"/>
    <mergeCell ref="E58:E60"/>
    <mergeCell ref="D46:D48"/>
    <mergeCell ref="E49:E51"/>
    <mergeCell ref="J64:J66"/>
    <mergeCell ref="I43:I45"/>
    <mergeCell ref="H43:H45"/>
    <mergeCell ref="E55:E57"/>
    <mergeCell ref="B19:B21"/>
    <mergeCell ref="C19:C21"/>
    <mergeCell ref="B43:B45"/>
    <mergeCell ref="C43:C45"/>
    <mergeCell ref="D43:D45"/>
    <mergeCell ref="H34:H36"/>
    <mergeCell ref="E43:E45"/>
    <mergeCell ref="H40:H42"/>
    <mergeCell ref="I40:I42"/>
    <mergeCell ref="I34:I36"/>
    <mergeCell ref="J37:J39"/>
    <mergeCell ref="C25:C27"/>
    <mergeCell ref="E25:E27"/>
    <mergeCell ref="J34:J36"/>
    <mergeCell ref="I37:I39"/>
    <mergeCell ref="J28:J30"/>
    <mergeCell ref="D28:D30"/>
    <mergeCell ref="E28:E30"/>
    <mergeCell ref="H28:H30"/>
    <mergeCell ref="I28:I30"/>
    <mergeCell ref="J31:J33"/>
    <mergeCell ref="J25:J27"/>
    <mergeCell ref="G37:G39"/>
    <mergeCell ref="H37:H39"/>
    <mergeCell ref="J40:J42"/>
    <mergeCell ref="B25:B27"/>
    <mergeCell ref="H31:H33"/>
    <mergeCell ref="C22:C24"/>
    <mergeCell ref="D22:D24"/>
    <mergeCell ref="E22:E24"/>
    <mergeCell ref="H22:H24"/>
    <mergeCell ref="I31:I33"/>
    <mergeCell ref="B37:B39"/>
    <mergeCell ref="C37:C39"/>
    <mergeCell ref="D37:D39"/>
    <mergeCell ref="E37:E39"/>
    <mergeCell ref="B34:B36"/>
    <mergeCell ref="C34:C36"/>
    <mergeCell ref="D34:D36"/>
    <mergeCell ref="E34:E36"/>
    <mergeCell ref="B40:B42"/>
    <mergeCell ref="C40:C42"/>
    <mergeCell ref="D40:D42"/>
    <mergeCell ref="E40:E42"/>
    <mergeCell ref="I22:I24"/>
    <mergeCell ref="B31:B33"/>
    <mergeCell ref="C31:C33"/>
    <mergeCell ref="D31:D33"/>
    <mergeCell ref="E31:E33"/>
    <mergeCell ref="B28:B30"/>
    <mergeCell ref="C28:C30"/>
    <mergeCell ref="B9:B11"/>
    <mergeCell ref="B13:B15"/>
    <mergeCell ref="C13:C15"/>
    <mergeCell ref="B16:B18"/>
    <mergeCell ref="C16:C18"/>
    <mergeCell ref="D16:D18"/>
    <mergeCell ref="E16:E18"/>
    <mergeCell ref="J22:J24"/>
    <mergeCell ref="I25:I27"/>
    <mergeCell ref="D25:D27"/>
    <mergeCell ref="H25:H27"/>
    <mergeCell ref="J9:J11"/>
    <mergeCell ref="F9:F11"/>
    <mergeCell ref="H9:H11"/>
    <mergeCell ref="G9:G11"/>
    <mergeCell ref="C9:C11"/>
    <mergeCell ref="D9:D11"/>
    <mergeCell ref="E9:E11"/>
    <mergeCell ref="J19:J21"/>
    <mergeCell ref="E13:E15"/>
    <mergeCell ref="J13:J15"/>
    <mergeCell ref="I13:I15"/>
    <mergeCell ref="H19:H21"/>
    <mergeCell ref="J16:J18"/>
    <mergeCell ref="I16:I18"/>
    <mergeCell ref="H16:H18"/>
    <mergeCell ref="D13:D15"/>
    <mergeCell ref="D19:D21"/>
    <mergeCell ref="E19:E21"/>
    <mergeCell ref="H13:H15"/>
    <mergeCell ref="B22:B24"/>
    <mergeCell ref="I19:I21"/>
  </mergeCells>
  <phoneticPr fontId="2" type="noConversion"/>
  <hyperlinks>
    <hyperlink ref="C1" location="Spis!B35" display="&gt;&gt; powrót do spisu treści" xr:uid="{00000000-0004-0000-0A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91"/>
  <sheetViews>
    <sheetView workbookViewId="0">
      <pane ySplit="5" topLeftCell="A6" activePane="bottomLeft" state="frozen"/>
      <selection pane="bottomLeft" activeCell="A2" sqref="A2"/>
    </sheetView>
  </sheetViews>
  <sheetFormatPr defaultRowHeight="15.75"/>
  <cols>
    <col min="1" max="1" width="3.77734375" customWidth="1"/>
    <col min="2" max="2" width="4.77734375" customWidth="1"/>
    <col min="3" max="3" width="66.77734375" customWidth="1"/>
    <col min="4" max="4" width="12.77734375" customWidth="1"/>
    <col min="5" max="7" width="15.77734375" customWidth="1"/>
    <col min="8" max="9" width="10.77734375" customWidth="1"/>
  </cols>
  <sheetData>
    <row r="1" spans="1:9">
      <c r="A1" s="685"/>
      <c r="B1" s="685"/>
      <c r="C1" s="927" t="str">
        <f>"&gt;&gt; powrót do spisu treści"</f>
        <v>&gt;&gt; powrót do spisu treści</v>
      </c>
      <c r="D1" s="685"/>
      <c r="E1" s="685"/>
      <c r="F1" s="685"/>
      <c r="G1" s="685"/>
      <c r="H1" s="685"/>
      <c r="I1" s="685"/>
    </row>
    <row r="2" spans="1:9" ht="18">
      <c r="A2" s="685"/>
      <c r="B2" s="1047" t="s">
        <v>367</v>
      </c>
      <c r="C2" s="1048"/>
      <c r="D2" s="1048"/>
      <c r="E2" s="1048"/>
      <c r="F2" s="1048"/>
      <c r="G2" s="1048"/>
      <c r="H2" s="1048"/>
      <c r="I2" s="1048"/>
    </row>
    <row r="3" spans="1:9" ht="30" customHeight="1">
      <c r="A3" s="685"/>
      <c r="B3" s="834" t="s">
        <v>13</v>
      </c>
      <c r="C3" s="1049" t="s">
        <v>368</v>
      </c>
      <c r="D3" s="1050"/>
      <c r="E3" s="1050"/>
      <c r="F3" s="1050"/>
      <c r="G3" s="1050"/>
      <c r="H3" s="1050"/>
      <c r="I3" s="1050"/>
    </row>
    <row r="4" spans="1:9" ht="30" customHeight="1">
      <c r="A4" s="685"/>
      <c r="B4" s="834" t="s">
        <v>27</v>
      </c>
      <c r="C4" s="1049" t="s">
        <v>369</v>
      </c>
      <c r="D4" s="1050"/>
      <c r="E4" s="1050"/>
      <c r="F4" s="1050"/>
      <c r="G4" s="1050"/>
      <c r="H4" s="1050"/>
      <c r="I4" s="1050"/>
    </row>
    <row r="5" spans="1:9" ht="30" customHeight="1">
      <c r="A5" s="685"/>
      <c r="B5" s="834" t="s">
        <v>28</v>
      </c>
      <c r="C5" s="1049" t="s">
        <v>264</v>
      </c>
      <c r="D5" s="1050"/>
      <c r="E5" s="1050"/>
      <c r="F5" s="1050"/>
      <c r="G5" s="1050"/>
      <c r="H5" s="1050"/>
      <c r="I5" s="1050"/>
    </row>
    <row r="6" spans="1:9" ht="30" customHeight="1" thickBot="1">
      <c r="A6" s="685"/>
      <c r="B6" s="695" t="s">
        <v>370</v>
      </c>
      <c r="C6" s="685"/>
      <c r="D6" s="685"/>
      <c r="E6" s="685"/>
      <c r="F6" s="685"/>
      <c r="G6" s="685"/>
      <c r="H6" s="685"/>
      <c r="I6" s="685"/>
    </row>
    <row r="7" spans="1:9">
      <c r="A7" s="685"/>
      <c r="B7" s="1035" t="str">
        <f>'Tab.G1.1-4'!$B$8</f>
        <v>LP</v>
      </c>
      <c r="C7" s="1037" t="str">
        <f>'Tab.G1.1-4'!$C$8</f>
        <v>Wyszczególnienie</v>
      </c>
      <c r="D7" s="1038"/>
      <c r="E7" s="627" t="str">
        <f>'Tab.G1.1-4'!$E$8</f>
        <v>Wykonanie</v>
      </c>
      <c r="F7" s="274"/>
      <c r="G7" s="274"/>
      <c r="H7" s="685"/>
      <c r="I7" s="685"/>
    </row>
    <row r="8" spans="1:9">
      <c r="A8" s="685"/>
      <c r="B8" s="1036"/>
      <c r="C8" s="1039"/>
      <c r="D8" s="1040"/>
      <c r="E8" s="628">
        <f>Rok_ZPR</f>
        <v>2023</v>
      </c>
      <c r="F8" s="274"/>
      <c r="G8" s="274"/>
      <c r="H8" s="685"/>
      <c r="I8" s="685"/>
    </row>
    <row r="9" spans="1:9" ht="16.5" thickBot="1">
      <c r="A9" s="685"/>
      <c r="B9" s="644" t="str">
        <f t="array" ref="B9:B65">Tab.G17!$B$10:$B$66</f>
        <v>01</v>
      </c>
      <c r="C9" s="1044" t="str">
        <f>Tab.G17!$B$11</f>
        <v>02</v>
      </c>
      <c r="D9" s="1034"/>
      <c r="E9" s="645" t="str">
        <f>Tab.G17!$B$12</f>
        <v>03</v>
      </c>
      <c r="F9" s="274"/>
      <c r="G9" s="274"/>
      <c r="H9" s="685"/>
      <c r="I9" s="685"/>
    </row>
    <row r="10" spans="1:9" ht="16.5" thickBot="1">
      <c r="A10" s="685"/>
      <c r="B10" s="641" t="str">
        <v>02</v>
      </c>
      <c r="C10" s="706" t="s">
        <v>112</v>
      </c>
      <c r="D10" s="707" t="str">
        <f>'Tab.G1.1-4'!$D$11</f>
        <v>[tys. zł]</v>
      </c>
      <c r="E10" s="708">
        <f>SUM(E11,E22,E33)</f>
        <v>0</v>
      </c>
      <c r="F10" s="274"/>
      <c r="G10" s="274"/>
      <c r="H10" s="685"/>
      <c r="I10" s="685"/>
    </row>
    <row r="11" spans="1:9" ht="16.5" thickBot="1">
      <c r="A11" s="685"/>
      <c r="B11" s="633" t="str">
        <v>03</v>
      </c>
      <c r="C11" s="3" t="s">
        <v>120</v>
      </c>
      <c r="D11" s="4" t="str">
        <f>'Tab.G1.1-4'!$D$11</f>
        <v>[tys. zł]</v>
      </c>
      <c r="E11" s="147">
        <f>SUM(E12,E17)</f>
        <v>0</v>
      </c>
      <c r="F11" s="274"/>
      <c r="G11" s="274"/>
      <c r="H11" s="685"/>
      <c r="I11" s="685"/>
    </row>
    <row r="12" spans="1:9">
      <c r="A12" s="685"/>
      <c r="B12" s="634" t="str">
        <v>04</v>
      </c>
      <c r="C12" s="258" t="s">
        <v>72</v>
      </c>
      <c r="D12" s="5" t="str">
        <f>'Tab.G1.1-4'!$D$11</f>
        <v>[tys. zł]</v>
      </c>
      <c r="E12" s="148">
        <f>SUM(E13:E16)</f>
        <v>0</v>
      </c>
      <c r="F12" s="274"/>
      <c r="G12" s="274"/>
      <c r="H12" s="685"/>
      <c r="I12" s="685"/>
    </row>
    <row r="13" spans="1:9">
      <c r="A13" s="685"/>
      <c r="B13" s="635" t="str">
        <v>05</v>
      </c>
      <c r="C13" s="260" t="s">
        <v>73</v>
      </c>
      <c r="D13" s="6" t="str">
        <f>'Tab.G1.1-4'!$D$11</f>
        <v>[tys. zł]</v>
      </c>
      <c r="E13" s="149"/>
      <c r="F13" s="274"/>
      <c r="G13" s="274"/>
      <c r="H13" s="685"/>
      <c r="I13" s="685"/>
    </row>
    <row r="14" spans="1:9">
      <c r="A14" s="685"/>
      <c r="B14" s="636" t="str">
        <v>06</v>
      </c>
      <c r="C14" s="261" t="s">
        <v>74</v>
      </c>
      <c r="D14" s="7" t="str">
        <f>'Tab.G1.1-4'!$D$11</f>
        <v>[tys. zł]</v>
      </c>
      <c r="E14" s="150"/>
      <c r="F14" s="274"/>
      <c r="G14" s="274"/>
      <c r="H14" s="685"/>
      <c r="I14" s="685"/>
    </row>
    <row r="15" spans="1:9">
      <c r="A15" s="685"/>
      <c r="B15" s="636" t="str">
        <v>07</v>
      </c>
      <c r="C15" s="261" t="s">
        <v>75</v>
      </c>
      <c r="D15" s="7" t="str">
        <f>'Tab.G1.1-4'!$D$11</f>
        <v>[tys. zł]</v>
      </c>
      <c r="E15" s="150"/>
      <c r="F15" s="274"/>
      <c r="G15" s="274"/>
      <c r="H15" s="685"/>
      <c r="I15" s="685"/>
    </row>
    <row r="16" spans="1:9">
      <c r="A16" s="685"/>
      <c r="B16" s="637" t="str">
        <v>08</v>
      </c>
      <c r="C16" s="264" t="s">
        <v>76</v>
      </c>
      <c r="D16" s="8" t="str">
        <f>'Tab.G1.1-4'!$D$11</f>
        <v>[tys. zł]</v>
      </c>
      <c r="E16" s="151"/>
      <c r="F16" s="274"/>
      <c r="G16" s="274"/>
      <c r="H16" s="685"/>
      <c r="I16" s="685"/>
    </row>
    <row r="17" spans="1:9">
      <c r="A17" s="685"/>
      <c r="B17" s="638" t="str">
        <v>09</v>
      </c>
      <c r="C17" s="259" t="s">
        <v>77</v>
      </c>
      <c r="D17" s="9" t="str">
        <f>'Tab.G1.1-4'!$D$11</f>
        <v>[tys. zł]</v>
      </c>
      <c r="E17" s="152">
        <f>SUM(E18:E21)</f>
        <v>0</v>
      </c>
      <c r="F17" s="274"/>
      <c r="G17" s="274"/>
      <c r="H17" s="685"/>
      <c r="I17" s="685"/>
    </row>
    <row r="18" spans="1:9">
      <c r="A18" s="685"/>
      <c r="B18" s="635" t="str">
        <v>10</v>
      </c>
      <c r="C18" s="260" t="s">
        <v>73</v>
      </c>
      <c r="D18" s="6" t="str">
        <f>'Tab.G1.1-4'!$D$11</f>
        <v>[tys. zł]</v>
      </c>
      <c r="E18" s="149"/>
      <c r="F18" s="274"/>
      <c r="G18" s="274"/>
      <c r="H18" s="685"/>
      <c r="I18" s="685"/>
    </row>
    <row r="19" spans="1:9">
      <c r="A19" s="685"/>
      <c r="B19" s="636" t="str">
        <v>11</v>
      </c>
      <c r="C19" s="261" t="s">
        <v>74</v>
      </c>
      <c r="D19" s="7" t="str">
        <f>'Tab.G1.1-4'!$D$11</f>
        <v>[tys. zł]</v>
      </c>
      <c r="E19" s="150"/>
      <c r="F19" s="274"/>
      <c r="G19" s="274"/>
      <c r="H19" s="685"/>
      <c r="I19" s="685"/>
    </row>
    <row r="20" spans="1:9">
      <c r="A20" s="685"/>
      <c r="B20" s="636" t="str">
        <v>12</v>
      </c>
      <c r="C20" s="261" t="s">
        <v>75</v>
      </c>
      <c r="D20" s="7" t="str">
        <f>'Tab.G1.1-4'!$D$11</f>
        <v>[tys. zł]</v>
      </c>
      <c r="E20" s="150"/>
      <c r="F20" s="274"/>
      <c r="G20" s="274"/>
      <c r="H20" s="685"/>
      <c r="I20" s="685"/>
    </row>
    <row r="21" spans="1:9" ht="16.5" thickBot="1">
      <c r="A21" s="685"/>
      <c r="B21" s="639" t="str">
        <v>13</v>
      </c>
      <c r="C21" s="265" t="s">
        <v>76</v>
      </c>
      <c r="D21" s="10" t="str">
        <f>'Tab.G1.1-4'!$D$11</f>
        <v>[tys. zł]</v>
      </c>
      <c r="E21" s="153"/>
      <c r="F21" s="274"/>
      <c r="G21" s="274"/>
      <c r="H21" s="685"/>
      <c r="I21" s="685"/>
    </row>
    <row r="22" spans="1:9" ht="16.5" thickBot="1">
      <c r="A22" s="685"/>
      <c r="B22" s="633" t="str">
        <v>14</v>
      </c>
      <c r="C22" s="11" t="s">
        <v>121</v>
      </c>
      <c r="D22" s="4" t="str">
        <f>'Tab.G1.1-4'!$D$11</f>
        <v>[tys. zł]</v>
      </c>
      <c r="E22" s="147">
        <f>SUM(E23,E28)</f>
        <v>0</v>
      </c>
      <c r="F22" s="274"/>
      <c r="G22" s="274"/>
      <c r="H22" s="685"/>
      <c r="I22" s="685"/>
    </row>
    <row r="23" spans="1:9">
      <c r="A23" s="685"/>
      <c r="B23" s="634" t="str">
        <v>15</v>
      </c>
      <c r="C23" s="258" t="s">
        <v>72</v>
      </c>
      <c r="D23" s="5" t="str">
        <f>'Tab.G1.1-4'!$D$11</f>
        <v>[tys. zł]</v>
      </c>
      <c r="E23" s="148">
        <f>SUM(E24:E27)</f>
        <v>0</v>
      </c>
      <c r="F23" s="274"/>
      <c r="G23" s="274"/>
      <c r="H23" s="685"/>
      <c r="I23" s="685"/>
    </row>
    <row r="24" spans="1:9">
      <c r="A24" s="685"/>
      <c r="B24" s="635" t="str">
        <v>16</v>
      </c>
      <c r="C24" s="260" t="s">
        <v>78</v>
      </c>
      <c r="D24" s="6" t="str">
        <f>'Tab.G1.1-4'!$D$11</f>
        <v>[tys. zł]</v>
      </c>
      <c r="E24" s="149"/>
      <c r="F24" s="274"/>
      <c r="G24" s="274"/>
      <c r="H24" s="685"/>
      <c r="I24" s="685"/>
    </row>
    <row r="25" spans="1:9">
      <c r="A25" s="685"/>
      <c r="B25" s="636" t="str">
        <v>17</v>
      </c>
      <c r="C25" s="261" t="s">
        <v>75</v>
      </c>
      <c r="D25" s="7" t="str">
        <f>'Tab.G1.1-4'!$D$11</f>
        <v>[tys. zł]</v>
      </c>
      <c r="E25" s="150"/>
      <c r="F25" s="274"/>
      <c r="G25" s="274"/>
      <c r="H25" s="685"/>
      <c r="I25" s="685"/>
    </row>
    <row r="26" spans="1:9">
      <c r="A26" s="685"/>
      <c r="B26" s="636" t="str">
        <v>18</v>
      </c>
      <c r="C26" s="262" t="s">
        <v>79</v>
      </c>
      <c r="D26" s="7" t="str">
        <f>'Tab.G1.1-4'!$D$11</f>
        <v>[tys. zł]</v>
      </c>
      <c r="E26" s="150"/>
      <c r="F26" s="274"/>
      <c r="G26" s="274"/>
      <c r="H26" s="685"/>
      <c r="I26" s="685"/>
    </row>
    <row r="27" spans="1:9">
      <c r="A27" s="685"/>
      <c r="B27" s="637" t="str">
        <v>19</v>
      </c>
      <c r="C27" s="264" t="s">
        <v>80</v>
      </c>
      <c r="D27" s="8" t="str">
        <f>'Tab.G1.1-4'!$D$11</f>
        <v>[tys. zł]</v>
      </c>
      <c r="E27" s="151"/>
      <c r="F27" s="274"/>
      <c r="G27" s="274"/>
      <c r="H27" s="685"/>
      <c r="I27" s="685"/>
    </row>
    <row r="28" spans="1:9">
      <c r="A28" s="685"/>
      <c r="B28" s="638" t="str">
        <v>20</v>
      </c>
      <c r="C28" s="259" t="s">
        <v>77</v>
      </c>
      <c r="D28" s="9" t="str">
        <f>'Tab.G1.1-4'!$D$11</f>
        <v>[tys. zł]</v>
      </c>
      <c r="E28" s="152">
        <f>SUM(E29:E32)</f>
        <v>0</v>
      </c>
      <c r="F28" s="274"/>
      <c r="G28" s="274"/>
      <c r="H28" s="685"/>
      <c r="I28" s="685"/>
    </row>
    <row r="29" spans="1:9">
      <c r="A29" s="685"/>
      <c r="B29" s="635" t="str">
        <v>21</v>
      </c>
      <c r="C29" s="260" t="s">
        <v>78</v>
      </c>
      <c r="D29" s="6" t="str">
        <f>'Tab.G1.1-4'!$D$11</f>
        <v>[tys. zł]</v>
      </c>
      <c r="E29" s="149"/>
      <c r="F29" s="274"/>
      <c r="G29" s="274"/>
      <c r="H29" s="685"/>
      <c r="I29" s="685"/>
    </row>
    <row r="30" spans="1:9">
      <c r="A30" s="685"/>
      <c r="B30" s="636" t="str">
        <v>22</v>
      </c>
      <c r="C30" s="261" t="s">
        <v>75</v>
      </c>
      <c r="D30" s="7" t="str">
        <f>'Tab.G1.1-4'!$D$11</f>
        <v>[tys. zł]</v>
      </c>
      <c r="E30" s="150"/>
      <c r="F30" s="274"/>
      <c r="G30" s="274"/>
      <c r="H30" s="685"/>
      <c r="I30" s="685"/>
    </row>
    <row r="31" spans="1:9">
      <c r="A31" s="685"/>
      <c r="B31" s="636" t="str">
        <v>23</v>
      </c>
      <c r="C31" s="262" t="s">
        <v>79</v>
      </c>
      <c r="D31" s="7" t="str">
        <f>'Tab.G1.1-4'!$D$11</f>
        <v>[tys. zł]</v>
      </c>
      <c r="E31" s="150"/>
      <c r="F31" s="274"/>
      <c r="G31" s="274"/>
      <c r="H31" s="685"/>
      <c r="I31" s="685"/>
    </row>
    <row r="32" spans="1:9" ht="16.5" thickBot="1">
      <c r="A32" s="685"/>
      <c r="B32" s="639" t="str">
        <v>24</v>
      </c>
      <c r="C32" s="265" t="s">
        <v>80</v>
      </c>
      <c r="D32" s="10" t="str">
        <f>'Tab.G1.1-4'!$D$11</f>
        <v>[tys. zł]</v>
      </c>
      <c r="E32" s="153"/>
      <c r="F32" s="274"/>
      <c r="G32" s="274"/>
      <c r="H32" s="685"/>
      <c r="I32" s="685"/>
    </row>
    <row r="33" spans="1:9" ht="16.5" thickBot="1">
      <c r="A33" s="685"/>
      <c r="B33" s="633" t="str">
        <v>25</v>
      </c>
      <c r="C33" s="11" t="s">
        <v>114</v>
      </c>
      <c r="D33" s="4" t="str">
        <f>'Tab.G1.1-4'!$D$11</f>
        <v>[tys. zł]</v>
      </c>
      <c r="E33" s="147">
        <f>SUM(E34,E39)</f>
        <v>0</v>
      </c>
      <c r="F33" s="274"/>
      <c r="G33" s="274"/>
      <c r="H33" s="685"/>
      <c r="I33" s="685"/>
    </row>
    <row r="34" spans="1:9">
      <c r="A34" s="685"/>
      <c r="B34" s="634" t="str">
        <v>26</v>
      </c>
      <c r="C34" s="258" t="s">
        <v>72</v>
      </c>
      <c r="D34" s="5" t="str">
        <f>'Tab.G1.1-4'!$D$11</f>
        <v>[tys. zł]</v>
      </c>
      <c r="E34" s="148">
        <f>SUM(E35:E38)</f>
        <v>0</v>
      </c>
      <c r="F34" s="274"/>
      <c r="G34" s="274"/>
      <c r="H34" s="685"/>
      <c r="I34" s="685"/>
    </row>
    <row r="35" spans="1:9">
      <c r="A35" s="685"/>
      <c r="B35" s="635" t="str">
        <v>27</v>
      </c>
      <c r="C35" s="260" t="s">
        <v>278</v>
      </c>
      <c r="D35" s="6" t="str">
        <f>'Tab.G1.1-4'!$D$11</f>
        <v>[tys. zł]</v>
      </c>
      <c r="E35" s="149"/>
      <c r="F35" s="274"/>
      <c r="G35" s="274"/>
      <c r="H35" s="685"/>
      <c r="I35" s="685"/>
    </row>
    <row r="36" spans="1:9">
      <c r="A36" s="685"/>
      <c r="B36" s="636" t="str">
        <v>28</v>
      </c>
      <c r="C36" s="262" t="s">
        <v>79</v>
      </c>
      <c r="D36" s="7" t="str">
        <f>'Tab.G1.1-4'!$D$11</f>
        <v>[tys. zł]</v>
      </c>
      <c r="E36" s="150"/>
      <c r="F36" s="274"/>
      <c r="G36" s="274"/>
      <c r="H36" s="685"/>
      <c r="I36" s="685"/>
    </row>
    <row r="37" spans="1:9">
      <c r="A37" s="685"/>
      <c r="B37" s="636" t="str">
        <v>29</v>
      </c>
      <c r="C37" s="262" t="s">
        <v>83</v>
      </c>
      <c r="D37" s="7" t="str">
        <f>'Tab.G1.1-4'!$D$11</f>
        <v>[tys. zł]</v>
      </c>
      <c r="E37" s="150"/>
      <c r="F37" s="274"/>
      <c r="G37" s="274"/>
      <c r="H37" s="685"/>
      <c r="I37" s="685"/>
    </row>
    <row r="38" spans="1:9">
      <c r="A38" s="685"/>
      <c r="B38" s="637" t="str">
        <v>30</v>
      </c>
      <c r="C38" s="269" t="s">
        <v>84</v>
      </c>
      <c r="D38" s="8" t="str">
        <f>'Tab.G1.1-4'!$D$11</f>
        <v>[tys. zł]</v>
      </c>
      <c r="E38" s="151"/>
      <c r="F38" s="274"/>
      <c r="G38" s="274"/>
      <c r="H38" s="685"/>
      <c r="I38" s="685"/>
    </row>
    <row r="39" spans="1:9">
      <c r="A39" s="685"/>
      <c r="B39" s="638" t="str">
        <v>31</v>
      </c>
      <c r="C39" s="259" t="s">
        <v>77</v>
      </c>
      <c r="D39" s="9" t="str">
        <f>'Tab.G1.1-4'!$D$11</f>
        <v>[tys. zł]</v>
      </c>
      <c r="E39" s="152">
        <f>SUM(E40:E43)</f>
        <v>0</v>
      </c>
      <c r="F39" s="274"/>
      <c r="G39" s="274"/>
      <c r="H39" s="685"/>
      <c r="I39" s="685"/>
    </row>
    <row r="40" spans="1:9">
      <c r="A40" s="685"/>
      <c r="B40" s="635" t="str">
        <v>32</v>
      </c>
      <c r="C40" s="260" t="s">
        <v>278</v>
      </c>
      <c r="D40" s="6" t="str">
        <f>'Tab.G1.1-4'!$D$11</f>
        <v>[tys. zł]</v>
      </c>
      <c r="E40" s="149"/>
      <c r="F40" s="274"/>
      <c r="G40" s="274"/>
      <c r="H40" s="685"/>
      <c r="I40" s="685"/>
    </row>
    <row r="41" spans="1:9">
      <c r="A41" s="685"/>
      <c r="B41" s="636" t="str">
        <v>33</v>
      </c>
      <c r="C41" s="262" t="s">
        <v>79</v>
      </c>
      <c r="D41" s="7" t="str">
        <f>'Tab.G1.1-4'!$D$11</f>
        <v>[tys. zł]</v>
      </c>
      <c r="E41" s="150"/>
      <c r="F41" s="274"/>
      <c r="G41" s="274"/>
      <c r="H41" s="685"/>
      <c r="I41" s="685"/>
    </row>
    <row r="42" spans="1:9">
      <c r="A42" s="685"/>
      <c r="B42" s="636" t="str">
        <v>34</v>
      </c>
      <c r="C42" s="262" t="s">
        <v>83</v>
      </c>
      <c r="D42" s="7" t="str">
        <f>'Tab.G1.1-4'!$D$11</f>
        <v>[tys. zł]</v>
      </c>
      <c r="E42" s="150"/>
      <c r="F42" s="274"/>
      <c r="G42" s="274"/>
      <c r="H42" s="685"/>
      <c r="I42" s="685"/>
    </row>
    <row r="43" spans="1:9" ht="16.5" thickBot="1">
      <c r="A43" s="685"/>
      <c r="B43" s="639" t="str">
        <v>35</v>
      </c>
      <c r="C43" s="828" t="s">
        <v>84</v>
      </c>
      <c r="D43" s="10" t="str">
        <f>'Tab.G1.1-4'!$D$11</f>
        <v>[tys. zł]</v>
      </c>
      <c r="E43" s="153"/>
      <c r="F43" s="274"/>
      <c r="G43" s="274"/>
      <c r="H43" s="685"/>
      <c r="I43" s="685"/>
    </row>
    <row r="44" spans="1:9" ht="16.5" thickBot="1">
      <c r="A44" s="685"/>
      <c r="B44" s="641" t="str">
        <v>36</v>
      </c>
      <c r="C44" s="1" t="s">
        <v>113</v>
      </c>
      <c r="D44" s="2" t="str">
        <f>'Tab.G1.1-4'!$D$11</f>
        <v>[tys. zł]</v>
      </c>
      <c r="E44" s="146">
        <f>SUM(E45,E49,E53,E57:E58)</f>
        <v>0</v>
      </c>
      <c r="F44" s="274"/>
      <c r="G44" s="274"/>
      <c r="H44" s="685"/>
      <c r="I44" s="685"/>
    </row>
    <row r="45" spans="1:9">
      <c r="A45" s="685"/>
      <c r="B45" s="634" t="str">
        <v>37</v>
      </c>
      <c r="C45" s="12" t="s">
        <v>115</v>
      </c>
      <c r="D45" s="5" t="str">
        <f>'Tab.G1.1-4'!$D$11</f>
        <v>[tys. zł]</v>
      </c>
      <c r="E45" s="148">
        <f>SUM(E46:E48)</f>
        <v>0</v>
      </c>
      <c r="F45" s="274"/>
      <c r="G45" s="274"/>
      <c r="H45" s="685"/>
      <c r="I45" s="685"/>
    </row>
    <row r="46" spans="1:9">
      <c r="A46" s="685"/>
      <c r="B46" s="635" t="str">
        <v>38</v>
      </c>
      <c r="C46" s="260" t="s">
        <v>85</v>
      </c>
      <c r="D46" s="6" t="str">
        <f>'Tab.G1.1-4'!$D$11</f>
        <v>[tys. zł]</v>
      </c>
      <c r="E46" s="149"/>
      <c r="F46" s="274"/>
      <c r="G46" s="274"/>
      <c r="H46" s="685"/>
      <c r="I46" s="685"/>
    </row>
    <row r="47" spans="1:9">
      <c r="A47" s="685"/>
      <c r="B47" s="636" t="str">
        <v>39</v>
      </c>
      <c r="C47" s="261" t="s">
        <v>86</v>
      </c>
      <c r="D47" s="7" t="str">
        <f>'Tab.G1.1-4'!$D$11</f>
        <v>[tys. zł]</v>
      </c>
      <c r="E47" s="150"/>
      <c r="F47" s="274"/>
      <c r="G47" s="274"/>
      <c r="H47" s="685"/>
      <c r="I47" s="685"/>
    </row>
    <row r="48" spans="1:9">
      <c r="A48" s="685"/>
      <c r="B48" s="637" t="str">
        <v>40</v>
      </c>
      <c r="C48" s="269" t="s">
        <v>87</v>
      </c>
      <c r="D48" s="8" t="str">
        <f>'Tab.G1.1-4'!$D$11</f>
        <v>[tys. zł]</v>
      </c>
      <c r="E48" s="151"/>
      <c r="F48" s="274"/>
      <c r="G48" s="274"/>
      <c r="H48" s="685"/>
      <c r="I48" s="685"/>
    </row>
    <row r="49" spans="1:9">
      <c r="A49" s="685"/>
      <c r="B49" s="638" t="str">
        <v>41</v>
      </c>
      <c r="C49" s="13" t="s">
        <v>116</v>
      </c>
      <c r="D49" s="9" t="str">
        <f>'Tab.G1.1-4'!$D$11</f>
        <v>[tys. zł]</v>
      </c>
      <c r="E49" s="152">
        <f>SUM(E50:E52)</f>
        <v>0</v>
      </c>
      <c r="F49" s="274"/>
      <c r="G49" s="274"/>
      <c r="H49" s="685"/>
      <c r="I49" s="685"/>
    </row>
    <row r="50" spans="1:9">
      <c r="A50" s="685"/>
      <c r="B50" s="635" t="str">
        <v>42</v>
      </c>
      <c r="C50" s="260" t="s">
        <v>88</v>
      </c>
      <c r="D50" s="6" t="str">
        <f>'Tab.G1.1-4'!$D$11</f>
        <v>[tys. zł]</v>
      </c>
      <c r="E50" s="149"/>
      <c r="F50" s="274"/>
      <c r="G50" s="274"/>
      <c r="H50" s="685"/>
      <c r="I50" s="685"/>
    </row>
    <row r="51" spans="1:9">
      <c r="A51" s="685"/>
      <c r="B51" s="636" t="str">
        <v>43</v>
      </c>
      <c r="C51" s="262" t="s">
        <v>89</v>
      </c>
      <c r="D51" s="7" t="str">
        <f>'Tab.G1.1-4'!$D$11</f>
        <v>[tys. zł]</v>
      </c>
      <c r="E51" s="150"/>
      <c r="F51" s="274"/>
      <c r="G51" s="274"/>
      <c r="H51" s="685"/>
      <c r="I51" s="685"/>
    </row>
    <row r="52" spans="1:9">
      <c r="A52" s="685"/>
      <c r="B52" s="637" t="str">
        <v>44</v>
      </c>
      <c r="C52" s="269" t="s">
        <v>90</v>
      </c>
      <c r="D52" s="8" t="str">
        <f>'Tab.G1.1-4'!$D$11</f>
        <v>[tys. zł]</v>
      </c>
      <c r="E52" s="151"/>
      <c r="F52" s="274"/>
      <c r="G52" s="274"/>
      <c r="H52" s="685"/>
      <c r="I52" s="685"/>
    </row>
    <row r="53" spans="1:9">
      <c r="A53" s="685"/>
      <c r="B53" s="638" t="str">
        <v>45</v>
      </c>
      <c r="C53" s="13" t="s">
        <v>117</v>
      </c>
      <c r="D53" s="9" t="str">
        <f>'Tab.G1.1-4'!$D$11</f>
        <v>[tys. zł]</v>
      </c>
      <c r="E53" s="152">
        <f>SUM(E54:E56)</f>
        <v>0</v>
      </c>
      <c r="F53" s="274"/>
      <c r="G53" s="274"/>
      <c r="H53" s="685"/>
      <c r="I53" s="685"/>
    </row>
    <row r="54" spans="1:9">
      <c r="A54" s="685"/>
      <c r="B54" s="635" t="str">
        <v>46</v>
      </c>
      <c r="C54" s="260" t="s">
        <v>88</v>
      </c>
      <c r="D54" s="6" t="str">
        <f>'Tab.G1.1-4'!$D$11</f>
        <v>[tys. zł]</v>
      </c>
      <c r="E54" s="149"/>
      <c r="F54" s="274"/>
      <c r="G54" s="274"/>
      <c r="H54" s="685"/>
      <c r="I54" s="685"/>
    </row>
    <row r="55" spans="1:9">
      <c r="A55" s="685"/>
      <c r="B55" s="636" t="str">
        <v>47</v>
      </c>
      <c r="C55" s="262" t="s">
        <v>89</v>
      </c>
      <c r="D55" s="7" t="str">
        <f>'Tab.G1.1-4'!$D$11</f>
        <v>[tys. zł]</v>
      </c>
      <c r="E55" s="150"/>
      <c r="F55" s="274"/>
      <c r="G55" s="274"/>
      <c r="H55" s="685"/>
      <c r="I55" s="685"/>
    </row>
    <row r="56" spans="1:9">
      <c r="A56" s="685"/>
      <c r="B56" s="637" t="str">
        <v>48</v>
      </c>
      <c r="C56" s="269" t="s">
        <v>90</v>
      </c>
      <c r="D56" s="8" t="str">
        <f>'Tab.G1.1-4'!$D$11</f>
        <v>[tys. zł]</v>
      </c>
      <c r="E56" s="151"/>
      <c r="F56" s="274"/>
      <c r="G56" s="274"/>
      <c r="H56" s="685"/>
      <c r="I56" s="685"/>
    </row>
    <row r="57" spans="1:9">
      <c r="A57" s="685"/>
      <c r="B57" s="642" t="str">
        <v>49</v>
      </c>
      <c r="C57" s="14" t="s">
        <v>118</v>
      </c>
      <c r="D57" s="15" t="str">
        <f>'Tab.G1.1-4'!$D$11</f>
        <v>[tys. zł]</v>
      </c>
      <c r="E57" s="152"/>
      <c r="F57" s="274"/>
      <c r="G57" s="274"/>
      <c r="H57" s="685"/>
      <c r="I57" s="685"/>
    </row>
    <row r="58" spans="1:9" ht="16.5" thickBot="1">
      <c r="A58" s="685"/>
      <c r="B58" s="643" t="str">
        <v>50</v>
      </c>
      <c r="C58" s="16" t="s">
        <v>119</v>
      </c>
      <c r="D58" s="17" t="str">
        <f>'Tab.G1.1-4'!$D$11</f>
        <v>[tys. zł]</v>
      </c>
      <c r="E58" s="154"/>
      <c r="F58" s="274"/>
      <c r="G58" s="274"/>
      <c r="H58" s="685"/>
      <c r="I58" s="685"/>
    </row>
    <row r="59" spans="1:9" ht="16.5" thickBot="1">
      <c r="A59" s="685"/>
      <c r="B59" s="641" t="str">
        <v>51</v>
      </c>
      <c r="C59" s="1" t="s">
        <v>126</v>
      </c>
      <c r="D59" s="2" t="str">
        <f>'Tab.G1.1-4'!$D$11</f>
        <v>[tys. zł]</v>
      </c>
      <c r="E59" s="146">
        <f>SUM(E60,E63:E65)</f>
        <v>0</v>
      </c>
      <c r="F59" s="685"/>
      <c r="G59" s="685"/>
      <c r="H59" s="685"/>
      <c r="I59" s="685"/>
    </row>
    <row r="60" spans="1:9">
      <c r="A60" s="685"/>
      <c r="B60" s="634" t="str">
        <v>52</v>
      </c>
      <c r="C60" s="12" t="s">
        <v>127</v>
      </c>
      <c r="D60" s="5" t="str">
        <f>'Tab.G1.1-4'!$D$11</f>
        <v>[tys. zł]</v>
      </c>
      <c r="E60" s="148">
        <f>SUM(E61:E62)</f>
        <v>0</v>
      </c>
      <c r="F60" s="685"/>
      <c r="G60" s="685"/>
      <c r="H60" s="685"/>
      <c r="I60" s="685"/>
    </row>
    <row r="61" spans="1:9">
      <c r="A61" s="685"/>
      <c r="B61" s="635" t="str">
        <v>53</v>
      </c>
      <c r="C61" s="263" t="s">
        <v>128</v>
      </c>
      <c r="D61" s="6" t="str">
        <f>'Tab.G1.1-4'!$D$11</f>
        <v>[tys. zł]</v>
      </c>
      <c r="E61" s="149"/>
      <c r="F61" s="685"/>
      <c r="G61" s="685"/>
      <c r="H61" s="685"/>
      <c r="I61" s="685"/>
    </row>
    <row r="62" spans="1:9">
      <c r="A62" s="685"/>
      <c r="B62" s="640" t="str">
        <v>54</v>
      </c>
      <c r="C62" s="266" t="s">
        <v>129</v>
      </c>
      <c r="D62" s="267" t="str">
        <f>'Tab.G1.1-4'!$D$11</f>
        <v>[tys. zł]</v>
      </c>
      <c r="E62" s="268"/>
      <c r="F62" s="685"/>
      <c r="G62" s="685"/>
      <c r="H62" s="685"/>
      <c r="I62" s="685"/>
    </row>
    <row r="63" spans="1:9">
      <c r="A63" s="685"/>
      <c r="B63" s="638" t="str">
        <v>55</v>
      </c>
      <c r="C63" s="13" t="s">
        <v>130</v>
      </c>
      <c r="D63" s="9" t="str">
        <f>'Tab.G1.1-4'!$D$11</f>
        <v>[tys. zł]</v>
      </c>
      <c r="E63" s="152"/>
      <c r="F63" s="685"/>
      <c r="G63" s="685"/>
      <c r="H63" s="685"/>
      <c r="I63" s="685"/>
    </row>
    <row r="64" spans="1:9">
      <c r="A64" s="685"/>
      <c r="B64" s="638" t="str">
        <v>56</v>
      </c>
      <c r="C64" s="13" t="s">
        <v>131</v>
      </c>
      <c r="D64" s="9" t="str">
        <f>'Tab.G1.1-4'!$D$11</f>
        <v>[tys. zł]</v>
      </c>
      <c r="E64" s="152"/>
      <c r="F64" s="685"/>
      <c r="G64" s="685"/>
      <c r="H64" s="685"/>
      <c r="I64" s="685"/>
    </row>
    <row r="65" spans="1:9" ht="16.5" thickBot="1">
      <c r="A65" s="685"/>
      <c r="B65" s="643" t="str">
        <v>57</v>
      </c>
      <c r="C65" s="16" t="s">
        <v>132</v>
      </c>
      <c r="D65" s="17" t="str">
        <f>'Tab.G1.1-4'!$D$11</f>
        <v>[tys. zł]</v>
      </c>
      <c r="E65" s="154"/>
      <c r="F65" s="685"/>
      <c r="G65" s="685"/>
      <c r="H65" s="685"/>
      <c r="I65" s="685"/>
    </row>
    <row r="66" spans="1:9">
      <c r="A66" s="685"/>
      <c r="B66" s="685"/>
      <c r="C66" s="685"/>
      <c r="D66" s="685"/>
      <c r="E66" s="685"/>
      <c r="F66" s="685"/>
      <c r="G66" s="685"/>
      <c r="H66" s="685"/>
      <c r="I66" s="685"/>
    </row>
    <row r="67" spans="1:9">
      <c r="A67" s="685"/>
      <c r="B67" s="685"/>
      <c r="C67" s="685"/>
      <c r="D67" s="685"/>
      <c r="E67" s="685"/>
      <c r="F67" s="685"/>
      <c r="G67" s="685"/>
      <c r="H67" s="685"/>
      <c r="I67" s="685"/>
    </row>
    <row r="68" spans="1:9" ht="30" customHeight="1" thickBot="1">
      <c r="A68" s="685"/>
      <c r="B68" s="695" t="s">
        <v>371</v>
      </c>
      <c r="C68" s="685"/>
      <c r="D68" s="685"/>
      <c r="E68" s="685"/>
      <c r="F68" s="685"/>
      <c r="G68" s="685"/>
      <c r="H68" s="685"/>
      <c r="I68" s="685"/>
    </row>
    <row r="69" spans="1:9">
      <c r="A69" s="685"/>
      <c r="B69" s="1035" t="str">
        <f>'Tab.G1.1-4'!$B$8</f>
        <v>LP</v>
      </c>
      <c r="C69" s="1037" t="str">
        <f>'Tab.G1.1-4'!$C$8</f>
        <v>Wyszczególnienie</v>
      </c>
      <c r="D69" s="1038"/>
      <c r="E69" s="627" t="str">
        <f>'Tab.G1.1-4'!$E$8</f>
        <v>Wykonanie</v>
      </c>
      <c r="F69" s="274"/>
      <c r="G69" s="274"/>
      <c r="H69" s="685"/>
      <c r="I69" s="685"/>
    </row>
    <row r="70" spans="1:9">
      <c r="A70" s="685"/>
      <c r="B70" s="1036"/>
      <c r="C70" s="1039"/>
      <c r="D70" s="1040"/>
      <c r="E70" s="628">
        <f>Rok_ZPR</f>
        <v>2023</v>
      </c>
      <c r="F70" s="274"/>
      <c r="G70" s="274"/>
      <c r="H70" s="685"/>
      <c r="I70" s="685"/>
    </row>
    <row r="71" spans="1:9" ht="16.5" thickBot="1">
      <c r="A71" s="685"/>
      <c r="B71" s="644" t="str">
        <f t="array" ref="B71:B127">Tab.G17!$B$10:$B$66</f>
        <v>01</v>
      </c>
      <c r="C71" s="1044" t="str">
        <f>Tab.G17!$B$11</f>
        <v>02</v>
      </c>
      <c r="D71" s="1034"/>
      <c r="E71" s="645" t="str">
        <f>Tab.G17!$B$12</f>
        <v>03</v>
      </c>
      <c r="F71" s="274"/>
      <c r="G71" s="274"/>
      <c r="H71" s="685"/>
      <c r="I71" s="685"/>
    </row>
    <row r="72" spans="1:9" ht="16.5" thickBot="1">
      <c r="A72" s="685"/>
      <c r="B72" s="641" t="str">
        <v>02</v>
      </c>
      <c r="C72" s="706" t="str">
        <f t="array" ref="C72:C127">$C$10:$C$65</f>
        <v>A. GAZOCIĄGI DYSTRYBUCYJNE, Z TEGO:</v>
      </c>
      <c r="D72" s="707" t="str">
        <f>"[km]"</f>
        <v>[km]</v>
      </c>
      <c r="E72" s="708">
        <f>SUM(E73,E84,E95)</f>
        <v>0</v>
      </c>
      <c r="F72" s="274"/>
      <c r="G72" s="274"/>
      <c r="H72" s="685"/>
      <c r="I72" s="685"/>
    </row>
    <row r="73" spans="1:9" ht="16.5" thickBot="1">
      <c r="A73" s="685"/>
      <c r="B73" s="633" t="str">
        <v>03</v>
      </c>
      <c r="C73" s="3" t="str">
        <v>A1. Gazociągi wysokiego i podyższonego średniego ciśnienia</v>
      </c>
      <c r="D73" s="4" t="str">
        <f t="shared" ref="D73:D105" si="0">$D$72</f>
        <v>[km]</v>
      </c>
      <c r="E73" s="147">
        <f>SUM(E74,E79)</f>
        <v>0</v>
      </c>
      <c r="F73" s="274"/>
      <c r="G73" s="274"/>
      <c r="H73" s="685"/>
      <c r="I73" s="685"/>
    </row>
    <row r="74" spans="1:9">
      <c r="A74" s="685"/>
      <c r="B74" s="634" t="str">
        <v>04</v>
      </c>
      <c r="C74" s="258" t="str">
        <v>ze stali</v>
      </c>
      <c r="D74" s="5" t="str">
        <f t="shared" si="0"/>
        <v>[km]</v>
      </c>
      <c r="E74" s="148">
        <f>SUM(E75:E78)</f>
        <v>0</v>
      </c>
      <c r="F74" s="274"/>
      <c r="G74" s="274"/>
      <c r="H74" s="685"/>
      <c r="I74" s="685"/>
    </row>
    <row r="75" spans="1:9">
      <c r="A75" s="685"/>
      <c r="B75" s="635" t="str">
        <v>05</v>
      </c>
      <c r="C75" s="260" t="str">
        <v>300 &lt; DN[mm]</v>
      </c>
      <c r="D75" s="6" t="str">
        <f t="shared" si="0"/>
        <v>[km]</v>
      </c>
      <c r="E75" s="149"/>
      <c r="F75" s="274"/>
      <c r="G75" s="274"/>
      <c r="H75" s="685"/>
      <c r="I75" s="685"/>
    </row>
    <row r="76" spans="1:9">
      <c r="A76" s="685"/>
      <c r="B76" s="636" t="str">
        <v>06</v>
      </c>
      <c r="C76" s="261" t="str">
        <v>200 &lt; DN[mm] ≤ 300</v>
      </c>
      <c r="D76" s="7" t="str">
        <f t="shared" si="0"/>
        <v>[km]</v>
      </c>
      <c r="E76" s="150"/>
      <c r="F76" s="274"/>
      <c r="G76" s="274"/>
      <c r="H76" s="685"/>
      <c r="I76" s="685"/>
    </row>
    <row r="77" spans="1:9">
      <c r="A77" s="685"/>
      <c r="B77" s="636" t="str">
        <v>07</v>
      </c>
      <c r="C77" s="261" t="str">
        <v>100 &lt; DN[mm] ≤ 200</v>
      </c>
      <c r="D77" s="7" t="str">
        <f t="shared" si="0"/>
        <v>[km]</v>
      </c>
      <c r="E77" s="150"/>
      <c r="F77" s="274"/>
      <c r="G77" s="274"/>
      <c r="H77" s="685"/>
      <c r="I77" s="685"/>
    </row>
    <row r="78" spans="1:9">
      <c r="A78" s="685"/>
      <c r="B78" s="637" t="str">
        <v>08</v>
      </c>
      <c r="C78" s="264" t="str">
        <v>DN[mm] ≤ 100</v>
      </c>
      <c r="D78" s="8" t="str">
        <f t="shared" si="0"/>
        <v>[km]</v>
      </c>
      <c r="E78" s="151"/>
      <c r="F78" s="274"/>
      <c r="G78" s="274"/>
      <c r="H78" s="685"/>
      <c r="I78" s="685"/>
    </row>
    <row r="79" spans="1:9">
      <c r="A79" s="685"/>
      <c r="B79" s="638" t="str">
        <v>09</v>
      </c>
      <c r="C79" s="259" t="str">
        <v>z tworzyw sztucznych (np. polietylenu)</v>
      </c>
      <c r="D79" s="9" t="str">
        <f t="shared" si="0"/>
        <v>[km]</v>
      </c>
      <c r="E79" s="152">
        <f>SUM(E80:E83)</f>
        <v>0</v>
      </c>
      <c r="F79" s="274"/>
      <c r="G79" s="274"/>
      <c r="H79" s="685"/>
      <c r="I79" s="685"/>
    </row>
    <row r="80" spans="1:9">
      <c r="A80" s="685"/>
      <c r="B80" s="635" t="str">
        <v>10</v>
      </c>
      <c r="C80" s="260" t="str">
        <v>300 &lt; DN[mm]</v>
      </c>
      <c r="D80" s="6" t="str">
        <f t="shared" si="0"/>
        <v>[km]</v>
      </c>
      <c r="E80" s="149"/>
      <c r="F80" s="274"/>
      <c r="G80" s="274"/>
      <c r="H80" s="685"/>
      <c r="I80" s="685"/>
    </row>
    <row r="81" spans="1:9">
      <c r="A81" s="685"/>
      <c r="B81" s="636" t="str">
        <v>11</v>
      </c>
      <c r="C81" s="261" t="str">
        <v>200 &lt; DN[mm] ≤ 300</v>
      </c>
      <c r="D81" s="7" t="str">
        <f t="shared" si="0"/>
        <v>[km]</v>
      </c>
      <c r="E81" s="150"/>
      <c r="F81" s="274"/>
      <c r="G81" s="274"/>
      <c r="H81" s="685"/>
      <c r="I81" s="685"/>
    </row>
    <row r="82" spans="1:9">
      <c r="A82" s="685"/>
      <c r="B82" s="636" t="str">
        <v>12</v>
      </c>
      <c r="C82" s="261" t="str">
        <v>100 &lt; DN[mm] ≤ 200</v>
      </c>
      <c r="D82" s="7" t="str">
        <f t="shared" si="0"/>
        <v>[km]</v>
      </c>
      <c r="E82" s="150"/>
      <c r="F82" s="274"/>
      <c r="G82" s="274"/>
      <c r="H82" s="685"/>
      <c r="I82" s="685"/>
    </row>
    <row r="83" spans="1:9" ht="16.5" thickBot="1">
      <c r="A83" s="685"/>
      <c r="B83" s="639" t="str">
        <v>13</v>
      </c>
      <c r="C83" s="265" t="str">
        <v>DN[mm] ≤ 100</v>
      </c>
      <c r="D83" s="10" t="str">
        <f t="shared" si="0"/>
        <v>[km]</v>
      </c>
      <c r="E83" s="153"/>
      <c r="F83" s="274"/>
      <c r="G83" s="274"/>
      <c r="H83" s="685"/>
      <c r="I83" s="685"/>
    </row>
    <row r="84" spans="1:9" ht="16.5" thickBot="1">
      <c r="A84" s="685"/>
      <c r="B84" s="633" t="str">
        <v>14</v>
      </c>
      <c r="C84" s="11" t="str">
        <v>A2. Gazociągi średniego i niskiego ciśnienia</v>
      </c>
      <c r="D84" s="4" t="str">
        <f t="shared" si="0"/>
        <v>[km]</v>
      </c>
      <c r="E84" s="147">
        <f>SUM(E85,E90)</f>
        <v>0</v>
      </c>
      <c r="F84" s="274"/>
      <c r="G84" s="274"/>
      <c r="H84" s="685"/>
      <c r="I84" s="685"/>
    </row>
    <row r="85" spans="1:9">
      <c r="A85" s="685"/>
      <c r="B85" s="634" t="str">
        <v>15</v>
      </c>
      <c r="C85" s="258" t="str">
        <v>ze stali</v>
      </c>
      <c r="D85" s="5" t="str">
        <f t="shared" si="0"/>
        <v>[km]</v>
      </c>
      <c r="E85" s="148">
        <f>SUM(E86:E89)</f>
        <v>0</v>
      </c>
      <c r="F85" s="274"/>
      <c r="G85" s="274"/>
      <c r="H85" s="685"/>
      <c r="I85" s="685"/>
    </row>
    <row r="86" spans="1:9">
      <c r="A86" s="685"/>
      <c r="B86" s="635" t="str">
        <v>16</v>
      </c>
      <c r="C86" s="260" t="str">
        <v>200 &lt; DN[mm]</v>
      </c>
      <c r="D86" s="6" t="str">
        <f t="shared" si="0"/>
        <v>[km]</v>
      </c>
      <c r="E86" s="149"/>
      <c r="F86" s="274"/>
      <c r="G86" s="274"/>
      <c r="H86" s="685"/>
      <c r="I86" s="685"/>
    </row>
    <row r="87" spans="1:9">
      <c r="A87" s="685"/>
      <c r="B87" s="636" t="str">
        <v>17</v>
      </c>
      <c r="C87" s="261" t="str">
        <v>100 &lt; DN[mm] ≤ 200</v>
      </c>
      <c r="D87" s="7" t="str">
        <f t="shared" si="0"/>
        <v>[km]</v>
      </c>
      <c r="E87" s="150"/>
      <c r="F87" s="274"/>
      <c r="G87" s="274"/>
      <c r="H87" s="685"/>
      <c r="I87" s="685"/>
    </row>
    <row r="88" spans="1:9">
      <c r="A88" s="685"/>
      <c r="B88" s="636" t="str">
        <v>18</v>
      </c>
      <c r="C88" s="262" t="str">
        <v>63 &lt; DN[mm] ≤ 100</v>
      </c>
      <c r="D88" s="7" t="str">
        <f t="shared" si="0"/>
        <v>[km]</v>
      </c>
      <c r="E88" s="150"/>
      <c r="F88" s="274"/>
      <c r="G88" s="274"/>
      <c r="H88" s="685"/>
      <c r="I88" s="685"/>
    </row>
    <row r="89" spans="1:9">
      <c r="A89" s="685"/>
      <c r="B89" s="637" t="str">
        <v>19</v>
      </c>
      <c r="C89" s="264" t="str">
        <v>DN[mm] ≤ 63</v>
      </c>
      <c r="D89" s="8" t="str">
        <f t="shared" si="0"/>
        <v>[km]</v>
      </c>
      <c r="E89" s="151"/>
      <c r="F89" s="274"/>
      <c r="G89" s="274"/>
      <c r="H89" s="685"/>
      <c r="I89" s="685"/>
    </row>
    <row r="90" spans="1:9">
      <c r="A90" s="685"/>
      <c r="B90" s="638" t="str">
        <v>20</v>
      </c>
      <c r="C90" s="259" t="str">
        <v>z tworzyw sztucznych (np. polietylenu)</v>
      </c>
      <c r="D90" s="9" t="str">
        <f t="shared" si="0"/>
        <v>[km]</v>
      </c>
      <c r="E90" s="152">
        <f>SUM(E91:E94)</f>
        <v>0</v>
      </c>
      <c r="F90" s="274"/>
      <c r="G90" s="274"/>
      <c r="H90" s="685"/>
      <c r="I90" s="685"/>
    </row>
    <row r="91" spans="1:9">
      <c r="A91" s="685"/>
      <c r="B91" s="635" t="str">
        <v>21</v>
      </c>
      <c r="C91" s="260" t="str">
        <v>200 &lt; DN[mm]</v>
      </c>
      <c r="D91" s="6" t="str">
        <f t="shared" si="0"/>
        <v>[km]</v>
      </c>
      <c r="E91" s="149"/>
      <c r="F91" s="274"/>
      <c r="G91" s="274"/>
      <c r="H91" s="685"/>
      <c r="I91" s="685"/>
    </row>
    <row r="92" spans="1:9">
      <c r="A92" s="685"/>
      <c r="B92" s="636" t="str">
        <v>22</v>
      </c>
      <c r="C92" s="261" t="str">
        <v>100 &lt; DN[mm] ≤ 200</v>
      </c>
      <c r="D92" s="7" t="str">
        <f t="shared" si="0"/>
        <v>[km]</v>
      </c>
      <c r="E92" s="150"/>
      <c r="F92" s="274"/>
      <c r="G92" s="274"/>
      <c r="H92" s="685"/>
      <c r="I92" s="685"/>
    </row>
    <row r="93" spans="1:9">
      <c r="A93" s="685"/>
      <c r="B93" s="636" t="str">
        <v>23</v>
      </c>
      <c r="C93" s="262" t="str">
        <v>63 &lt; DN[mm] ≤ 100</v>
      </c>
      <c r="D93" s="7" t="str">
        <f t="shared" si="0"/>
        <v>[km]</v>
      </c>
      <c r="E93" s="150"/>
      <c r="F93" s="274"/>
      <c r="G93" s="274"/>
      <c r="H93" s="685"/>
      <c r="I93" s="685"/>
    </row>
    <row r="94" spans="1:9" ht="16.5" thickBot="1">
      <c r="A94" s="685"/>
      <c r="B94" s="639" t="str">
        <v>24</v>
      </c>
      <c r="C94" s="265" t="str">
        <v>DN[mm] ≤ 63</v>
      </c>
      <c r="D94" s="10" t="str">
        <f t="shared" si="0"/>
        <v>[km]</v>
      </c>
      <c r="E94" s="153"/>
      <c r="F94" s="274"/>
      <c r="G94" s="274"/>
      <c r="H94" s="685"/>
      <c r="I94" s="685"/>
    </row>
    <row r="95" spans="1:9" ht="16.5" thickBot="1">
      <c r="A95" s="685"/>
      <c r="B95" s="633" t="str">
        <v>25</v>
      </c>
      <c r="C95" s="11" t="str">
        <v>A3. przyłącza</v>
      </c>
      <c r="D95" s="4" t="str">
        <f t="shared" si="0"/>
        <v>[km]</v>
      </c>
      <c r="E95" s="147">
        <f>SUM(E96,E101)</f>
        <v>0</v>
      </c>
      <c r="F95" s="274"/>
      <c r="G95" s="274"/>
      <c r="H95" s="685"/>
      <c r="I95" s="685"/>
    </row>
    <row r="96" spans="1:9">
      <c r="A96" s="685"/>
      <c r="B96" s="634" t="str">
        <v>26</v>
      </c>
      <c r="C96" s="258" t="str">
        <v>ze stali</v>
      </c>
      <c r="D96" s="5" t="str">
        <f t="shared" si="0"/>
        <v>[km]</v>
      </c>
      <c r="E96" s="148">
        <f>SUM(E97:E100)</f>
        <v>0</v>
      </c>
      <c r="F96" s="274"/>
      <c r="G96" s="274"/>
      <c r="H96" s="685"/>
      <c r="I96" s="685"/>
    </row>
    <row r="97" spans="1:9">
      <c r="A97" s="685"/>
      <c r="B97" s="635" t="str">
        <v>27</v>
      </c>
      <c r="C97" s="260" t="str">
        <v>100 &lt; DN[mm]</v>
      </c>
      <c r="D97" s="6" t="str">
        <f t="shared" si="0"/>
        <v>[km]</v>
      </c>
      <c r="E97" s="149"/>
      <c r="F97" s="274"/>
      <c r="G97" s="274"/>
      <c r="H97" s="685"/>
      <c r="I97" s="685"/>
    </row>
    <row r="98" spans="1:9">
      <c r="A98" s="685"/>
      <c r="B98" s="636" t="str">
        <v>28</v>
      </c>
      <c r="C98" s="262" t="str">
        <v>63 &lt; DN[mm] ≤ 100</v>
      </c>
      <c r="D98" s="7" t="str">
        <f t="shared" si="0"/>
        <v>[km]</v>
      </c>
      <c r="E98" s="150"/>
      <c r="F98" s="274"/>
      <c r="G98" s="274"/>
      <c r="H98" s="685"/>
      <c r="I98" s="685"/>
    </row>
    <row r="99" spans="1:9">
      <c r="A99" s="685"/>
      <c r="B99" s="636" t="str">
        <v>29</v>
      </c>
      <c r="C99" s="262" t="str">
        <v>32 &lt; DN[mm] ≤ 63</v>
      </c>
      <c r="D99" s="7" t="str">
        <f t="shared" si="0"/>
        <v>[km]</v>
      </c>
      <c r="E99" s="150"/>
      <c r="F99" s="274"/>
      <c r="G99" s="274"/>
      <c r="H99" s="685"/>
      <c r="I99" s="685"/>
    </row>
    <row r="100" spans="1:9">
      <c r="A100" s="685"/>
      <c r="B100" s="637" t="str">
        <v>30</v>
      </c>
      <c r="C100" s="269" t="str">
        <v>DN[mm] ≤ 32</v>
      </c>
      <c r="D100" s="8" t="str">
        <f t="shared" si="0"/>
        <v>[km]</v>
      </c>
      <c r="E100" s="151"/>
      <c r="F100" s="274"/>
      <c r="G100" s="274"/>
      <c r="H100" s="685"/>
      <c r="I100" s="685"/>
    </row>
    <row r="101" spans="1:9">
      <c r="A101" s="685"/>
      <c r="B101" s="638" t="str">
        <v>31</v>
      </c>
      <c r="C101" s="259" t="str">
        <v>z tworzyw sztucznych (np. polietylenu)</v>
      </c>
      <c r="D101" s="9" t="str">
        <f t="shared" si="0"/>
        <v>[km]</v>
      </c>
      <c r="E101" s="152">
        <f>SUM(E102:E105)</f>
        <v>0</v>
      </c>
      <c r="F101" s="274"/>
      <c r="G101" s="274"/>
      <c r="H101" s="685"/>
      <c r="I101" s="685"/>
    </row>
    <row r="102" spans="1:9">
      <c r="A102" s="685"/>
      <c r="B102" s="635" t="str">
        <v>32</v>
      </c>
      <c r="C102" s="260" t="str">
        <v>100 &lt; DN[mm]</v>
      </c>
      <c r="D102" s="6" t="str">
        <f t="shared" si="0"/>
        <v>[km]</v>
      </c>
      <c r="E102" s="149"/>
      <c r="F102" s="274"/>
      <c r="G102" s="274"/>
      <c r="H102" s="685"/>
      <c r="I102" s="685"/>
    </row>
    <row r="103" spans="1:9">
      <c r="A103" s="685"/>
      <c r="B103" s="636" t="str">
        <v>33</v>
      </c>
      <c r="C103" s="262" t="str">
        <v>63 &lt; DN[mm] ≤ 100</v>
      </c>
      <c r="D103" s="7" t="str">
        <f t="shared" si="0"/>
        <v>[km]</v>
      </c>
      <c r="E103" s="150"/>
      <c r="F103" s="274"/>
      <c r="G103" s="274"/>
      <c r="H103" s="685"/>
      <c r="I103" s="685"/>
    </row>
    <row r="104" spans="1:9">
      <c r="A104" s="685"/>
      <c r="B104" s="636" t="str">
        <v>34</v>
      </c>
      <c r="C104" s="262" t="str">
        <v>32 &lt; DN[mm] ≤ 63</v>
      </c>
      <c r="D104" s="7" t="str">
        <f t="shared" si="0"/>
        <v>[km]</v>
      </c>
      <c r="E104" s="150"/>
      <c r="F104" s="274"/>
      <c r="G104" s="274"/>
      <c r="H104" s="685"/>
      <c r="I104" s="685"/>
    </row>
    <row r="105" spans="1:9" ht="16.5" thickBot="1">
      <c r="A105" s="685"/>
      <c r="B105" s="639" t="str">
        <v>35</v>
      </c>
      <c r="C105" s="828" t="str">
        <v>DN[mm] ≤ 32</v>
      </c>
      <c r="D105" s="10" t="str">
        <f t="shared" si="0"/>
        <v>[km]</v>
      </c>
      <c r="E105" s="153"/>
      <c r="F105" s="274"/>
      <c r="G105" s="274"/>
      <c r="H105" s="685"/>
      <c r="I105" s="685"/>
    </row>
    <row r="106" spans="1:9" ht="16.5" thickBot="1">
      <c r="A106" s="685"/>
      <c r="B106" s="641" t="str">
        <v>36</v>
      </c>
      <c r="C106" s="1" t="str">
        <v>B. STACJE GAZOWE, TŁOCZNIE I WĘZŁY</v>
      </c>
      <c r="D106" s="2" t="str">
        <f>"[szt.]"</f>
        <v>[szt.]</v>
      </c>
      <c r="E106" s="146">
        <f>SUM(E107,E111,E115,E119:E120)</f>
        <v>0</v>
      </c>
      <c r="F106" s="274"/>
      <c r="G106" s="274"/>
      <c r="H106" s="685"/>
      <c r="I106" s="685"/>
    </row>
    <row r="107" spans="1:9">
      <c r="A107" s="685"/>
      <c r="B107" s="634" t="str">
        <v>37</v>
      </c>
      <c r="C107" s="12" t="str">
        <v>B1. stacje redukcyjno-pomiarowe I°</v>
      </c>
      <c r="D107" s="5" t="str">
        <f t="shared" ref="D107:D127" si="1">$D$106</f>
        <v>[szt.]</v>
      </c>
      <c r="E107" s="148">
        <f>SUM(E108:E110)</f>
        <v>0</v>
      </c>
      <c r="F107" s="274"/>
      <c r="G107" s="274"/>
      <c r="H107" s="685"/>
      <c r="I107" s="685"/>
    </row>
    <row r="108" spans="1:9">
      <c r="A108" s="685"/>
      <c r="B108" s="635" t="str">
        <v>38</v>
      </c>
      <c r="C108" s="260" t="str">
        <v>3000 &lt; Q[m³/h]</v>
      </c>
      <c r="D108" s="6" t="str">
        <f t="shared" si="1"/>
        <v>[szt.]</v>
      </c>
      <c r="E108" s="149"/>
      <c r="F108" s="274"/>
      <c r="G108" s="274"/>
      <c r="H108" s="685"/>
      <c r="I108" s="685"/>
    </row>
    <row r="109" spans="1:9">
      <c r="A109" s="685"/>
      <c r="B109" s="636" t="str">
        <v>39</v>
      </c>
      <c r="C109" s="261" t="str">
        <v>1000 &lt; Q[m³/h] ≤ 3000</v>
      </c>
      <c r="D109" s="7" t="str">
        <f t="shared" si="1"/>
        <v>[szt.]</v>
      </c>
      <c r="E109" s="150"/>
      <c r="F109" s="274"/>
      <c r="G109" s="274"/>
      <c r="H109" s="685"/>
      <c r="I109" s="685"/>
    </row>
    <row r="110" spans="1:9">
      <c r="A110" s="685"/>
      <c r="B110" s="637" t="str">
        <v>40</v>
      </c>
      <c r="C110" s="269" t="str">
        <v>Q[m³/h] ≤ 1000</v>
      </c>
      <c r="D110" s="8" t="str">
        <f t="shared" si="1"/>
        <v>[szt.]</v>
      </c>
      <c r="E110" s="151"/>
      <c r="F110" s="274"/>
      <c r="G110" s="274"/>
      <c r="H110" s="685"/>
      <c r="I110" s="685"/>
    </row>
    <row r="111" spans="1:9">
      <c r="A111" s="685"/>
      <c r="B111" s="638" t="str">
        <v>41</v>
      </c>
      <c r="C111" s="13" t="str">
        <v>B2. stacje redukcyjno-pomiarowe II°</v>
      </c>
      <c r="D111" s="9" t="str">
        <f t="shared" si="1"/>
        <v>[szt.]</v>
      </c>
      <c r="E111" s="152">
        <f>SUM(E112:E114)</f>
        <v>0</v>
      </c>
      <c r="F111" s="274"/>
      <c r="G111" s="274"/>
      <c r="H111" s="685"/>
      <c r="I111" s="685"/>
    </row>
    <row r="112" spans="1:9">
      <c r="A112" s="685"/>
      <c r="B112" s="635" t="str">
        <v>42</v>
      </c>
      <c r="C112" s="260" t="str">
        <v>1000 &lt; Q[m³/h]</v>
      </c>
      <c r="D112" s="6" t="str">
        <f t="shared" si="1"/>
        <v>[szt.]</v>
      </c>
      <c r="E112" s="149"/>
      <c r="F112" s="274"/>
      <c r="G112" s="274"/>
      <c r="H112" s="685"/>
      <c r="I112" s="685"/>
    </row>
    <row r="113" spans="1:9">
      <c r="A113" s="685"/>
      <c r="B113" s="636" t="str">
        <v>43</v>
      </c>
      <c r="C113" s="262" t="str">
        <v>300 &lt; Q[m³/h] ≤ 1000</v>
      </c>
      <c r="D113" s="7" t="str">
        <f t="shared" si="1"/>
        <v>[szt.]</v>
      </c>
      <c r="E113" s="150"/>
      <c r="F113" s="274"/>
      <c r="G113" s="274"/>
      <c r="H113" s="685"/>
      <c r="I113" s="685"/>
    </row>
    <row r="114" spans="1:9">
      <c r="A114" s="685"/>
      <c r="B114" s="637" t="str">
        <v>44</v>
      </c>
      <c r="C114" s="269" t="str">
        <v>Q[m³/h] ≤ 300</v>
      </c>
      <c r="D114" s="8" t="str">
        <f t="shared" si="1"/>
        <v>[szt.]</v>
      </c>
      <c r="E114" s="151"/>
      <c r="F114" s="274"/>
      <c r="G114" s="274"/>
      <c r="H114" s="685"/>
      <c r="I114" s="685"/>
    </row>
    <row r="115" spans="1:9">
      <c r="A115" s="685"/>
      <c r="B115" s="638" t="str">
        <v>45</v>
      </c>
      <c r="C115" s="13" t="str">
        <v>B3. stacje LNG</v>
      </c>
      <c r="D115" s="9" t="str">
        <f t="shared" si="1"/>
        <v>[szt.]</v>
      </c>
      <c r="E115" s="152">
        <f>SUM(E116:E118)</f>
        <v>0</v>
      </c>
      <c r="F115" s="274"/>
      <c r="G115" s="274"/>
      <c r="H115" s="685"/>
      <c r="I115" s="685"/>
    </row>
    <row r="116" spans="1:9">
      <c r="A116" s="685"/>
      <c r="B116" s="635" t="str">
        <v>46</v>
      </c>
      <c r="C116" s="260" t="str">
        <v>1000 &lt; Q[m³/h]</v>
      </c>
      <c r="D116" s="6" t="str">
        <f t="shared" si="1"/>
        <v>[szt.]</v>
      </c>
      <c r="E116" s="149"/>
      <c r="F116" s="274"/>
      <c r="G116" s="274"/>
      <c r="H116" s="685"/>
      <c r="I116" s="685"/>
    </row>
    <row r="117" spans="1:9">
      <c r="A117" s="685"/>
      <c r="B117" s="636" t="str">
        <v>47</v>
      </c>
      <c r="C117" s="262" t="str">
        <v>300 &lt; Q[m³/h] ≤ 1000</v>
      </c>
      <c r="D117" s="7" t="str">
        <f t="shared" si="1"/>
        <v>[szt.]</v>
      </c>
      <c r="E117" s="150"/>
      <c r="F117" s="274"/>
      <c r="G117" s="274"/>
      <c r="H117" s="685"/>
      <c r="I117" s="685"/>
    </row>
    <row r="118" spans="1:9">
      <c r="A118" s="685"/>
      <c r="B118" s="637" t="str">
        <v>48</v>
      </c>
      <c r="C118" s="269" t="str">
        <v>Q[m³/h] ≤ 300</v>
      </c>
      <c r="D118" s="8" t="str">
        <f t="shared" si="1"/>
        <v>[szt.]</v>
      </c>
      <c r="E118" s="151"/>
      <c r="F118" s="274"/>
      <c r="G118" s="274"/>
      <c r="H118" s="685"/>
      <c r="I118" s="685"/>
    </row>
    <row r="119" spans="1:9">
      <c r="A119" s="685"/>
      <c r="B119" s="642" t="str">
        <v>49</v>
      </c>
      <c r="C119" s="14" t="str">
        <v>B4. tłocznie gazu</v>
      </c>
      <c r="D119" s="15" t="str">
        <f t="shared" si="1"/>
        <v>[szt.]</v>
      </c>
      <c r="E119" s="152"/>
      <c r="F119" s="274"/>
      <c r="G119" s="274"/>
      <c r="H119" s="685"/>
      <c r="I119" s="685"/>
    </row>
    <row r="120" spans="1:9" ht="16.5" thickBot="1">
      <c r="A120" s="685"/>
      <c r="B120" s="643" t="str">
        <v>50</v>
      </c>
      <c r="C120" s="16" t="str">
        <v>B5. węzły</v>
      </c>
      <c r="D120" s="17" t="str">
        <f t="shared" si="1"/>
        <v>[szt.]</v>
      </c>
      <c r="E120" s="154"/>
      <c r="F120" s="274"/>
      <c r="G120" s="274"/>
      <c r="H120" s="685"/>
      <c r="I120" s="685"/>
    </row>
    <row r="121" spans="1:9" ht="16.5" thickBot="1">
      <c r="A121" s="685"/>
      <c r="B121" s="641" t="str">
        <v>51</v>
      </c>
      <c r="C121" s="1" t="str">
        <v>C. GAZOMIERZE I UKŁADY POMIAROWE</v>
      </c>
      <c r="D121" s="2" t="str">
        <f t="shared" si="1"/>
        <v>[szt.]</v>
      </c>
      <c r="E121" s="146">
        <f>SUM(E122,E125:E127)</f>
        <v>0</v>
      </c>
      <c r="F121" s="685"/>
      <c r="G121" s="685"/>
      <c r="H121" s="685"/>
      <c r="I121" s="685"/>
    </row>
    <row r="122" spans="1:9">
      <c r="A122" s="685"/>
      <c r="B122" s="634" t="str">
        <v>52</v>
      </c>
      <c r="C122" s="12" t="str">
        <v>C1. Gazomierze miechowe</v>
      </c>
      <c r="D122" s="5" t="str">
        <f t="shared" si="1"/>
        <v>[szt.]</v>
      </c>
      <c r="E122" s="148">
        <f>SUM(E123:E124)</f>
        <v>0</v>
      </c>
      <c r="F122" s="685"/>
      <c r="G122" s="685"/>
      <c r="H122" s="685"/>
      <c r="I122" s="685"/>
    </row>
    <row r="123" spans="1:9">
      <c r="A123" s="685"/>
      <c r="B123" s="635" t="str">
        <v>53</v>
      </c>
      <c r="C123" s="263" t="str">
        <v>G1.6 ÷ G6 (nowe)</v>
      </c>
      <c r="D123" s="6" t="str">
        <f t="shared" si="1"/>
        <v>[szt.]</v>
      </c>
      <c r="E123" s="149"/>
      <c r="F123" s="685"/>
      <c r="G123" s="685"/>
      <c r="H123" s="685"/>
      <c r="I123" s="685"/>
    </row>
    <row r="124" spans="1:9">
      <c r="A124" s="685"/>
      <c r="B124" s="640" t="str">
        <v>54</v>
      </c>
      <c r="C124" s="266" t="str">
        <v>G10 ÷ G650 (nowe)</v>
      </c>
      <c r="D124" s="267" t="str">
        <f t="shared" si="1"/>
        <v>[szt.]</v>
      </c>
      <c r="E124" s="268"/>
      <c r="F124" s="685"/>
      <c r="G124" s="685"/>
      <c r="H124" s="685"/>
      <c r="I124" s="685"/>
    </row>
    <row r="125" spans="1:9">
      <c r="A125" s="685"/>
      <c r="B125" s="638" t="str">
        <v>55</v>
      </c>
      <c r="C125" s="13" t="str">
        <v>C2. Gazomierze turbinowe</v>
      </c>
      <c r="D125" s="9" t="str">
        <f t="shared" si="1"/>
        <v>[szt.]</v>
      </c>
      <c r="E125" s="152"/>
      <c r="F125" s="685"/>
      <c r="G125" s="685"/>
      <c r="H125" s="685"/>
      <c r="I125" s="685"/>
    </row>
    <row r="126" spans="1:9">
      <c r="A126" s="685"/>
      <c r="B126" s="638" t="str">
        <v>56</v>
      </c>
      <c r="C126" s="13" t="str">
        <v>C3. Gazomierze rotorowe</v>
      </c>
      <c r="D126" s="9" t="str">
        <f t="shared" si="1"/>
        <v>[szt.]</v>
      </c>
      <c r="E126" s="152"/>
      <c r="F126" s="685"/>
      <c r="G126" s="685"/>
      <c r="H126" s="685"/>
      <c r="I126" s="685"/>
    </row>
    <row r="127" spans="1:9" ht="16.5" thickBot="1">
      <c r="A127" s="685"/>
      <c r="B127" s="643" t="str">
        <v>57</v>
      </c>
      <c r="C127" s="16" t="str">
        <v xml:space="preserve">C4. Inne </v>
      </c>
      <c r="D127" s="17" t="str">
        <f t="shared" si="1"/>
        <v>[szt.]</v>
      </c>
      <c r="E127" s="154"/>
      <c r="F127" s="685"/>
      <c r="G127" s="685"/>
      <c r="H127" s="685"/>
      <c r="I127" s="685"/>
    </row>
    <row r="128" spans="1:9">
      <c r="A128" s="685"/>
      <c r="B128" s="685"/>
      <c r="C128" s="685"/>
      <c r="D128" s="685"/>
      <c r="E128" s="685"/>
      <c r="F128" s="685"/>
      <c r="G128" s="685"/>
      <c r="H128" s="685"/>
      <c r="I128" s="685"/>
    </row>
    <row r="129" spans="1:9">
      <c r="A129" s="685"/>
      <c r="B129" s="685"/>
      <c r="C129" s="685"/>
      <c r="D129" s="685"/>
      <c r="E129" s="685"/>
      <c r="F129" s="685"/>
      <c r="G129" s="685"/>
      <c r="H129" s="685"/>
      <c r="I129" s="685"/>
    </row>
    <row r="130" spans="1:9" ht="30" customHeight="1" thickBot="1">
      <c r="A130" s="685"/>
      <c r="B130" s="695" t="s">
        <v>372</v>
      </c>
      <c r="C130" s="685"/>
      <c r="D130" s="685"/>
      <c r="E130" s="685"/>
      <c r="F130" s="685"/>
      <c r="G130" s="685"/>
      <c r="H130" s="685"/>
      <c r="I130" s="685"/>
    </row>
    <row r="131" spans="1:9">
      <c r="A131" s="685"/>
      <c r="B131" s="1035" t="str">
        <f>'Tab.G1.1-4'!$B$8</f>
        <v>LP</v>
      </c>
      <c r="C131" s="1037" t="str">
        <f>'Tab.G1.1-4'!$C$8</f>
        <v>Wyszczególnienie</v>
      </c>
      <c r="D131" s="1038"/>
      <c r="E131" s="627" t="str">
        <f>'Tab.G1.1-4'!$E$8</f>
        <v>Wykonanie</v>
      </c>
      <c r="F131" s="274"/>
      <c r="G131" s="274"/>
      <c r="H131" s="685"/>
      <c r="I131" s="685"/>
    </row>
    <row r="132" spans="1:9">
      <c r="A132" s="685"/>
      <c r="B132" s="1036"/>
      <c r="C132" s="1039"/>
      <c r="D132" s="1040"/>
      <c r="E132" s="628">
        <f>Rok_ZPR</f>
        <v>2023</v>
      </c>
      <c r="F132" s="274"/>
      <c r="G132" s="274"/>
      <c r="H132" s="685"/>
      <c r="I132" s="685"/>
    </row>
    <row r="133" spans="1:9" ht="16.5" thickBot="1">
      <c r="A133" s="685"/>
      <c r="B133" s="644" t="str">
        <f t="array" ref="B133:B189">Tab.G17!$B$10:$B$66</f>
        <v>01</v>
      </c>
      <c r="C133" s="1044" t="str">
        <f>Tab.G17!$B$11</f>
        <v>02</v>
      </c>
      <c r="D133" s="1034"/>
      <c r="E133" s="645" t="str">
        <f>Tab.G17!$B$12</f>
        <v>03</v>
      </c>
      <c r="F133" s="274"/>
      <c r="G133" s="274"/>
      <c r="H133" s="685"/>
      <c r="I133" s="685"/>
    </row>
    <row r="134" spans="1:9" ht="16.5" thickBot="1">
      <c r="A134" s="685"/>
      <c r="B134" s="641" t="str">
        <v>02</v>
      </c>
      <c r="C134" s="706" t="str">
        <f t="array" ref="C134:C189">$C$10:$C$65</f>
        <v>A. GAZOCIĄGI DYSTRYBUCYJNE, Z TEGO:</v>
      </c>
      <c r="D134" s="707" t="str">
        <f>"[tys. zł/km]"</f>
        <v>[tys. zł/km]</v>
      </c>
      <c r="E134" s="708" t="str">
        <f t="array" ref="E134:E189">IFERROR($E$10:$E$65/$E$72:$E$127,"")</f>
        <v/>
      </c>
      <c r="F134" s="274"/>
      <c r="G134" s="274"/>
      <c r="H134" s="685"/>
      <c r="I134" s="685"/>
    </row>
    <row r="135" spans="1:9" ht="16.5" thickBot="1">
      <c r="A135" s="685"/>
      <c r="B135" s="633" t="str">
        <v>03</v>
      </c>
      <c r="C135" s="3" t="str">
        <v>A1. Gazociągi wysokiego i podyższonego średniego ciśnienia</v>
      </c>
      <c r="D135" s="4" t="str">
        <f t="shared" ref="D135:D140" si="2">$D$134</f>
        <v>[tys. zł/km]</v>
      </c>
      <c r="E135" s="147" t="str">
        <v/>
      </c>
      <c r="F135" s="274"/>
      <c r="G135" s="274"/>
      <c r="H135" s="685"/>
      <c r="I135" s="685"/>
    </row>
    <row r="136" spans="1:9">
      <c r="A136" s="685"/>
      <c r="B136" s="634" t="str">
        <v>04</v>
      </c>
      <c r="C136" s="258" t="str">
        <v>ze stali</v>
      </c>
      <c r="D136" s="5" t="str">
        <f t="shared" si="2"/>
        <v>[tys. zł/km]</v>
      </c>
      <c r="E136" s="148" t="str">
        <v/>
      </c>
      <c r="F136" s="274"/>
      <c r="G136" s="274"/>
      <c r="H136" s="685"/>
      <c r="I136" s="685"/>
    </row>
    <row r="137" spans="1:9">
      <c r="A137" s="685"/>
      <c r="B137" s="635" t="str">
        <v>05</v>
      </c>
      <c r="C137" s="260" t="str">
        <v>300 &lt; DN[mm]</v>
      </c>
      <c r="D137" s="6" t="str">
        <f t="shared" si="2"/>
        <v>[tys. zł/km]</v>
      </c>
      <c r="E137" s="149" t="str">
        <v/>
      </c>
      <c r="F137" s="274"/>
      <c r="G137" s="274"/>
      <c r="H137" s="685"/>
      <c r="I137" s="685"/>
    </row>
    <row r="138" spans="1:9">
      <c r="A138" s="685"/>
      <c r="B138" s="636" t="str">
        <v>06</v>
      </c>
      <c r="C138" s="261" t="str">
        <v>200 &lt; DN[mm] ≤ 300</v>
      </c>
      <c r="D138" s="7" t="str">
        <f t="shared" si="2"/>
        <v>[tys. zł/km]</v>
      </c>
      <c r="E138" s="150" t="str">
        <v/>
      </c>
      <c r="F138" s="274"/>
      <c r="G138" s="274"/>
      <c r="H138" s="685"/>
      <c r="I138" s="685"/>
    </row>
    <row r="139" spans="1:9">
      <c r="A139" s="685"/>
      <c r="B139" s="636" t="str">
        <v>07</v>
      </c>
      <c r="C139" s="261" t="str">
        <v>100 &lt; DN[mm] ≤ 200</v>
      </c>
      <c r="D139" s="7" t="str">
        <f t="shared" si="2"/>
        <v>[tys. zł/km]</v>
      </c>
      <c r="E139" s="150" t="str">
        <v/>
      </c>
      <c r="F139" s="274"/>
      <c r="G139" s="274"/>
      <c r="H139" s="685"/>
      <c r="I139" s="685"/>
    </row>
    <row r="140" spans="1:9">
      <c r="A140" s="685"/>
      <c r="B140" s="637" t="str">
        <v>08</v>
      </c>
      <c r="C140" s="264" t="str">
        <v>DN[mm] ≤ 100</v>
      </c>
      <c r="D140" s="8" t="str">
        <f t="shared" si="2"/>
        <v>[tys. zł/km]</v>
      </c>
      <c r="E140" s="151" t="str">
        <v/>
      </c>
      <c r="F140" s="274"/>
      <c r="G140" s="274"/>
      <c r="H140" s="685"/>
      <c r="I140" s="685"/>
    </row>
    <row r="141" spans="1:9">
      <c r="A141" s="685"/>
      <c r="B141" s="638" t="str">
        <v>09</v>
      </c>
      <c r="C141" s="259" t="str">
        <v>z tworzyw sztucznych (np. polietylenu)</v>
      </c>
      <c r="D141" s="9" t="s">
        <v>91</v>
      </c>
      <c r="E141" s="152" t="str">
        <v/>
      </c>
      <c r="F141" s="274"/>
      <c r="G141" s="274"/>
      <c r="H141" s="685"/>
      <c r="I141" s="685"/>
    </row>
    <row r="142" spans="1:9">
      <c r="A142" s="685"/>
      <c r="B142" s="635" t="str">
        <v>10</v>
      </c>
      <c r="C142" s="260" t="str">
        <v>300 &lt; DN[mm]</v>
      </c>
      <c r="D142" s="6" t="str">
        <f t="shared" ref="D142:D147" si="3">$D$134</f>
        <v>[tys. zł/km]</v>
      </c>
      <c r="E142" s="149" t="str">
        <v/>
      </c>
      <c r="F142" s="274"/>
      <c r="G142" s="274"/>
      <c r="H142" s="685"/>
      <c r="I142" s="685"/>
    </row>
    <row r="143" spans="1:9">
      <c r="A143" s="685"/>
      <c r="B143" s="636" t="str">
        <v>11</v>
      </c>
      <c r="C143" s="261" t="str">
        <v>200 &lt; DN[mm] ≤ 300</v>
      </c>
      <c r="D143" s="7" t="str">
        <f t="shared" si="3"/>
        <v>[tys. zł/km]</v>
      </c>
      <c r="E143" s="150" t="str">
        <v/>
      </c>
      <c r="F143" s="274"/>
      <c r="G143" s="274"/>
      <c r="H143" s="685"/>
      <c r="I143" s="685"/>
    </row>
    <row r="144" spans="1:9">
      <c r="A144" s="685"/>
      <c r="B144" s="636" t="str">
        <v>12</v>
      </c>
      <c r="C144" s="261" t="str">
        <v>100 &lt; DN[mm] ≤ 200</v>
      </c>
      <c r="D144" s="7" t="str">
        <f t="shared" si="3"/>
        <v>[tys. zł/km]</v>
      </c>
      <c r="E144" s="150" t="str">
        <v/>
      </c>
      <c r="F144" s="274"/>
      <c r="G144" s="274"/>
      <c r="H144" s="685"/>
      <c r="I144" s="685"/>
    </row>
    <row r="145" spans="1:9" ht="16.5" thickBot="1">
      <c r="A145" s="685"/>
      <c r="B145" s="639" t="str">
        <v>13</v>
      </c>
      <c r="C145" s="265" t="str">
        <v>DN[mm] ≤ 100</v>
      </c>
      <c r="D145" s="10" t="str">
        <f t="shared" si="3"/>
        <v>[tys. zł/km]</v>
      </c>
      <c r="E145" s="153" t="str">
        <v/>
      </c>
      <c r="F145" s="274"/>
      <c r="G145" s="274"/>
      <c r="H145" s="685"/>
      <c r="I145" s="685"/>
    </row>
    <row r="146" spans="1:9" ht="16.5" thickBot="1">
      <c r="A146" s="685"/>
      <c r="B146" s="633" t="str">
        <v>14</v>
      </c>
      <c r="C146" s="11" t="str">
        <v>A2. Gazociągi średniego i niskiego ciśnienia</v>
      </c>
      <c r="D146" s="4" t="str">
        <f t="shared" si="3"/>
        <v>[tys. zł/km]</v>
      </c>
      <c r="E146" s="147" t="str">
        <v/>
      </c>
      <c r="F146" s="274"/>
      <c r="G146" s="274"/>
      <c r="H146" s="685"/>
      <c r="I146" s="685"/>
    </row>
    <row r="147" spans="1:9">
      <c r="A147" s="685"/>
      <c r="B147" s="634" t="str">
        <v>15</v>
      </c>
      <c r="C147" s="258" t="str">
        <v>ze stali</v>
      </c>
      <c r="D147" s="5" t="str">
        <f t="shared" si="3"/>
        <v>[tys. zł/km]</v>
      </c>
      <c r="E147" s="148" t="str">
        <v/>
      </c>
      <c r="F147" s="274"/>
      <c r="G147" s="274"/>
      <c r="H147" s="685"/>
      <c r="I147" s="685"/>
    </row>
    <row r="148" spans="1:9">
      <c r="A148" s="685"/>
      <c r="B148" s="635" t="str">
        <v>16</v>
      </c>
      <c r="C148" s="260" t="str">
        <v>200 &lt; DN[mm]</v>
      </c>
      <c r="D148" s="6" t="s">
        <v>91</v>
      </c>
      <c r="E148" s="149" t="str">
        <v/>
      </c>
      <c r="F148" s="274"/>
      <c r="G148" s="274"/>
      <c r="H148" s="685"/>
      <c r="I148" s="685"/>
    </row>
    <row r="149" spans="1:9">
      <c r="A149" s="685"/>
      <c r="B149" s="636" t="str">
        <v>17</v>
      </c>
      <c r="C149" s="261" t="str">
        <v>100 &lt; DN[mm] ≤ 200</v>
      </c>
      <c r="D149" s="7" t="str">
        <f t="shared" ref="D149:D154" si="4">$D$134</f>
        <v>[tys. zł/km]</v>
      </c>
      <c r="E149" s="150" t="str">
        <v/>
      </c>
      <c r="F149" s="274"/>
      <c r="G149" s="274"/>
      <c r="H149" s="685"/>
      <c r="I149" s="685"/>
    </row>
    <row r="150" spans="1:9">
      <c r="A150" s="685"/>
      <c r="B150" s="636" t="str">
        <v>18</v>
      </c>
      <c r="C150" s="262" t="str">
        <v>63 &lt; DN[mm] ≤ 100</v>
      </c>
      <c r="D150" s="7" t="str">
        <f t="shared" si="4"/>
        <v>[tys. zł/km]</v>
      </c>
      <c r="E150" s="150" t="str">
        <v/>
      </c>
      <c r="F150" s="274"/>
      <c r="G150" s="274"/>
      <c r="H150" s="685"/>
      <c r="I150" s="685"/>
    </row>
    <row r="151" spans="1:9">
      <c r="A151" s="685"/>
      <c r="B151" s="637" t="str">
        <v>19</v>
      </c>
      <c r="C151" s="264" t="str">
        <v>DN[mm] ≤ 63</v>
      </c>
      <c r="D151" s="8" t="str">
        <f t="shared" si="4"/>
        <v>[tys. zł/km]</v>
      </c>
      <c r="E151" s="151" t="str">
        <v/>
      </c>
      <c r="F151" s="274"/>
      <c r="G151" s="274"/>
      <c r="H151" s="685"/>
      <c r="I151" s="685"/>
    </row>
    <row r="152" spans="1:9">
      <c r="A152" s="685"/>
      <c r="B152" s="638" t="str">
        <v>20</v>
      </c>
      <c r="C152" s="259" t="str">
        <v>z tworzyw sztucznych (np. polietylenu)</v>
      </c>
      <c r="D152" s="9" t="str">
        <f t="shared" si="4"/>
        <v>[tys. zł/km]</v>
      </c>
      <c r="E152" s="152" t="str">
        <v/>
      </c>
      <c r="F152" s="274"/>
      <c r="G152" s="274"/>
      <c r="H152" s="685"/>
      <c r="I152" s="685"/>
    </row>
    <row r="153" spans="1:9">
      <c r="A153" s="685"/>
      <c r="B153" s="635" t="str">
        <v>21</v>
      </c>
      <c r="C153" s="260" t="str">
        <v>200 &lt; DN[mm]</v>
      </c>
      <c r="D153" s="6" t="str">
        <f t="shared" si="4"/>
        <v>[tys. zł/km]</v>
      </c>
      <c r="E153" s="149" t="str">
        <v/>
      </c>
      <c r="F153" s="274"/>
      <c r="G153" s="274"/>
      <c r="H153" s="685"/>
      <c r="I153" s="685"/>
    </row>
    <row r="154" spans="1:9">
      <c r="A154" s="685"/>
      <c r="B154" s="636" t="str">
        <v>22</v>
      </c>
      <c r="C154" s="261" t="str">
        <v>100 &lt; DN[mm] ≤ 200</v>
      </c>
      <c r="D154" s="7" t="str">
        <f t="shared" si="4"/>
        <v>[tys. zł/km]</v>
      </c>
      <c r="E154" s="150" t="str">
        <v/>
      </c>
      <c r="F154" s="274"/>
      <c r="G154" s="274"/>
      <c r="H154" s="685"/>
      <c r="I154" s="685"/>
    </row>
    <row r="155" spans="1:9">
      <c r="A155" s="685"/>
      <c r="B155" s="636" t="str">
        <v>23</v>
      </c>
      <c r="C155" s="262" t="str">
        <v>63 &lt; DN[mm] ≤ 100</v>
      </c>
      <c r="D155" s="7" t="s">
        <v>91</v>
      </c>
      <c r="E155" s="150" t="str">
        <v/>
      </c>
      <c r="F155" s="274"/>
      <c r="G155" s="274"/>
      <c r="H155" s="685"/>
      <c r="I155" s="685"/>
    </row>
    <row r="156" spans="1:9" ht="16.5" thickBot="1">
      <c r="A156" s="685"/>
      <c r="B156" s="639" t="str">
        <v>24</v>
      </c>
      <c r="C156" s="265" t="str">
        <v>DN[mm] ≤ 63</v>
      </c>
      <c r="D156" s="10" t="str">
        <f t="shared" ref="D156:D161" si="5">$D$134</f>
        <v>[tys. zł/km]</v>
      </c>
      <c r="E156" s="153" t="str">
        <v/>
      </c>
      <c r="F156" s="274"/>
      <c r="G156" s="274"/>
      <c r="H156" s="685"/>
      <c r="I156" s="685"/>
    </row>
    <row r="157" spans="1:9" ht="16.5" thickBot="1">
      <c r="A157" s="685"/>
      <c r="B157" s="633" t="str">
        <v>25</v>
      </c>
      <c r="C157" s="11" t="str">
        <v>A3. przyłącza</v>
      </c>
      <c r="D157" s="4" t="str">
        <f t="shared" si="5"/>
        <v>[tys. zł/km]</v>
      </c>
      <c r="E157" s="147" t="str">
        <v/>
      </c>
      <c r="F157" s="274"/>
      <c r="G157" s="274"/>
      <c r="H157" s="685"/>
      <c r="I157" s="685"/>
    </row>
    <row r="158" spans="1:9">
      <c r="A158" s="685"/>
      <c r="B158" s="634" t="str">
        <v>26</v>
      </c>
      <c r="C158" s="258" t="str">
        <v>ze stali</v>
      </c>
      <c r="D158" s="5" t="str">
        <f t="shared" si="5"/>
        <v>[tys. zł/km]</v>
      </c>
      <c r="E158" s="148" t="str">
        <v/>
      </c>
      <c r="F158" s="274"/>
      <c r="G158" s="274"/>
      <c r="H158" s="685"/>
      <c r="I158" s="685"/>
    </row>
    <row r="159" spans="1:9">
      <c r="A159" s="685"/>
      <c r="B159" s="635" t="str">
        <v>27</v>
      </c>
      <c r="C159" s="260" t="str">
        <v>100 &lt; DN[mm]</v>
      </c>
      <c r="D159" s="6" t="str">
        <f t="shared" si="5"/>
        <v>[tys. zł/km]</v>
      </c>
      <c r="E159" s="149" t="str">
        <v/>
      </c>
      <c r="F159" s="274"/>
      <c r="G159" s="274"/>
      <c r="H159" s="685"/>
      <c r="I159" s="685"/>
    </row>
    <row r="160" spans="1:9">
      <c r="A160" s="685"/>
      <c r="B160" s="636" t="str">
        <v>28</v>
      </c>
      <c r="C160" s="262" t="str">
        <v>63 &lt; DN[mm] ≤ 100</v>
      </c>
      <c r="D160" s="7" t="str">
        <f t="shared" si="5"/>
        <v>[tys. zł/km]</v>
      </c>
      <c r="E160" s="150" t="str">
        <v/>
      </c>
      <c r="F160" s="274"/>
      <c r="G160" s="274"/>
      <c r="H160" s="685"/>
      <c r="I160" s="685"/>
    </row>
    <row r="161" spans="1:9">
      <c r="A161" s="685"/>
      <c r="B161" s="636" t="str">
        <v>29</v>
      </c>
      <c r="C161" s="262" t="str">
        <v>32 &lt; DN[mm] ≤ 63</v>
      </c>
      <c r="D161" s="7" t="str">
        <f t="shared" si="5"/>
        <v>[tys. zł/km]</v>
      </c>
      <c r="E161" s="150" t="str">
        <v/>
      </c>
      <c r="F161" s="274"/>
      <c r="G161" s="274"/>
      <c r="H161" s="685"/>
      <c r="I161" s="685"/>
    </row>
    <row r="162" spans="1:9">
      <c r="A162" s="685"/>
      <c r="B162" s="637" t="str">
        <v>30</v>
      </c>
      <c r="C162" s="269" t="str">
        <v>DN[mm] ≤ 32</v>
      </c>
      <c r="D162" s="8" t="s">
        <v>91</v>
      </c>
      <c r="E162" s="151" t="str">
        <v/>
      </c>
      <c r="F162" s="274"/>
      <c r="G162" s="274"/>
      <c r="H162" s="685"/>
      <c r="I162" s="685"/>
    </row>
    <row r="163" spans="1:9">
      <c r="A163" s="685"/>
      <c r="B163" s="638" t="str">
        <v>31</v>
      </c>
      <c r="C163" s="259" t="str">
        <v>z tworzyw sztucznych (np. polietylenu)</v>
      </c>
      <c r="D163" s="9" t="str">
        <f>$D$134</f>
        <v>[tys. zł/km]</v>
      </c>
      <c r="E163" s="152" t="str">
        <v/>
      </c>
      <c r="F163" s="274"/>
      <c r="G163" s="274"/>
      <c r="H163" s="685"/>
      <c r="I163" s="685"/>
    </row>
    <row r="164" spans="1:9">
      <c r="A164" s="685"/>
      <c r="B164" s="635" t="str">
        <v>32</v>
      </c>
      <c r="C164" s="260" t="str">
        <v>100 &lt; DN[mm]</v>
      </c>
      <c r="D164" s="6" t="str">
        <f>$D$134</f>
        <v>[tys. zł/km]</v>
      </c>
      <c r="E164" s="149" t="str">
        <v/>
      </c>
      <c r="F164" s="274"/>
      <c r="G164" s="274"/>
      <c r="H164" s="685"/>
      <c r="I164" s="685"/>
    </row>
    <row r="165" spans="1:9">
      <c r="A165" s="685"/>
      <c r="B165" s="636" t="str">
        <v>33</v>
      </c>
      <c r="C165" s="262" t="str">
        <v>63 &lt; DN[mm] ≤ 100</v>
      </c>
      <c r="D165" s="7" t="str">
        <f>$D$134</f>
        <v>[tys. zł/km]</v>
      </c>
      <c r="E165" s="150" t="str">
        <v/>
      </c>
      <c r="F165" s="274"/>
      <c r="G165" s="274"/>
      <c r="H165" s="685"/>
      <c r="I165" s="685"/>
    </row>
    <row r="166" spans="1:9">
      <c r="A166" s="685"/>
      <c r="B166" s="636" t="str">
        <v>34</v>
      </c>
      <c r="C166" s="262" t="str">
        <v>32 &lt; DN[mm] ≤ 63</v>
      </c>
      <c r="D166" s="7" t="str">
        <f>$D$134</f>
        <v>[tys. zł/km]</v>
      </c>
      <c r="E166" s="150" t="str">
        <v/>
      </c>
      <c r="F166" s="274"/>
      <c r="G166" s="274"/>
      <c r="H166" s="685"/>
      <c r="I166" s="685"/>
    </row>
    <row r="167" spans="1:9" ht="16.5" thickBot="1">
      <c r="A167" s="685"/>
      <c r="B167" s="639" t="str">
        <v>35</v>
      </c>
      <c r="C167" s="828" t="str">
        <v>DN[mm] ≤ 32</v>
      </c>
      <c r="D167" s="10" t="s">
        <v>91</v>
      </c>
      <c r="E167" s="153" t="str">
        <v/>
      </c>
      <c r="F167" s="274"/>
      <c r="G167" s="274"/>
      <c r="H167" s="685"/>
      <c r="I167" s="685"/>
    </row>
    <row r="168" spans="1:9" ht="16.5" thickBot="1">
      <c r="A168" s="685"/>
      <c r="B168" s="641" t="str">
        <v>36</v>
      </c>
      <c r="C168" s="1" t="str">
        <v>B. STACJE GAZOWE, TŁOCZNIE I WĘZŁY</v>
      </c>
      <c r="D168" s="2" t="str">
        <f>"[tys. zł/szt.]"</f>
        <v>[tys. zł/szt.]</v>
      </c>
      <c r="E168" s="146" t="str">
        <v/>
      </c>
      <c r="F168" s="274"/>
      <c r="G168" s="274"/>
      <c r="H168" s="685"/>
      <c r="I168" s="685"/>
    </row>
    <row r="169" spans="1:9">
      <c r="A169" s="685"/>
      <c r="B169" s="634" t="str">
        <v>37</v>
      </c>
      <c r="C169" s="12" t="str">
        <v>B1. stacje redukcyjno-pomiarowe I°</v>
      </c>
      <c r="D169" s="5" t="str">
        <f t="shared" ref="D169:D189" si="6">$D$168</f>
        <v>[tys. zł/szt.]</v>
      </c>
      <c r="E169" s="148" t="str">
        <v/>
      </c>
      <c r="F169" s="274"/>
      <c r="G169" s="274"/>
      <c r="H169" s="685"/>
      <c r="I169" s="685"/>
    </row>
    <row r="170" spans="1:9">
      <c r="A170" s="685"/>
      <c r="B170" s="635" t="str">
        <v>38</v>
      </c>
      <c r="C170" s="260" t="str">
        <v>3000 &lt; Q[m³/h]</v>
      </c>
      <c r="D170" s="6" t="str">
        <f t="shared" si="6"/>
        <v>[tys. zł/szt.]</v>
      </c>
      <c r="E170" s="149" t="str">
        <v/>
      </c>
      <c r="F170" s="274"/>
      <c r="G170" s="274"/>
      <c r="H170" s="685"/>
      <c r="I170" s="685"/>
    </row>
    <row r="171" spans="1:9">
      <c r="A171" s="685"/>
      <c r="B171" s="636" t="str">
        <v>39</v>
      </c>
      <c r="C171" s="261" t="str">
        <v>1000 &lt; Q[m³/h] ≤ 3000</v>
      </c>
      <c r="D171" s="7" t="str">
        <f t="shared" si="6"/>
        <v>[tys. zł/szt.]</v>
      </c>
      <c r="E171" s="150" t="str">
        <v/>
      </c>
      <c r="F171" s="274"/>
      <c r="G171" s="274"/>
      <c r="H171" s="685"/>
      <c r="I171" s="685"/>
    </row>
    <row r="172" spans="1:9">
      <c r="A172" s="685"/>
      <c r="B172" s="637" t="str">
        <v>40</v>
      </c>
      <c r="C172" s="269" t="str">
        <v>Q[m³/h] ≤ 1000</v>
      </c>
      <c r="D172" s="8" t="str">
        <f t="shared" si="6"/>
        <v>[tys. zł/szt.]</v>
      </c>
      <c r="E172" s="151" t="str">
        <v/>
      </c>
      <c r="F172" s="274"/>
      <c r="G172" s="274"/>
      <c r="H172" s="685"/>
      <c r="I172" s="685"/>
    </row>
    <row r="173" spans="1:9">
      <c r="A173" s="685"/>
      <c r="B173" s="638" t="str">
        <v>41</v>
      </c>
      <c r="C173" s="13" t="str">
        <v>B2. stacje redukcyjno-pomiarowe II°</v>
      </c>
      <c r="D173" s="9" t="str">
        <f t="shared" si="6"/>
        <v>[tys. zł/szt.]</v>
      </c>
      <c r="E173" s="152" t="str">
        <v/>
      </c>
      <c r="F173" s="274"/>
      <c r="G173" s="274"/>
      <c r="H173" s="685"/>
      <c r="I173" s="685"/>
    </row>
    <row r="174" spans="1:9">
      <c r="A174" s="685"/>
      <c r="B174" s="635" t="str">
        <v>42</v>
      </c>
      <c r="C174" s="260" t="str">
        <v>1000 &lt; Q[m³/h]</v>
      </c>
      <c r="D174" s="6" t="str">
        <f t="shared" si="6"/>
        <v>[tys. zł/szt.]</v>
      </c>
      <c r="E174" s="149" t="str">
        <v/>
      </c>
      <c r="F174" s="274"/>
      <c r="G174" s="274"/>
      <c r="H174" s="685"/>
      <c r="I174" s="685"/>
    </row>
    <row r="175" spans="1:9">
      <c r="A175" s="685"/>
      <c r="B175" s="636" t="str">
        <v>43</v>
      </c>
      <c r="C175" s="262" t="str">
        <v>300 &lt; Q[m³/h] ≤ 1000</v>
      </c>
      <c r="D175" s="7" t="str">
        <f t="shared" si="6"/>
        <v>[tys. zł/szt.]</v>
      </c>
      <c r="E175" s="150" t="str">
        <v/>
      </c>
      <c r="F175" s="274"/>
      <c r="G175" s="274"/>
      <c r="H175" s="685"/>
      <c r="I175" s="685"/>
    </row>
    <row r="176" spans="1:9">
      <c r="A176" s="685"/>
      <c r="B176" s="637" t="str">
        <v>44</v>
      </c>
      <c r="C176" s="269" t="str">
        <v>Q[m³/h] ≤ 300</v>
      </c>
      <c r="D176" s="8" t="str">
        <f t="shared" si="6"/>
        <v>[tys. zł/szt.]</v>
      </c>
      <c r="E176" s="151" t="str">
        <v/>
      </c>
      <c r="F176" s="274"/>
      <c r="G176" s="274"/>
      <c r="H176" s="685"/>
      <c r="I176" s="685"/>
    </row>
    <row r="177" spans="1:9">
      <c r="A177" s="685"/>
      <c r="B177" s="638" t="str">
        <v>45</v>
      </c>
      <c r="C177" s="13" t="str">
        <v>B3. stacje LNG</v>
      </c>
      <c r="D177" s="9" t="str">
        <f t="shared" si="6"/>
        <v>[tys. zł/szt.]</v>
      </c>
      <c r="E177" s="152" t="str">
        <v/>
      </c>
      <c r="F177" s="274"/>
      <c r="G177" s="274"/>
      <c r="H177" s="685"/>
      <c r="I177" s="685"/>
    </row>
    <row r="178" spans="1:9">
      <c r="A178" s="685"/>
      <c r="B178" s="635" t="str">
        <v>46</v>
      </c>
      <c r="C178" s="260" t="str">
        <v>1000 &lt; Q[m³/h]</v>
      </c>
      <c r="D178" s="6" t="str">
        <f t="shared" si="6"/>
        <v>[tys. zł/szt.]</v>
      </c>
      <c r="E178" s="149" t="str">
        <v/>
      </c>
      <c r="F178" s="274"/>
      <c r="G178" s="274"/>
      <c r="H178" s="685"/>
      <c r="I178" s="685"/>
    </row>
    <row r="179" spans="1:9">
      <c r="A179" s="685"/>
      <c r="B179" s="636" t="str">
        <v>47</v>
      </c>
      <c r="C179" s="262" t="str">
        <v>300 &lt; Q[m³/h] ≤ 1000</v>
      </c>
      <c r="D179" s="7" t="str">
        <f t="shared" si="6"/>
        <v>[tys. zł/szt.]</v>
      </c>
      <c r="E179" s="150" t="str">
        <v/>
      </c>
      <c r="F179" s="274"/>
      <c r="G179" s="274"/>
      <c r="H179" s="685"/>
      <c r="I179" s="685"/>
    </row>
    <row r="180" spans="1:9">
      <c r="A180" s="685"/>
      <c r="B180" s="637" t="str">
        <v>48</v>
      </c>
      <c r="C180" s="269" t="str">
        <v>Q[m³/h] ≤ 300</v>
      </c>
      <c r="D180" s="8" t="str">
        <f t="shared" si="6"/>
        <v>[tys. zł/szt.]</v>
      </c>
      <c r="E180" s="151" t="str">
        <v/>
      </c>
      <c r="F180" s="274"/>
      <c r="G180" s="274"/>
      <c r="H180" s="685"/>
      <c r="I180" s="685"/>
    </row>
    <row r="181" spans="1:9">
      <c r="A181" s="685"/>
      <c r="B181" s="642" t="str">
        <v>49</v>
      </c>
      <c r="C181" s="14" t="str">
        <v>B4. tłocznie gazu</v>
      </c>
      <c r="D181" s="15" t="str">
        <f t="shared" si="6"/>
        <v>[tys. zł/szt.]</v>
      </c>
      <c r="E181" s="152" t="str">
        <v/>
      </c>
      <c r="F181" s="274"/>
      <c r="G181" s="274"/>
      <c r="H181" s="685"/>
      <c r="I181" s="685"/>
    </row>
    <row r="182" spans="1:9" ht="16.5" thickBot="1">
      <c r="A182" s="685"/>
      <c r="B182" s="643" t="str">
        <v>50</v>
      </c>
      <c r="C182" s="16" t="str">
        <v>B5. węzły</v>
      </c>
      <c r="D182" s="17" t="str">
        <f t="shared" si="6"/>
        <v>[tys. zł/szt.]</v>
      </c>
      <c r="E182" s="154" t="str">
        <v/>
      </c>
      <c r="F182" s="274"/>
      <c r="G182" s="274"/>
      <c r="H182" s="685"/>
      <c r="I182" s="685"/>
    </row>
    <row r="183" spans="1:9" ht="16.5" thickBot="1">
      <c r="A183" s="685"/>
      <c r="B183" s="641" t="str">
        <v>51</v>
      </c>
      <c r="C183" s="1" t="str">
        <v>C. GAZOMIERZE I UKŁADY POMIAROWE</v>
      </c>
      <c r="D183" s="2" t="str">
        <f t="shared" si="6"/>
        <v>[tys. zł/szt.]</v>
      </c>
      <c r="E183" s="146" t="str">
        <v/>
      </c>
      <c r="F183" s="685"/>
      <c r="G183" s="685"/>
      <c r="H183" s="685"/>
      <c r="I183" s="685"/>
    </row>
    <row r="184" spans="1:9">
      <c r="A184" s="685"/>
      <c r="B184" s="634" t="str">
        <v>52</v>
      </c>
      <c r="C184" s="12" t="str">
        <v>C1. Gazomierze miechowe</v>
      </c>
      <c r="D184" s="5" t="str">
        <f t="shared" si="6"/>
        <v>[tys. zł/szt.]</v>
      </c>
      <c r="E184" s="148" t="str">
        <v/>
      </c>
      <c r="F184" s="685"/>
      <c r="G184" s="685"/>
      <c r="H184" s="685"/>
      <c r="I184" s="685"/>
    </row>
    <row r="185" spans="1:9">
      <c r="A185" s="685"/>
      <c r="B185" s="635" t="str">
        <v>53</v>
      </c>
      <c r="C185" s="263" t="str">
        <v>G1.6 ÷ G6 (nowe)</v>
      </c>
      <c r="D185" s="6" t="str">
        <f t="shared" si="6"/>
        <v>[tys. zł/szt.]</v>
      </c>
      <c r="E185" s="149" t="str">
        <v/>
      </c>
      <c r="F185" s="685"/>
      <c r="G185" s="685"/>
      <c r="H185" s="685"/>
      <c r="I185" s="685"/>
    </row>
    <row r="186" spans="1:9">
      <c r="A186" s="685"/>
      <c r="B186" s="640" t="str">
        <v>54</v>
      </c>
      <c r="C186" s="266" t="str">
        <v>G10 ÷ G650 (nowe)</v>
      </c>
      <c r="D186" s="267" t="str">
        <f t="shared" si="6"/>
        <v>[tys. zł/szt.]</v>
      </c>
      <c r="E186" s="268" t="str">
        <v/>
      </c>
      <c r="F186" s="685"/>
      <c r="G186" s="685"/>
      <c r="H186" s="685"/>
      <c r="I186" s="685"/>
    </row>
    <row r="187" spans="1:9">
      <c r="A187" s="685"/>
      <c r="B187" s="638" t="str">
        <v>55</v>
      </c>
      <c r="C187" s="13" t="str">
        <v>C2. Gazomierze turbinowe</v>
      </c>
      <c r="D187" s="9" t="str">
        <f t="shared" si="6"/>
        <v>[tys. zł/szt.]</v>
      </c>
      <c r="E187" s="152" t="str">
        <v/>
      </c>
      <c r="F187" s="685"/>
      <c r="G187" s="685"/>
      <c r="H187" s="685"/>
      <c r="I187" s="685"/>
    </row>
    <row r="188" spans="1:9">
      <c r="A188" s="685"/>
      <c r="B188" s="638" t="str">
        <v>56</v>
      </c>
      <c r="C188" s="13" t="str">
        <v>C3. Gazomierze rotorowe</v>
      </c>
      <c r="D188" s="9" t="str">
        <f t="shared" si="6"/>
        <v>[tys. zł/szt.]</v>
      </c>
      <c r="E188" s="152" t="str">
        <v/>
      </c>
      <c r="F188" s="685"/>
      <c r="G188" s="685"/>
      <c r="H188" s="685"/>
      <c r="I188" s="685"/>
    </row>
    <row r="189" spans="1:9" ht="16.5" thickBot="1">
      <c r="A189" s="685"/>
      <c r="B189" s="643" t="str">
        <v>57</v>
      </c>
      <c r="C189" s="16" t="str">
        <v xml:space="preserve">C4. Inne </v>
      </c>
      <c r="D189" s="17" t="str">
        <f t="shared" si="6"/>
        <v>[tys. zł/szt.]</v>
      </c>
      <c r="E189" s="154" t="str">
        <v/>
      </c>
      <c r="F189" s="685"/>
      <c r="G189" s="685"/>
      <c r="H189" s="685"/>
      <c r="I189" s="685"/>
    </row>
    <row r="190" spans="1:9">
      <c r="A190" s="685"/>
      <c r="B190" s="685"/>
      <c r="C190" s="685"/>
      <c r="D190" s="685"/>
      <c r="E190" s="685"/>
      <c r="F190" s="685"/>
      <c r="G190" s="685"/>
      <c r="H190" s="685"/>
      <c r="I190" s="685"/>
    </row>
    <row r="191" spans="1:9">
      <c r="A191" s="685"/>
      <c r="B191" s="685"/>
      <c r="C191" s="685"/>
      <c r="D191" s="685"/>
      <c r="E191" s="685"/>
      <c r="F191" s="685"/>
      <c r="G191" s="685"/>
      <c r="H191" s="685"/>
      <c r="I191" s="685"/>
    </row>
  </sheetData>
  <protectedRanges>
    <protectedRange sqref="E9" name="Tabela 3A_1_2_2"/>
    <protectedRange sqref="E71" name="Tabela 3A_1_2_4"/>
    <protectedRange sqref="E133" name="Tabela 3A_1_2_6"/>
  </protectedRanges>
  <mergeCells count="13">
    <mergeCell ref="B2:I2"/>
    <mergeCell ref="C3:I3"/>
    <mergeCell ref="C4:I4"/>
    <mergeCell ref="C5:I5"/>
    <mergeCell ref="B7:B8"/>
    <mergeCell ref="C7:D8"/>
    <mergeCell ref="C133:D133"/>
    <mergeCell ref="C9:D9"/>
    <mergeCell ref="B69:B70"/>
    <mergeCell ref="C69:D70"/>
    <mergeCell ref="C71:D71"/>
    <mergeCell ref="B131:B132"/>
    <mergeCell ref="C131:D132"/>
  </mergeCells>
  <hyperlinks>
    <hyperlink ref="C1" location="Spis!B7" display="Spis!B7"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67">
    <pageSetUpPr fitToPage="1"/>
  </sheetPr>
  <dimension ref="A1:S2067"/>
  <sheetViews>
    <sheetView zoomScale="90" zoomScaleNormal="90" workbookViewId="0">
      <pane ySplit="6" topLeftCell="A7" activePane="bottomLeft" state="frozen"/>
      <selection pane="bottomLeft" activeCell="B2" sqref="B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5.77734375" style="78" customWidth="1"/>
    <col min="13" max="14" width="15.77734375" style="78" hidden="1" customWidth="1"/>
    <col min="15" max="15" width="7.33203125" style="78" hidden="1" customWidth="1"/>
    <col min="16" max="16" width="0" style="78" hidden="1" customWidth="1"/>
    <col min="17" max="16384" width="15.77734375" style="78"/>
  </cols>
  <sheetData>
    <row r="1" spans="1:19">
      <c r="A1" s="898"/>
      <c r="B1" s="898"/>
      <c r="C1" s="925" t="s">
        <v>9</v>
      </c>
      <c r="D1" s="899"/>
      <c r="E1" s="900"/>
      <c r="F1" s="900"/>
      <c r="G1" s="901"/>
      <c r="H1" s="902"/>
      <c r="I1" s="903"/>
      <c r="J1" s="880"/>
      <c r="K1" s="880"/>
      <c r="L1" s="880"/>
      <c r="M1" s="880"/>
    </row>
    <row r="2" spans="1:19" s="109" customFormat="1" ht="24.95" customHeight="1">
      <c r="A2" s="904"/>
      <c r="B2" s="932" t="s">
        <v>17</v>
      </c>
      <c r="C2" s="932"/>
      <c r="D2" s="904"/>
      <c r="E2" s="904"/>
      <c r="F2" s="904"/>
      <c r="G2" s="904"/>
      <c r="H2" s="891"/>
      <c r="I2" s="859"/>
      <c r="J2" s="860"/>
      <c r="K2" s="853"/>
      <c r="L2" s="853"/>
      <c r="M2" s="853"/>
    </row>
    <row r="3" spans="1:19" ht="15" customHeight="1">
      <c r="A3" s="898"/>
      <c r="B3" s="914" t="s">
        <v>13</v>
      </c>
      <c r="C3" s="1147" t="s">
        <v>19</v>
      </c>
      <c r="D3" s="1148"/>
      <c r="E3" s="1148"/>
      <c r="F3" s="1148"/>
      <c r="G3" s="1148"/>
      <c r="H3" s="1118"/>
      <c r="I3" s="905"/>
      <c r="J3" s="906"/>
      <c r="K3" s="906"/>
      <c r="L3" s="880"/>
      <c r="M3" s="880"/>
    </row>
    <row r="4" spans="1:19" ht="15" customHeight="1">
      <c r="A4" s="898"/>
      <c r="B4" s="915" t="s">
        <v>27</v>
      </c>
      <c r="C4" s="1147" t="s">
        <v>177</v>
      </c>
      <c r="D4" s="1148"/>
      <c r="E4" s="1148"/>
      <c r="F4" s="1148"/>
      <c r="G4" s="1148"/>
      <c r="H4" s="1063"/>
      <c r="I4" s="903"/>
      <c r="J4" s="880"/>
      <c r="K4" s="880"/>
      <c r="L4" s="880"/>
      <c r="M4" s="880"/>
    </row>
    <row r="5" spans="1:19" ht="15" customHeight="1">
      <c r="A5" s="880"/>
      <c r="B5" s="897" t="s">
        <v>28</v>
      </c>
      <c r="C5" s="1116" t="s">
        <v>104</v>
      </c>
      <c r="D5" s="1116"/>
      <c r="E5" s="1116"/>
      <c r="F5" s="1116"/>
      <c r="G5" s="1116"/>
      <c r="H5" s="1063"/>
      <c r="I5" s="903"/>
      <c r="J5" s="880"/>
      <c r="K5" s="880"/>
      <c r="L5" s="880"/>
      <c r="M5" s="880"/>
    </row>
    <row r="6" spans="1:19" ht="50.1" customHeight="1">
      <c r="A6" s="880"/>
      <c r="B6" s="897" t="s">
        <v>35</v>
      </c>
      <c r="C6" s="1116" t="s">
        <v>175</v>
      </c>
      <c r="D6" s="1120"/>
      <c r="E6" s="1120"/>
      <c r="F6" s="1120"/>
      <c r="G6" s="1120"/>
      <c r="H6" s="1063"/>
      <c r="I6" s="903"/>
      <c r="J6" s="880"/>
      <c r="K6" s="880"/>
      <c r="L6" s="880"/>
      <c r="M6" s="880"/>
    </row>
    <row r="7" spans="1:19" s="79" customFormat="1" ht="30" customHeight="1" thickBot="1">
      <c r="A7" s="907"/>
      <c r="B7" s="908" t="s">
        <v>247</v>
      </c>
      <c r="C7" s="907"/>
      <c r="D7" s="909"/>
      <c r="E7" s="907"/>
      <c r="F7" s="910"/>
      <c r="G7" s="911"/>
      <c r="H7" s="912"/>
      <c r="I7" s="912"/>
      <c r="J7" s="913"/>
      <c r="K7" s="913"/>
      <c r="L7" s="913"/>
      <c r="M7" s="913"/>
    </row>
    <row r="8" spans="1:19" ht="20.100000000000001" customHeight="1" thickBot="1">
      <c r="A8" s="880"/>
      <c r="B8" s="1136" t="str">
        <f>'Tab.G1.1-4'!$B$8</f>
        <v>LP</v>
      </c>
      <c r="C8" s="1103" t="str">
        <f>Tab.G6!$C$9</f>
        <v>Nazwa projektu inwestycyjnego</v>
      </c>
      <c r="D8" s="1104" t="str">
        <f>Tab.G6!$D$9</f>
        <v>Lokalizacja projektu inwestycyjnego</v>
      </c>
      <c r="E8" s="1103" t="str">
        <f>Tab.G6!$E$9</f>
        <v>Cel realizacji projektu</v>
      </c>
      <c r="F8" s="1103" t="str">
        <f>Tab.G6!$F$9</f>
        <v>Spodziewane efekty, wynikające z realizacji projektu</v>
      </c>
      <c r="G8" s="1104" t="str">
        <f>Tab.G6!$G$9</f>
        <v>Wartość dla poszczególnych spodziewanych efektów</v>
      </c>
      <c r="H8" s="1104" t="str">
        <f>"Rodzaj i zakres powiązania projektu z główną działalnością"</f>
        <v>Rodzaj i zakres powiązania projektu z główną działalnością</v>
      </c>
      <c r="I8" s="1103" t="str">
        <f>Tab.G6!$H$9</f>
        <v>Zakres prac</v>
      </c>
      <c r="J8" s="627" t="str">
        <f>'Tab.G1.1-4'!$E$8</f>
        <v>Wykonanie</v>
      </c>
      <c r="K8" s="1101" t="str">
        <f>Tab.G6!$J$9</f>
        <v>UWAGI</v>
      </c>
      <c r="L8" s="878"/>
      <c r="M8" s="878"/>
      <c r="N8" s="76"/>
      <c r="O8" s="76"/>
      <c r="P8" s="76"/>
      <c r="Q8" s="76"/>
      <c r="R8" s="76"/>
      <c r="S8" s="76"/>
    </row>
    <row r="9" spans="1:19" ht="20.100000000000001" customHeight="1" thickBot="1">
      <c r="A9" s="880"/>
      <c r="B9" s="1137"/>
      <c r="C9" s="1103"/>
      <c r="D9" s="1144"/>
      <c r="E9" s="1103"/>
      <c r="F9" s="1103"/>
      <c r="G9" s="1106"/>
      <c r="H9" s="1106"/>
      <c r="I9" s="1103"/>
      <c r="J9" s="628">
        <f>Rok_ZPR</f>
        <v>2023</v>
      </c>
      <c r="K9" s="1102"/>
      <c r="L9" s="860"/>
      <c r="M9" s="860"/>
      <c r="N9" s="76"/>
      <c r="O9" s="76"/>
      <c r="P9" s="76"/>
      <c r="Q9" s="76"/>
      <c r="R9" s="76"/>
      <c r="S9" s="76"/>
    </row>
    <row r="10" spans="1:19" ht="20.100000000000001" customHeight="1">
      <c r="A10" s="880"/>
      <c r="B10" s="1138"/>
      <c r="C10" s="1104"/>
      <c r="D10" s="1144"/>
      <c r="E10" s="1104"/>
      <c r="F10" s="1104"/>
      <c r="G10" s="1106"/>
      <c r="H10" s="1106"/>
      <c r="I10" s="1104"/>
      <c r="J10" s="628" t="str">
        <f>'Tab.G1.1-4'!$D$11</f>
        <v>[tys. zł]</v>
      </c>
      <c r="K10" s="1102"/>
      <c r="L10" s="891"/>
      <c r="M10" s="891"/>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92"/>
      <c r="N11" s="76"/>
      <c r="O11" s="76"/>
      <c r="P11" s="76"/>
      <c r="Q11" s="76"/>
      <c r="R11" s="76"/>
      <c r="S11" s="76"/>
    </row>
    <row r="12" spans="1:19" s="82" customFormat="1" ht="16.5" thickBot="1">
      <c r="A12" s="900"/>
      <c r="B12" s="87"/>
      <c r="C12" s="110"/>
      <c r="D12" s="88"/>
      <c r="E12" s="87"/>
      <c r="F12" s="87"/>
      <c r="G12" s="88"/>
      <c r="H12" s="88"/>
      <c r="I12" s="88"/>
      <c r="J12" s="89"/>
      <c r="K12" s="89"/>
      <c r="L12" s="892"/>
      <c r="M12" s="892"/>
    </row>
    <row r="13" spans="1:19" s="82" customFormat="1" ht="12.75" customHeight="1">
      <c r="A13" s="900"/>
      <c r="B13" s="1123">
        <v>1</v>
      </c>
      <c r="C13" s="1143"/>
      <c r="D13" s="1125"/>
      <c r="E13" s="1125" t="s">
        <v>18</v>
      </c>
      <c r="F13" s="1130" t="str">
        <f>VLOOKUP(E13,$N$13:$O$17,2,0)</f>
        <v>-</v>
      </c>
      <c r="G13" s="92"/>
      <c r="H13" s="1125"/>
      <c r="I13" s="1125"/>
      <c r="J13" s="1134"/>
      <c r="K13" s="1134"/>
      <c r="L13" s="892"/>
      <c r="M13" s="892"/>
      <c r="N13" s="93" t="s">
        <v>20</v>
      </c>
      <c r="O13" s="94" t="s">
        <v>21</v>
      </c>
    </row>
    <row r="14" spans="1:19" s="82" customFormat="1" ht="12.75" customHeight="1">
      <c r="A14" s="900"/>
      <c r="B14" s="1123"/>
      <c r="C14" s="1127"/>
      <c r="D14" s="1125"/>
      <c r="E14" s="1125"/>
      <c r="F14" s="1130"/>
      <c r="G14" s="95"/>
      <c r="H14" s="1125"/>
      <c r="I14" s="1125"/>
      <c r="J14" s="1134"/>
      <c r="K14" s="1134"/>
      <c r="L14" s="892"/>
      <c r="M14" s="892"/>
      <c r="N14" s="96" t="s">
        <v>22</v>
      </c>
      <c r="O14" s="97" t="s">
        <v>59</v>
      </c>
    </row>
    <row r="15" spans="1:19" s="82" customFormat="1" ht="12.75" customHeight="1">
      <c r="A15" s="900"/>
      <c r="B15" s="1124"/>
      <c r="C15" s="1128"/>
      <c r="D15" s="1126"/>
      <c r="E15" s="1126"/>
      <c r="F15" s="1132"/>
      <c r="G15" s="100"/>
      <c r="H15" s="1126"/>
      <c r="I15" s="1126"/>
      <c r="J15" s="1135"/>
      <c r="K15" s="1135"/>
      <c r="L15" s="892"/>
      <c r="M15" s="892"/>
      <c r="N15" s="96" t="s">
        <v>23</v>
      </c>
      <c r="O15" s="97" t="s">
        <v>24</v>
      </c>
    </row>
    <row r="16" spans="1:19" s="82" customFormat="1" ht="12.75" customHeight="1">
      <c r="A16" s="900"/>
      <c r="B16" s="1123">
        <v>2</v>
      </c>
      <c r="C16" s="1127"/>
      <c r="D16" s="1125"/>
      <c r="E16" s="1125" t="s">
        <v>18</v>
      </c>
      <c r="F16" s="1130" t="str">
        <f>VLOOKUP(E16,$N$13:$O$17,2,0)</f>
        <v>-</v>
      </c>
      <c r="G16" s="92"/>
      <c r="H16" s="1125"/>
      <c r="I16" s="1125"/>
      <c r="J16" s="1133"/>
      <c r="K16" s="1133"/>
      <c r="L16" s="892"/>
      <c r="M16" s="892"/>
      <c r="N16" s="96" t="s">
        <v>25</v>
      </c>
      <c r="O16" s="97" t="s">
        <v>26</v>
      </c>
    </row>
    <row r="17" spans="1:15" s="82" customFormat="1" ht="12.75" customHeight="1" thickBot="1">
      <c r="A17" s="900"/>
      <c r="B17" s="1123"/>
      <c r="C17" s="1127"/>
      <c r="D17" s="1125"/>
      <c r="E17" s="1125"/>
      <c r="F17" s="1130"/>
      <c r="G17" s="95"/>
      <c r="H17" s="1125"/>
      <c r="I17" s="1125"/>
      <c r="J17" s="1134"/>
      <c r="K17" s="1134"/>
      <c r="L17" s="892"/>
      <c r="M17" s="892"/>
      <c r="N17" s="101" t="s">
        <v>18</v>
      </c>
      <c r="O17" s="102" t="s">
        <v>18</v>
      </c>
    </row>
    <row r="18" spans="1:15" s="82" customFormat="1" ht="12.75" customHeight="1">
      <c r="A18" s="900"/>
      <c r="B18" s="1124"/>
      <c r="C18" s="1128"/>
      <c r="D18" s="1126"/>
      <c r="E18" s="1126"/>
      <c r="F18" s="1132"/>
      <c r="G18" s="100"/>
      <c r="H18" s="1126"/>
      <c r="I18" s="1126"/>
      <c r="J18" s="1135"/>
      <c r="K18" s="1135"/>
      <c r="L18" s="892"/>
      <c r="M18" s="892"/>
      <c r="N18" s="103"/>
      <c r="O18" s="104"/>
    </row>
    <row r="19" spans="1:15" s="82" customFormat="1" ht="12.75" customHeight="1">
      <c r="A19" s="900"/>
      <c r="B19" s="1123">
        <v>3</v>
      </c>
      <c r="C19" s="1127"/>
      <c r="D19" s="1125"/>
      <c r="E19" s="1125" t="s">
        <v>18</v>
      </c>
      <c r="F19" s="1130" t="str">
        <f>VLOOKUP(E19,$N$13:$O$17,2,0)</f>
        <v>-</v>
      </c>
      <c r="G19" s="92"/>
      <c r="H19" s="1125"/>
      <c r="I19" s="1125"/>
      <c r="J19" s="1133"/>
      <c r="K19" s="1133"/>
      <c r="L19" s="892"/>
      <c r="M19" s="892"/>
      <c r="N19" s="103"/>
      <c r="O19" s="104"/>
    </row>
    <row r="20" spans="1:15" s="82" customFormat="1" ht="12.75" customHeight="1">
      <c r="A20" s="900"/>
      <c r="B20" s="1123"/>
      <c r="C20" s="1127"/>
      <c r="D20" s="1125"/>
      <c r="E20" s="1125"/>
      <c r="F20" s="1130"/>
      <c r="G20" s="95"/>
      <c r="H20" s="1125"/>
      <c r="I20" s="1125"/>
      <c r="J20" s="1134"/>
      <c r="K20" s="1134"/>
      <c r="L20" s="892"/>
      <c r="M20" s="892"/>
      <c r="N20" s="103"/>
      <c r="O20" s="104"/>
    </row>
    <row r="21" spans="1:15" s="82" customFormat="1" ht="12.75" customHeight="1">
      <c r="A21" s="900"/>
      <c r="B21" s="1124"/>
      <c r="C21" s="1128"/>
      <c r="D21" s="1126"/>
      <c r="E21" s="1126"/>
      <c r="F21" s="1132"/>
      <c r="G21" s="100"/>
      <c r="H21" s="1126"/>
      <c r="I21" s="1126"/>
      <c r="J21" s="1135"/>
      <c r="K21" s="1135"/>
      <c r="L21" s="892"/>
      <c r="M21" s="892"/>
      <c r="N21" s="103"/>
      <c r="O21" s="104"/>
    </row>
    <row r="22" spans="1:15" s="82" customFormat="1" ht="12.75" customHeight="1">
      <c r="A22" s="900"/>
      <c r="B22" s="1123">
        <v>4</v>
      </c>
      <c r="C22" s="1127"/>
      <c r="D22" s="1125"/>
      <c r="E22" s="1125" t="s">
        <v>18</v>
      </c>
      <c r="F22" s="1130" t="str">
        <f>VLOOKUP(E22,$N$13:$O$17,2,0)</f>
        <v>-</v>
      </c>
      <c r="G22" s="92"/>
      <c r="H22" s="1125"/>
      <c r="I22" s="1125"/>
      <c r="J22" s="1133"/>
      <c r="K22" s="1133"/>
      <c r="L22" s="892"/>
      <c r="M22" s="892"/>
      <c r="N22" s="103"/>
      <c r="O22" s="104"/>
    </row>
    <row r="23" spans="1:15" s="82" customFormat="1" ht="12.75" customHeight="1">
      <c r="A23" s="900"/>
      <c r="B23" s="1123"/>
      <c r="C23" s="1127"/>
      <c r="D23" s="1125"/>
      <c r="E23" s="1125"/>
      <c r="F23" s="1130"/>
      <c r="G23" s="95"/>
      <c r="H23" s="1125"/>
      <c r="I23" s="1125"/>
      <c r="J23" s="1134"/>
      <c r="K23" s="1134"/>
      <c r="L23" s="892"/>
      <c r="M23" s="892"/>
      <c r="N23" s="103"/>
      <c r="O23" s="104"/>
    </row>
    <row r="24" spans="1:15" s="82" customFormat="1" ht="12.75" customHeight="1">
      <c r="A24" s="900"/>
      <c r="B24" s="1124"/>
      <c r="C24" s="1128"/>
      <c r="D24" s="1126"/>
      <c r="E24" s="1126"/>
      <c r="F24" s="1132"/>
      <c r="G24" s="100"/>
      <c r="H24" s="1126"/>
      <c r="I24" s="1126"/>
      <c r="J24" s="1135"/>
      <c r="K24" s="1135"/>
      <c r="L24" s="892"/>
      <c r="M24" s="892"/>
      <c r="N24" s="103"/>
      <c r="O24" s="104"/>
    </row>
    <row r="25" spans="1:15" s="82" customFormat="1" ht="12.75" customHeight="1">
      <c r="A25" s="900"/>
      <c r="B25" s="1123">
        <v>5</v>
      </c>
      <c r="C25" s="1127"/>
      <c r="D25" s="1125"/>
      <c r="E25" s="1125" t="s">
        <v>18</v>
      </c>
      <c r="F25" s="1130" t="str">
        <f>VLOOKUP(E25,$N$13:$O$17,2,0)</f>
        <v>-</v>
      </c>
      <c r="G25" s="92"/>
      <c r="H25" s="1125"/>
      <c r="I25" s="1125"/>
      <c r="J25" s="1133"/>
      <c r="K25" s="1133"/>
      <c r="L25" s="892"/>
      <c r="M25" s="892"/>
      <c r="N25" s="103"/>
      <c r="O25" s="104"/>
    </row>
    <row r="26" spans="1:15" s="82" customFormat="1" ht="12.75" customHeight="1">
      <c r="A26" s="900"/>
      <c r="B26" s="1123"/>
      <c r="C26" s="1127"/>
      <c r="D26" s="1125"/>
      <c r="E26" s="1125"/>
      <c r="F26" s="1130"/>
      <c r="G26" s="95"/>
      <c r="H26" s="1125"/>
      <c r="I26" s="1125"/>
      <c r="J26" s="1134"/>
      <c r="K26" s="1134"/>
      <c r="L26" s="892"/>
      <c r="M26" s="892"/>
      <c r="N26" s="103"/>
      <c r="O26" s="104"/>
    </row>
    <row r="27" spans="1:15" s="82" customFormat="1" ht="12.75" customHeight="1">
      <c r="A27" s="900"/>
      <c r="B27" s="1124"/>
      <c r="C27" s="1128"/>
      <c r="D27" s="1126"/>
      <c r="E27" s="1126"/>
      <c r="F27" s="1132"/>
      <c r="G27" s="100"/>
      <c r="H27" s="1126"/>
      <c r="I27" s="1126"/>
      <c r="J27" s="1135"/>
      <c r="K27" s="1135"/>
      <c r="L27" s="892"/>
      <c r="M27" s="892"/>
      <c r="N27" s="103"/>
      <c r="O27" s="104"/>
    </row>
    <row r="28" spans="1:15" s="82" customFormat="1" ht="12.75" customHeight="1">
      <c r="A28" s="900"/>
      <c r="B28" s="1123">
        <v>6</v>
      </c>
      <c r="C28" s="1127"/>
      <c r="D28" s="1125"/>
      <c r="E28" s="1125" t="s">
        <v>18</v>
      </c>
      <c r="F28" s="1130" t="str">
        <f>VLOOKUP(E28,$N$13:$O$17,2,0)</f>
        <v>-</v>
      </c>
      <c r="G28" s="92"/>
      <c r="H28" s="1125"/>
      <c r="I28" s="1125"/>
      <c r="J28" s="1133"/>
      <c r="K28" s="1133"/>
      <c r="L28" s="892"/>
      <c r="M28" s="892"/>
      <c r="N28" s="103"/>
      <c r="O28" s="104"/>
    </row>
    <row r="29" spans="1:15" s="82" customFormat="1" ht="12.75" customHeight="1">
      <c r="A29" s="900"/>
      <c r="B29" s="1123"/>
      <c r="C29" s="1127"/>
      <c r="D29" s="1125"/>
      <c r="E29" s="1125"/>
      <c r="F29" s="1130"/>
      <c r="G29" s="95"/>
      <c r="H29" s="1125"/>
      <c r="I29" s="1125"/>
      <c r="J29" s="1134"/>
      <c r="K29" s="1134"/>
      <c r="L29" s="892"/>
      <c r="M29" s="892"/>
      <c r="N29" s="103"/>
      <c r="O29" s="104"/>
    </row>
    <row r="30" spans="1:15" s="82" customFormat="1" ht="12.75" customHeight="1">
      <c r="A30" s="900"/>
      <c r="B30" s="1124"/>
      <c r="C30" s="1128"/>
      <c r="D30" s="1126"/>
      <c r="E30" s="1126"/>
      <c r="F30" s="1132"/>
      <c r="G30" s="100"/>
      <c r="H30" s="1126"/>
      <c r="I30" s="1126"/>
      <c r="J30" s="1135"/>
      <c r="K30" s="1135"/>
      <c r="L30" s="892"/>
      <c r="M30" s="892"/>
      <c r="N30" s="103"/>
      <c r="O30" s="104"/>
    </row>
    <row r="31" spans="1:15" s="82" customFormat="1" ht="12.75" customHeight="1">
      <c r="A31" s="900"/>
      <c r="B31" s="1139">
        <v>7</v>
      </c>
      <c r="C31" s="1139"/>
      <c r="D31" s="1139"/>
      <c r="E31" s="1141" t="s">
        <v>18</v>
      </c>
      <c r="F31" s="1129" t="str">
        <f>VLOOKUP(E31,$N$13:$O$17,2,0)</f>
        <v>-</v>
      </c>
      <c r="G31" s="111"/>
      <c r="H31" s="1141"/>
      <c r="I31" s="1141"/>
      <c r="J31" s="1133"/>
      <c r="K31" s="1133"/>
      <c r="L31" s="892"/>
      <c r="M31" s="892"/>
      <c r="N31" s="103"/>
      <c r="O31" s="104"/>
    </row>
    <row r="32" spans="1:15" s="82" customFormat="1" ht="12.75" customHeight="1">
      <c r="A32" s="900"/>
      <c r="B32" s="1123"/>
      <c r="C32" s="1123"/>
      <c r="D32" s="1123"/>
      <c r="E32" s="1125"/>
      <c r="F32" s="1130"/>
      <c r="G32" s="95"/>
      <c r="H32" s="1125"/>
      <c r="I32" s="1125"/>
      <c r="J32" s="1134"/>
      <c r="K32" s="1134"/>
      <c r="L32" s="892"/>
      <c r="M32" s="892"/>
      <c r="N32" s="103"/>
      <c r="O32" s="104"/>
    </row>
    <row r="33" spans="1:15" s="82" customFormat="1" ht="12.75" customHeight="1">
      <c r="A33" s="900"/>
      <c r="B33" s="1140"/>
      <c r="C33" s="1140"/>
      <c r="D33" s="1140"/>
      <c r="E33" s="1142"/>
      <c r="F33" s="1131"/>
      <c r="G33" s="99"/>
      <c r="H33" s="1142"/>
      <c r="I33" s="1142"/>
      <c r="J33" s="1131"/>
      <c r="K33" s="1131"/>
      <c r="L33" s="892"/>
      <c r="M33" s="892"/>
      <c r="N33" s="103"/>
      <c r="O33" s="104"/>
    </row>
    <row r="34" spans="1:15" s="82" customFormat="1" ht="12.75" customHeight="1">
      <c r="A34" s="900"/>
      <c r="B34" s="1123">
        <v>8</v>
      </c>
      <c r="C34" s="1127"/>
      <c r="D34" s="1125"/>
      <c r="E34" s="1125" t="s">
        <v>18</v>
      </c>
      <c r="F34" s="1130" t="str">
        <f>VLOOKUP(E34,$N$13:$O$17,2,0)</f>
        <v>-</v>
      </c>
      <c r="G34" s="92"/>
      <c r="H34" s="1125"/>
      <c r="I34" s="1125"/>
      <c r="J34" s="1134"/>
      <c r="K34" s="1134"/>
      <c r="L34" s="892"/>
      <c r="M34" s="892"/>
      <c r="N34" s="103"/>
      <c r="O34" s="104"/>
    </row>
    <row r="35" spans="1:15" s="82" customFormat="1" ht="12.75" customHeight="1">
      <c r="A35" s="900"/>
      <c r="B35" s="1123"/>
      <c r="C35" s="1127"/>
      <c r="D35" s="1125"/>
      <c r="E35" s="1125"/>
      <c r="F35" s="1130"/>
      <c r="G35" s="95"/>
      <c r="H35" s="1125"/>
      <c r="I35" s="1125"/>
      <c r="J35" s="1134"/>
      <c r="K35" s="1134"/>
      <c r="L35" s="892"/>
      <c r="M35" s="892"/>
      <c r="N35" s="103"/>
      <c r="O35" s="104"/>
    </row>
    <row r="36" spans="1:15" s="82" customFormat="1" ht="12.75" customHeight="1">
      <c r="A36" s="900"/>
      <c r="B36" s="1124"/>
      <c r="C36" s="1128"/>
      <c r="D36" s="1126"/>
      <c r="E36" s="1126"/>
      <c r="F36" s="1132"/>
      <c r="G36" s="100"/>
      <c r="H36" s="1126"/>
      <c r="I36" s="1126"/>
      <c r="J36" s="1135"/>
      <c r="K36" s="1135"/>
      <c r="L36" s="892"/>
      <c r="M36" s="892"/>
      <c r="N36" s="103"/>
      <c r="O36" s="104"/>
    </row>
    <row r="37" spans="1:15" s="82" customFormat="1" ht="12.75" customHeight="1">
      <c r="A37" s="900"/>
      <c r="B37" s="1123">
        <v>9</v>
      </c>
      <c r="C37" s="1127"/>
      <c r="D37" s="1125"/>
      <c r="E37" s="1125" t="s">
        <v>18</v>
      </c>
      <c r="F37" s="1130" t="str">
        <f>VLOOKUP(E37,$N$13:$O$17,2,0)</f>
        <v>-</v>
      </c>
      <c r="G37" s="92"/>
      <c r="H37" s="1125"/>
      <c r="I37" s="1125"/>
      <c r="J37" s="1133"/>
      <c r="K37" s="1133"/>
      <c r="L37" s="892"/>
      <c r="M37" s="892"/>
      <c r="N37" s="103"/>
      <c r="O37" s="104"/>
    </row>
    <row r="38" spans="1:15" s="82" customFormat="1" ht="12.75" customHeight="1">
      <c r="A38" s="900"/>
      <c r="B38" s="1123"/>
      <c r="C38" s="1127"/>
      <c r="D38" s="1125"/>
      <c r="E38" s="1125"/>
      <c r="F38" s="1130"/>
      <c r="G38" s="95"/>
      <c r="H38" s="1125"/>
      <c r="I38" s="1125"/>
      <c r="J38" s="1134"/>
      <c r="K38" s="1134"/>
      <c r="L38" s="892"/>
      <c r="M38" s="892"/>
      <c r="N38" s="103"/>
      <c r="O38" s="104"/>
    </row>
    <row r="39" spans="1:15" s="82" customFormat="1" ht="12.75" customHeight="1">
      <c r="A39" s="900"/>
      <c r="B39" s="1124"/>
      <c r="C39" s="1128"/>
      <c r="D39" s="1126"/>
      <c r="E39" s="1126"/>
      <c r="F39" s="1132"/>
      <c r="G39" s="100"/>
      <c r="H39" s="1126"/>
      <c r="I39" s="1126"/>
      <c r="J39" s="1135"/>
      <c r="K39" s="1135"/>
      <c r="L39" s="892"/>
      <c r="M39" s="892"/>
      <c r="N39" s="103"/>
      <c r="O39" s="104"/>
    </row>
    <row r="40" spans="1:15" s="82" customFormat="1" ht="12.75" customHeight="1">
      <c r="A40" s="900"/>
      <c r="B40" s="1123">
        <v>10</v>
      </c>
      <c r="C40" s="1127"/>
      <c r="D40" s="1125"/>
      <c r="E40" s="1125" t="s">
        <v>18</v>
      </c>
      <c r="F40" s="1130" t="str">
        <f>VLOOKUP(E40,$N$13:$O$17,2,0)</f>
        <v>-</v>
      </c>
      <c r="G40" s="92"/>
      <c r="H40" s="1125"/>
      <c r="I40" s="1125"/>
      <c r="J40" s="1133"/>
      <c r="K40" s="1133"/>
      <c r="L40" s="892"/>
      <c r="M40" s="892"/>
      <c r="N40" s="103"/>
      <c r="O40" s="104"/>
    </row>
    <row r="41" spans="1:15" s="82" customFormat="1" ht="12.75" customHeight="1">
      <c r="A41" s="900"/>
      <c r="B41" s="1123"/>
      <c r="C41" s="1127"/>
      <c r="D41" s="1125"/>
      <c r="E41" s="1125"/>
      <c r="F41" s="1130"/>
      <c r="G41" s="95"/>
      <c r="H41" s="1125"/>
      <c r="I41" s="1125"/>
      <c r="J41" s="1134"/>
      <c r="K41" s="1134"/>
      <c r="L41" s="892"/>
      <c r="M41" s="892"/>
      <c r="N41" s="103"/>
      <c r="O41" s="104"/>
    </row>
    <row r="42" spans="1:15" s="82" customFormat="1" ht="12.75" customHeight="1" thickBot="1">
      <c r="A42" s="900"/>
      <c r="B42" s="1124"/>
      <c r="C42" s="1128"/>
      <c r="D42" s="1126"/>
      <c r="E42" s="1126"/>
      <c r="F42" s="1132"/>
      <c r="G42" s="100"/>
      <c r="H42" s="1126"/>
      <c r="I42" s="1126"/>
      <c r="J42" s="1135"/>
      <c r="K42" s="1135"/>
      <c r="L42" s="892"/>
      <c r="M42" s="892"/>
      <c r="N42" s="103"/>
      <c r="O42" s="104"/>
    </row>
    <row r="43" spans="1:15" s="103" customFormat="1" ht="15.75" hidden="1" customHeight="1" outlineLevel="1">
      <c r="A43" s="916"/>
      <c r="B43" s="1123">
        <v>11</v>
      </c>
      <c r="C43" s="1127"/>
      <c r="D43" s="1125"/>
      <c r="E43" s="1125" t="s">
        <v>18</v>
      </c>
      <c r="F43" s="1130" t="str">
        <f>VLOOKUP(E43,$N$13:$O$17,2,0)</f>
        <v>-</v>
      </c>
      <c r="G43" s="92"/>
      <c r="H43" s="1125"/>
      <c r="I43" s="1125"/>
      <c r="J43" s="1133"/>
      <c r="K43" s="1133"/>
      <c r="L43" s="916"/>
      <c r="M43" s="916"/>
    </row>
    <row r="44" spans="1:15" s="103" customFormat="1" ht="15.75" hidden="1" customHeight="1" outlineLevel="1">
      <c r="A44" s="916"/>
      <c r="B44" s="1123"/>
      <c r="C44" s="1127"/>
      <c r="D44" s="1125"/>
      <c r="E44" s="1125"/>
      <c r="F44" s="1130"/>
      <c r="G44" s="95"/>
      <c r="H44" s="1125"/>
      <c r="I44" s="1125"/>
      <c r="J44" s="1134"/>
      <c r="K44" s="1134"/>
      <c r="L44" s="916"/>
      <c r="M44" s="916"/>
    </row>
    <row r="45" spans="1:15" s="80" customFormat="1" ht="15.75" hidden="1" customHeight="1" outlineLevel="1">
      <c r="A45" s="910"/>
      <c r="B45" s="1124"/>
      <c r="C45" s="1128"/>
      <c r="D45" s="1126"/>
      <c r="E45" s="1126"/>
      <c r="F45" s="1132"/>
      <c r="G45" s="100"/>
      <c r="H45" s="1126"/>
      <c r="I45" s="1126"/>
      <c r="J45" s="1135"/>
      <c r="K45" s="1135"/>
      <c r="L45" s="910"/>
      <c r="M45" s="910"/>
    </row>
    <row r="46" spans="1:15" s="80" customFormat="1" ht="15.75" hidden="1" customHeight="1" outlineLevel="1">
      <c r="A46" s="910"/>
      <c r="B46" s="1123">
        <v>12</v>
      </c>
      <c r="C46" s="1127"/>
      <c r="D46" s="1125"/>
      <c r="E46" s="1125" t="s">
        <v>18</v>
      </c>
      <c r="F46" s="1130" t="str">
        <f>VLOOKUP(E46,$N$13:$O$17,2,0)</f>
        <v>-</v>
      </c>
      <c r="G46" s="92"/>
      <c r="H46" s="1125"/>
      <c r="I46" s="1125"/>
      <c r="J46" s="1133"/>
      <c r="K46" s="1133"/>
      <c r="L46" s="910"/>
      <c r="M46" s="910"/>
    </row>
    <row r="47" spans="1:15" s="103" customFormat="1" ht="15.75" hidden="1" customHeight="1" outlineLevel="1">
      <c r="A47" s="916"/>
      <c r="B47" s="1123"/>
      <c r="C47" s="1127"/>
      <c r="D47" s="1125"/>
      <c r="E47" s="1125"/>
      <c r="F47" s="1130"/>
      <c r="G47" s="95"/>
      <c r="H47" s="1125"/>
      <c r="I47" s="1125"/>
      <c r="J47" s="1134"/>
      <c r="K47" s="1134"/>
      <c r="L47" s="916"/>
      <c r="M47" s="916"/>
    </row>
    <row r="48" spans="1:15" s="103" customFormat="1" ht="15.75" hidden="1" customHeight="1" outlineLevel="1">
      <c r="A48" s="916"/>
      <c r="B48" s="1124"/>
      <c r="C48" s="1128"/>
      <c r="D48" s="1126"/>
      <c r="E48" s="1126"/>
      <c r="F48" s="1132"/>
      <c r="G48" s="100"/>
      <c r="H48" s="1126"/>
      <c r="I48" s="1126"/>
      <c r="J48" s="1135"/>
      <c r="K48" s="1135"/>
      <c r="L48" s="916"/>
      <c r="M48" s="916"/>
    </row>
    <row r="49" spans="1:13" s="103" customFormat="1" ht="15.75" hidden="1" customHeight="1" outlineLevel="1">
      <c r="A49" s="916"/>
      <c r="B49" s="1123">
        <v>13</v>
      </c>
      <c r="C49" s="1127"/>
      <c r="D49" s="1125"/>
      <c r="E49" s="1125" t="s">
        <v>18</v>
      </c>
      <c r="F49" s="1130" t="str">
        <f>VLOOKUP(E49,$N$13:$O$17,2,0)</f>
        <v>-</v>
      </c>
      <c r="G49" s="92"/>
      <c r="H49" s="1125"/>
      <c r="I49" s="1125"/>
      <c r="J49" s="1133"/>
      <c r="K49" s="1133"/>
      <c r="L49" s="916"/>
      <c r="M49" s="916"/>
    </row>
    <row r="50" spans="1:13" s="103" customFormat="1" ht="15.75" hidden="1" customHeight="1" outlineLevel="1">
      <c r="A50" s="916"/>
      <c r="B50" s="1123"/>
      <c r="C50" s="1127"/>
      <c r="D50" s="1125"/>
      <c r="E50" s="1125"/>
      <c r="F50" s="1130"/>
      <c r="G50" s="95"/>
      <c r="H50" s="1125"/>
      <c r="I50" s="1125"/>
      <c r="J50" s="1134"/>
      <c r="K50" s="1134"/>
      <c r="L50" s="916"/>
      <c r="M50" s="916"/>
    </row>
    <row r="51" spans="1:13" s="103" customFormat="1" ht="15.75" hidden="1" customHeight="1" outlineLevel="1">
      <c r="A51" s="916"/>
      <c r="B51" s="1124"/>
      <c r="C51" s="1128"/>
      <c r="D51" s="1126"/>
      <c r="E51" s="1126"/>
      <c r="F51" s="1132"/>
      <c r="G51" s="100"/>
      <c r="H51" s="1126"/>
      <c r="I51" s="1126"/>
      <c r="J51" s="1135"/>
      <c r="K51" s="1135"/>
      <c r="L51" s="916"/>
      <c r="M51" s="916"/>
    </row>
    <row r="52" spans="1:13" s="103" customFormat="1" ht="15.75" hidden="1" customHeight="1" outlineLevel="1">
      <c r="A52" s="916"/>
      <c r="B52" s="1123">
        <v>14</v>
      </c>
      <c r="C52" s="1127"/>
      <c r="D52" s="1125"/>
      <c r="E52" s="1125" t="s">
        <v>18</v>
      </c>
      <c r="F52" s="1130" t="str">
        <f>VLOOKUP(E52,$N$13:$O$17,2,0)</f>
        <v>-</v>
      </c>
      <c r="G52" s="92"/>
      <c r="H52" s="1125"/>
      <c r="I52" s="1125"/>
      <c r="J52" s="1133"/>
      <c r="K52" s="1133"/>
      <c r="L52" s="916"/>
      <c r="M52" s="916"/>
    </row>
    <row r="53" spans="1:13" s="103" customFormat="1" ht="15.75" hidden="1" customHeight="1" outlineLevel="1">
      <c r="A53" s="916"/>
      <c r="B53" s="1123"/>
      <c r="C53" s="1127"/>
      <c r="D53" s="1125"/>
      <c r="E53" s="1125"/>
      <c r="F53" s="1130"/>
      <c r="G53" s="95"/>
      <c r="H53" s="1125"/>
      <c r="I53" s="1125"/>
      <c r="J53" s="1134"/>
      <c r="K53" s="1134"/>
      <c r="L53" s="916"/>
      <c r="M53" s="916"/>
    </row>
    <row r="54" spans="1:13" s="103" customFormat="1" ht="15.75" hidden="1" customHeight="1" outlineLevel="1">
      <c r="A54" s="916"/>
      <c r="B54" s="1124"/>
      <c r="C54" s="1128"/>
      <c r="D54" s="1126"/>
      <c r="E54" s="1126"/>
      <c r="F54" s="1132"/>
      <c r="G54" s="100"/>
      <c r="H54" s="1126"/>
      <c r="I54" s="1126"/>
      <c r="J54" s="1135"/>
      <c r="K54" s="1135"/>
      <c r="L54" s="916"/>
      <c r="M54" s="916"/>
    </row>
    <row r="55" spans="1:13" s="103" customFormat="1" ht="15.75" hidden="1" customHeight="1" outlineLevel="1">
      <c r="A55" s="916"/>
      <c r="B55" s="1123">
        <v>15</v>
      </c>
      <c r="C55" s="1127"/>
      <c r="D55" s="1125"/>
      <c r="E55" s="1125" t="s">
        <v>18</v>
      </c>
      <c r="F55" s="1130" t="str">
        <f>VLOOKUP(E55,$N$13:$O$17,2,0)</f>
        <v>-</v>
      </c>
      <c r="G55" s="92"/>
      <c r="H55" s="1125"/>
      <c r="I55" s="1125"/>
      <c r="J55" s="1133"/>
      <c r="K55" s="1133"/>
      <c r="L55" s="916"/>
      <c r="M55" s="916"/>
    </row>
    <row r="56" spans="1:13" s="103" customFormat="1" ht="15.75" hidden="1" customHeight="1" outlineLevel="1">
      <c r="A56" s="916"/>
      <c r="B56" s="1123"/>
      <c r="C56" s="1127"/>
      <c r="D56" s="1125"/>
      <c r="E56" s="1125"/>
      <c r="F56" s="1130"/>
      <c r="G56" s="95"/>
      <c r="H56" s="1125"/>
      <c r="I56" s="1125"/>
      <c r="J56" s="1134"/>
      <c r="K56" s="1134"/>
      <c r="L56" s="916"/>
      <c r="M56" s="916"/>
    </row>
    <row r="57" spans="1:13" s="103" customFormat="1" ht="15.75" hidden="1" customHeight="1" outlineLevel="1">
      <c r="A57" s="916"/>
      <c r="B57" s="1124"/>
      <c r="C57" s="1128"/>
      <c r="D57" s="1126"/>
      <c r="E57" s="1126"/>
      <c r="F57" s="1132"/>
      <c r="G57" s="100"/>
      <c r="H57" s="1126"/>
      <c r="I57" s="1126"/>
      <c r="J57" s="1135"/>
      <c r="K57" s="1135"/>
      <c r="L57" s="916"/>
      <c r="M57" s="916"/>
    </row>
    <row r="58" spans="1:13" s="103" customFormat="1" ht="15.75" hidden="1" customHeight="1" outlineLevel="1">
      <c r="A58" s="916"/>
      <c r="B58" s="1123">
        <v>16</v>
      </c>
      <c r="C58" s="1127"/>
      <c r="D58" s="1125"/>
      <c r="E58" s="1125" t="s">
        <v>18</v>
      </c>
      <c r="F58" s="1130" t="e">
        <f>IF(F$25=0,0,F32/F$25)</f>
        <v>#VALUE!</v>
      </c>
      <c r="G58" s="92"/>
      <c r="H58" s="1125"/>
      <c r="I58" s="1125"/>
      <c r="J58" s="1133"/>
      <c r="K58" s="1133"/>
      <c r="L58" s="916"/>
      <c r="M58" s="916"/>
    </row>
    <row r="59" spans="1:13" s="103" customFormat="1" ht="15.75" hidden="1" customHeight="1" outlineLevel="1">
      <c r="A59" s="916"/>
      <c r="B59" s="1123"/>
      <c r="C59" s="1127"/>
      <c r="D59" s="1125"/>
      <c r="E59" s="1125"/>
      <c r="F59" s="1130"/>
      <c r="G59" s="95"/>
      <c r="H59" s="1125"/>
      <c r="I59" s="1125"/>
      <c r="J59" s="1134"/>
      <c r="K59" s="1134"/>
      <c r="L59" s="916"/>
      <c r="M59" s="916"/>
    </row>
    <row r="60" spans="1:13" s="103" customFormat="1" ht="15.75" hidden="1" customHeight="1" outlineLevel="1">
      <c r="A60" s="916"/>
      <c r="B60" s="1124"/>
      <c r="C60" s="1128"/>
      <c r="D60" s="1126"/>
      <c r="E60" s="1126"/>
      <c r="F60" s="1132"/>
      <c r="G60" s="100"/>
      <c r="H60" s="1126"/>
      <c r="I60" s="1126"/>
      <c r="J60" s="1135"/>
      <c r="K60" s="1135"/>
      <c r="L60" s="916"/>
      <c r="M60" s="916"/>
    </row>
    <row r="61" spans="1:13" s="103" customFormat="1" ht="15.75" hidden="1" customHeight="1" outlineLevel="1">
      <c r="A61" s="916"/>
      <c r="B61" s="1123">
        <v>17</v>
      </c>
      <c r="C61" s="1127"/>
      <c r="D61" s="1125"/>
      <c r="E61" s="1125" t="s">
        <v>18</v>
      </c>
      <c r="F61" s="1130" t="str">
        <f>VLOOKUP(E61,$N$13:$O$17,2,0)</f>
        <v>-</v>
      </c>
      <c r="G61" s="92"/>
      <c r="H61" s="1125"/>
      <c r="I61" s="1125"/>
      <c r="J61" s="1133"/>
      <c r="K61" s="1133"/>
      <c r="L61" s="916"/>
      <c r="M61" s="916"/>
    </row>
    <row r="62" spans="1:13" s="103" customFormat="1" ht="15.75" hidden="1" customHeight="1" outlineLevel="1">
      <c r="A62" s="916"/>
      <c r="B62" s="1123"/>
      <c r="C62" s="1127"/>
      <c r="D62" s="1125"/>
      <c r="E62" s="1125"/>
      <c r="F62" s="1130"/>
      <c r="G62" s="95"/>
      <c r="H62" s="1125"/>
      <c r="I62" s="1125"/>
      <c r="J62" s="1134"/>
      <c r="K62" s="1134"/>
      <c r="L62" s="916"/>
      <c r="M62" s="916"/>
    </row>
    <row r="63" spans="1:13" s="103" customFormat="1" ht="15.75" hidden="1" customHeight="1" outlineLevel="1">
      <c r="A63" s="916"/>
      <c r="B63" s="1124"/>
      <c r="C63" s="1128"/>
      <c r="D63" s="1126"/>
      <c r="E63" s="1126"/>
      <c r="F63" s="1132"/>
      <c r="G63" s="100"/>
      <c r="H63" s="1126"/>
      <c r="I63" s="1126"/>
      <c r="J63" s="1135"/>
      <c r="K63" s="1135"/>
      <c r="L63" s="916"/>
      <c r="M63" s="916"/>
    </row>
    <row r="64" spans="1:13" s="103" customFormat="1" ht="15.75" hidden="1" customHeight="1" outlineLevel="1">
      <c r="A64" s="916"/>
      <c r="B64" s="1123">
        <v>18</v>
      </c>
      <c r="C64" s="1127"/>
      <c r="D64" s="1125"/>
      <c r="E64" s="1125" t="s">
        <v>18</v>
      </c>
      <c r="F64" s="1130" t="str">
        <f>VLOOKUP(E64,$N$13:$O$17,2,0)</f>
        <v>-</v>
      </c>
      <c r="G64" s="92"/>
      <c r="H64" s="1125"/>
      <c r="I64" s="1125"/>
      <c r="J64" s="1133"/>
      <c r="K64" s="1133"/>
      <c r="L64" s="916"/>
      <c r="M64" s="916"/>
    </row>
    <row r="65" spans="1:13" s="103" customFormat="1" ht="15.75" hidden="1" customHeight="1" outlineLevel="1">
      <c r="A65" s="916"/>
      <c r="B65" s="1123"/>
      <c r="C65" s="1127"/>
      <c r="D65" s="1125"/>
      <c r="E65" s="1125"/>
      <c r="F65" s="1130"/>
      <c r="G65" s="95"/>
      <c r="H65" s="1125"/>
      <c r="I65" s="1125"/>
      <c r="J65" s="1134"/>
      <c r="K65" s="1134"/>
      <c r="L65" s="916"/>
      <c r="M65" s="916"/>
    </row>
    <row r="66" spans="1:13" s="103" customFormat="1" ht="15.75" hidden="1" customHeight="1" outlineLevel="1">
      <c r="A66" s="916"/>
      <c r="B66" s="1124"/>
      <c r="C66" s="1128"/>
      <c r="D66" s="1126"/>
      <c r="E66" s="1126"/>
      <c r="F66" s="1132"/>
      <c r="G66" s="100"/>
      <c r="H66" s="1126"/>
      <c r="I66" s="1126"/>
      <c r="J66" s="1135"/>
      <c r="K66" s="1135"/>
      <c r="L66" s="916"/>
      <c r="M66" s="916"/>
    </row>
    <row r="67" spans="1:13" s="103" customFormat="1" ht="15.75" hidden="1" customHeight="1" outlineLevel="1">
      <c r="A67" s="916"/>
      <c r="B67" s="1123">
        <v>19</v>
      </c>
      <c r="C67" s="1127"/>
      <c r="D67" s="1125"/>
      <c r="E67" s="1125" t="s">
        <v>18</v>
      </c>
      <c r="F67" s="1130" t="str">
        <f>VLOOKUP(E67,$N$13:$O$17,2,0)</f>
        <v>-</v>
      </c>
      <c r="G67" s="92"/>
      <c r="H67" s="1125"/>
      <c r="I67" s="1125"/>
      <c r="J67" s="1133"/>
      <c r="K67" s="1133"/>
      <c r="L67" s="916"/>
      <c r="M67" s="916"/>
    </row>
    <row r="68" spans="1:13" s="103" customFormat="1" ht="15.75" hidden="1" customHeight="1" outlineLevel="1">
      <c r="A68" s="916"/>
      <c r="B68" s="1123"/>
      <c r="C68" s="1127"/>
      <c r="D68" s="1125"/>
      <c r="E68" s="1125"/>
      <c r="F68" s="1130"/>
      <c r="G68" s="95"/>
      <c r="H68" s="1125"/>
      <c r="I68" s="1125"/>
      <c r="J68" s="1134"/>
      <c r="K68" s="1134"/>
      <c r="L68" s="916"/>
      <c r="M68" s="916"/>
    </row>
    <row r="69" spans="1:13" s="103" customFormat="1" ht="15.75" hidden="1" customHeight="1" outlineLevel="1">
      <c r="A69" s="916"/>
      <c r="B69" s="1124"/>
      <c r="C69" s="1128"/>
      <c r="D69" s="1126"/>
      <c r="E69" s="1126"/>
      <c r="F69" s="1132"/>
      <c r="G69" s="100"/>
      <c r="H69" s="1126"/>
      <c r="I69" s="1126"/>
      <c r="J69" s="1135"/>
      <c r="K69" s="1135"/>
      <c r="L69" s="916"/>
      <c r="M69" s="916"/>
    </row>
    <row r="70" spans="1:13" s="103" customFormat="1" ht="15.75" hidden="1" customHeight="1" outlineLevel="1">
      <c r="A70" s="916"/>
      <c r="B70" s="1123">
        <v>20</v>
      </c>
      <c r="C70" s="1127"/>
      <c r="D70" s="1125"/>
      <c r="E70" s="1125" t="s">
        <v>18</v>
      </c>
      <c r="F70" s="1130" t="str">
        <f>VLOOKUP(E70,$N$13:$O$17,2,0)</f>
        <v>-</v>
      </c>
      <c r="G70" s="92"/>
      <c r="H70" s="1125"/>
      <c r="I70" s="1125"/>
      <c r="J70" s="1133"/>
      <c r="K70" s="1133"/>
      <c r="L70" s="916"/>
      <c r="M70" s="916"/>
    </row>
    <row r="71" spans="1:13" s="103" customFormat="1" ht="15.75" hidden="1" customHeight="1" outlineLevel="1">
      <c r="A71" s="916"/>
      <c r="B71" s="1123"/>
      <c r="C71" s="1127"/>
      <c r="D71" s="1125"/>
      <c r="E71" s="1125"/>
      <c r="F71" s="1130"/>
      <c r="G71" s="95"/>
      <c r="H71" s="1125"/>
      <c r="I71" s="1125"/>
      <c r="J71" s="1134"/>
      <c r="K71" s="1134"/>
      <c r="L71" s="916"/>
      <c r="M71" s="916"/>
    </row>
    <row r="72" spans="1:13" s="103" customFormat="1" ht="15.75" hidden="1" customHeight="1" outlineLevel="1">
      <c r="A72" s="916"/>
      <c r="B72" s="1124"/>
      <c r="C72" s="1128"/>
      <c r="D72" s="1126"/>
      <c r="E72" s="1126"/>
      <c r="F72" s="1132"/>
      <c r="G72" s="100"/>
      <c r="H72" s="1126"/>
      <c r="I72" s="1126"/>
      <c r="J72" s="1135"/>
      <c r="K72" s="1135"/>
      <c r="L72" s="916"/>
      <c r="M72" s="916"/>
    </row>
    <row r="73" spans="1:13" s="103" customFormat="1" ht="15.75" hidden="1" customHeight="1" outlineLevel="1">
      <c r="A73" s="916"/>
      <c r="B73" s="1123">
        <v>21</v>
      </c>
      <c r="C73" s="1127"/>
      <c r="D73" s="1125"/>
      <c r="E73" s="1125" t="s">
        <v>18</v>
      </c>
      <c r="F73" s="1130" t="str">
        <f>VLOOKUP(E73,$N$13:$O$17,2,0)</f>
        <v>-</v>
      </c>
      <c r="G73" s="92"/>
      <c r="H73" s="1125"/>
      <c r="I73" s="1125"/>
      <c r="J73" s="1133"/>
      <c r="K73" s="1133"/>
      <c r="L73" s="916"/>
      <c r="M73" s="916"/>
    </row>
    <row r="74" spans="1:13" s="103" customFormat="1" ht="15.75" hidden="1" customHeight="1" outlineLevel="1">
      <c r="A74" s="916"/>
      <c r="B74" s="1123"/>
      <c r="C74" s="1127"/>
      <c r="D74" s="1125"/>
      <c r="E74" s="1125"/>
      <c r="F74" s="1130"/>
      <c r="G74" s="95"/>
      <c r="H74" s="1125"/>
      <c r="I74" s="1125"/>
      <c r="J74" s="1134"/>
      <c r="K74" s="1134"/>
      <c r="L74" s="916"/>
      <c r="M74" s="916"/>
    </row>
    <row r="75" spans="1:13" s="103" customFormat="1" ht="15.75" hidden="1" customHeight="1" outlineLevel="1">
      <c r="A75" s="916"/>
      <c r="B75" s="1124"/>
      <c r="C75" s="1128"/>
      <c r="D75" s="1126"/>
      <c r="E75" s="1126"/>
      <c r="F75" s="1132"/>
      <c r="G75" s="100"/>
      <c r="H75" s="1126"/>
      <c r="I75" s="1126"/>
      <c r="J75" s="1135"/>
      <c r="K75" s="1135"/>
      <c r="L75" s="916"/>
      <c r="M75" s="916"/>
    </row>
    <row r="76" spans="1:13" s="103" customFormat="1" ht="15.75" hidden="1" customHeight="1" outlineLevel="1">
      <c r="A76" s="916"/>
      <c r="B76" s="1123">
        <v>22</v>
      </c>
      <c r="C76" s="1127"/>
      <c r="D76" s="1125"/>
      <c r="E76" s="1125" t="s">
        <v>18</v>
      </c>
      <c r="F76" s="1130" t="str">
        <f>VLOOKUP(E76,$N$13:$O$17,2,0)</f>
        <v>-</v>
      </c>
      <c r="G76" s="92"/>
      <c r="H76" s="1125"/>
      <c r="I76" s="1125"/>
      <c r="J76" s="1133"/>
      <c r="K76" s="1133"/>
      <c r="L76" s="916"/>
      <c r="M76" s="916"/>
    </row>
    <row r="77" spans="1:13" s="103" customFormat="1" ht="15.75" hidden="1" customHeight="1" outlineLevel="1">
      <c r="A77" s="916"/>
      <c r="B77" s="1123"/>
      <c r="C77" s="1127"/>
      <c r="D77" s="1125"/>
      <c r="E77" s="1125"/>
      <c r="F77" s="1130"/>
      <c r="G77" s="95"/>
      <c r="H77" s="1125"/>
      <c r="I77" s="1125"/>
      <c r="J77" s="1134"/>
      <c r="K77" s="1134"/>
      <c r="L77" s="916"/>
      <c r="M77" s="916"/>
    </row>
    <row r="78" spans="1:13" s="103" customFormat="1" ht="15.75" hidden="1" customHeight="1" outlineLevel="1">
      <c r="A78" s="916"/>
      <c r="B78" s="1124"/>
      <c r="C78" s="1128"/>
      <c r="D78" s="1126"/>
      <c r="E78" s="1126"/>
      <c r="F78" s="1132"/>
      <c r="G78" s="100"/>
      <c r="H78" s="1126"/>
      <c r="I78" s="1126"/>
      <c r="J78" s="1135"/>
      <c r="K78" s="1135"/>
      <c r="L78" s="916"/>
      <c r="M78" s="916"/>
    </row>
    <row r="79" spans="1:13" s="103" customFormat="1" ht="15.75" hidden="1" customHeight="1" outlineLevel="1">
      <c r="A79" s="916"/>
      <c r="B79" s="1123">
        <v>23</v>
      </c>
      <c r="C79" s="1127"/>
      <c r="D79" s="1125"/>
      <c r="E79" s="1125" t="s">
        <v>18</v>
      </c>
      <c r="F79" s="1130" t="str">
        <f>VLOOKUP(E79,$N$13:$O$17,2,0)</f>
        <v>-</v>
      </c>
      <c r="G79" s="92"/>
      <c r="H79" s="1125"/>
      <c r="I79" s="1125"/>
      <c r="J79" s="1133"/>
      <c r="K79" s="1133"/>
      <c r="L79" s="916"/>
      <c r="M79" s="916"/>
    </row>
    <row r="80" spans="1:13" s="103" customFormat="1" ht="15.75" hidden="1" customHeight="1" outlineLevel="1">
      <c r="A80" s="916"/>
      <c r="B80" s="1123"/>
      <c r="C80" s="1127"/>
      <c r="D80" s="1125"/>
      <c r="E80" s="1125"/>
      <c r="F80" s="1130"/>
      <c r="G80" s="95"/>
      <c r="H80" s="1125"/>
      <c r="I80" s="1125"/>
      <c r="J80" s="1134"/>
      <c r="K80" s="1134"/>
      <c r="L80" s="916"/>
      <c r="M80" s="916"/>
    </row>
    <row r="81" spans="1:13" s="103" customFormat="1" ht="15.75" hidden="1" customHeight="1" outlineLevel="1">
      <c r="A81" s="916"/>
      <c r="B81" s="1124"/>
      <c r="C81" s="1128"/>
      <c r="D81" s="1126"/>
      <c r="E81" s="1126"/>
      <c r="F81" s="1132"/>
      <c r="G81" s="100"/>
      <c r="H81" s="1126"/>
      <c r="I81" s="1126"/>
      <c r="J81" s="1135"/>
      <c r="K81" s="1135"/>
      <c r="L81" s="916"/>
      <c r="M81" s="916"/>
    </row>
    <row r="82" spans="1:13" s="103" customFormat="1" ht="15.75" hidden="1" customHeight="1" outlineLevel="1">
      <c r="A82" s="916"/>
      <c r="B82" s="1123">
        <v>24</v>
      </c>
      <c r="C82" s="1127"/>
      <c r="D82" s="1125"/>
      <c r="E82" s="1125" t="s">
        <v>18</v>
      </c>
      <c r="F82" s="1130" t="str">
        <f>VLOOKUP(E82,$N$13:$O$17,2,0)</f>
        <v>-</v>
      </c>
      <c r="G82" s="92"/>
      <c r="H82" s="1125"/>
      <c r="I82" s="1125"/>
      <c r="J82" s="1133"/>
      <c r="K82" s="1133"/>
      <c r="L82" s="916"/>
      <c r="M82" s="916"/>
    </row>
    <row r="83" spans="1:13" s="103" customFormat="1" ht="15.75" hidden="1" customHeight="1" outlineLevel="1">
      <c r="A83" s="916"/>
      <c r="B83" s="1123"/>
      <c r="C83" s="1127"/>
      <c r="D83" s="1125"/>
      <c r="E83" s="1125"/>
      <c r="F83" s="1130"/>
      <c r="G83" s="95"/>
      <c r="H83" s="1125"/>
      <c r="I83" s="1125"/>
      <c r="J83" s="1134"/>
      <c r="K83" s="1134"/>
      <c r="L83" s="916"/>
      <c r="M83" s="916"/>
    </row>
    <row r="84" spans="1:13" s="103" customFormat="1" ht="15.75" hidden="1" customHeight="1" outlineLevel="1">
      <c r="A84" s="916"/>
      <c r="B84" s="1124"/>
      <c r="C84" s="1128"/>
      <c r="D84" s="1126"/>
      <c r="E84" s="1126"/>
      <c r="F84" s="1132"/>
      <c r="G84" s="100"/>
      <c r="H84" s="1126"/>
      <c r="I84" s="1126"/>
      <c r="J84" s="1135"/>
      <c r="K84" s="1135"/>
      <c r="L84" s="916"/>
      <c r="M84" s="916"/>
    </row>
    <row r="85" spans="1:13" s="103" customFormat="1" ht="15.75" hidden="1" customHeight="1" outlineLevel="1">
      <c r="A85" s="916"/>
      <c r="B85" s="1123">
        <v>25</v>
      </c>
      <c r="C85" s="1127"/>
      <c r="D85" s="1125"/>
      <c r="E85" s="1125" t="s">
        <v>18</v>
      </c>
      <c r="F85" s="1130" t="str">
        <f>VLOOKUP(E85,$N$13:$O$17,2,0)</f>
        <v>-</v>
      </c>
      <c r="G85" s="92"/>
      <c r="H85" s="1125"/>
      <c r="I85" s="1125"/>
      <c r="J85" s="1133"/>
      <c r="K85" s="1133"/>
      <c r="L85" s="916"/>
      <c r="M85" s="916"/>
    </row>
    <row r="86" spans="1:13" s="103" customFormat="1" ht="15.75" hidden="1" customHeight="1" outlineLevel="1">
      <c r="A86" s="916"/>
      <c r="B86" s="1123"/>
      <c r="C86" s="1127"/>
      <c r="D86" s="1125"/>
      <c r="E86" s="1125"/>
      <c r="F86" s="1130"/>
      <c r="G86" s="95"/>
      <c r="H86" s="1125"/>
      <c r="I86" s="1125"/>
      <c r="J86" s="1134"/>
      <c r="K86" s="1134"/>
      <c r="L86" s="916"/>
      <c r="M86" s="916"/>
    </row>
    <row r="87" spans="1:13" s="103" customFormat="1" ht="15.75" hidden="1" customHeight="1" outlineLevel="1">
      <c r="A87" s="916"/>
      <c r="B87" s="1124"/>
      <c r="C87" s="1128"/>
      <c r="D87" s="1126"/>
      <c r="E87" s="1126"/>
      <c r="F87" s="1132"/>
      <c r="G87" s="100"/>
      <c r="H87" s="1126"/>
      <c r="I87" s="1126"/>
      <c r="J87" s="1135"/>
      <c r="K87" s="1135"/>
      <c r="L87" s="916"/>
      <c r="M87" s="916"/>
    </row>
    <row r="88" spans="1:13" s="103" customFormat="1" ht="15.75" hidden="1" customHeight="1" outlineLevel="1">
      <c r="A88" s="916"/>
      <c r="B88" s="1123">
        <v>26</v>
      </c>
      <c r="C88" s="1127"/>
      <c r="D88" s="1125"/>
      <c r="E88" s="1125" t="s">
        <v>18</v>
      </c>
      <c r="F88" s="1130" t="str">
        <f>VLOOKUP(E88,$N$13:$O$17,2,0)</f>
        <v>-</v>
      </c>
      <c r="G88" s="92"/>
      <c r="H88" s="1125"/>
      <c r="I88" s="1125"/>
      <c r="J88" s="1133"/>
      <c r="K88" s="1133"/>
      <c r="L88" s="916"/>
      <c r="M88" s="916"/>
    </row>
    <row r="89" spans="1:13" s="103" customFormat="1" ht="15.75" hidden="1" customHeight="1" outlineLevel="1">
      <c r="A89" s="916"/>
      <c r="B89" s="1123"/>
      <c r="C89" s="1127"/>
      <c r="D89" s="1125"/>
      <c r="E89" s="1125"/>
      <c r="F89" s="1130"/>
      <c r="G89" s="95"/>
      <c r="H89" s="1125"/>
      <c r="I89" s="1125"/>
      <c r="J89" s="1134"/>
      <c r="K89" s="1134"/>
      <c r="L89" s="916"/>
      <c r="M89" s="916"/>
    </row>
    <row r="90" spans="1:13" s="103" customFormat="1" ht="15.75" hidden="1" customHeight="1" outlineLevel="1">
      <c r="A90" s="916"/>
      <c r="B90" s="1124"/>
      <c r="C90" s="1128"/>
      <c r="D90" s="1126"/>
      <c r="E90" s="1126"/>
      <c r="F90" s="1132"/>
      <c r="G90" s="100"/>
      <c r="H90" s="1126"/>
      <c r="I90" s="1126"/>
      <c r="J90" s="1135"/>
      <c r="K90" s="1135"/>
      <c r="L90" s="916"/>
      <c r="M90" s="916"/>
    </row>
    <row r="91" spans="1:13" s="103" customFormat="1" ht="15.75" hidden="1" customHeight="1" outlineLevel="1">
      <c r="A91" s="916"/>
      <c r="B91" s="1123">
        <v>27</v>
      </c>
      <c r="C91" s="1127"/>
      <c r="D91" s="1125"/>
      <c r="E91" s="1125" t="s">
        <v>18</v>
      </c>
      <c r="F91" s="1130" t="str">
        <f>VLOOKUP(E91,$N$13:$O$17,2,0)</f>
        <v>-</v>
      </c>
      <c r="G91" s="92"/>
      <c r="H91" s="1125"/>
      <c r="I91" s="1125"/>
      <c r="J91" s="1133"/>
      <c r="K91" s="1133"/>
      <c r="L91" s="916"/>
      <c r="M91" s="916"/>
    </row>
    <row r="92" spans="1:13" s="103" customFormat="1" ht="15.75" hidden="1" customHeight="1" outlineLevel="1">
      <c r="A92" s="916"/>
      <c r="B92" s="1123"/>
      <c r="C92" s="1127"/>
      <c r="D92" s="1125"/>
      <c r="E92" s="1125"/>
      <c r="F92" s="1130"/>
      <c r="G92" s="95"/>
      <c r="H92" s="1125"/>
      <c r="I92" s="1125"/>
      <c r="J92" s="1134"/>
      <c r="K92" s="1134"/>
      <c r="L92" s="916"/>
      <c r="M92" s="916"/>
    </row>
    <row r="93" spans="1:13" s="103" customFormat="1" ht="15.75" hidden="1" customHeight="1" outlineLevel="1">
      <c r="A93" s="916"/>
      <c r="B93" s="1124"/>
      <c r="C93" s="1128"/>
      <c r="D93" s="1126"/>
      <c r="E93" s="1126"/>
      <c r="F93" s="1132"/>
      <c r="G93" s="100"/>
      <c r="H93" s="1126"/>
      <c r="I93" s="1126"/>
      <c r="J93" s="1135"/>
      <c r="K93" s="1135"/>
      <c r="L93" s="916"/>
      <c r="M93" s="916"/>
    </row>
    <row r="94" spans="1:13" s="103" customFormat="1" ht="15.75" hidden="1" customHeight="1" outlineLevel="1">
      <c r="A94" s="916"/>
      <c r="B94" s="1123">
        <v>28</v>
      </c>
      <c r="C94" s="1127"/>
      <c r="D94" s="1125"/>
      <c r="E94" s="1125" t="s">
        <v>18</v>
      </c>
      <c r="F94" s="1130" t="str">
        <f>VLOOKUP(E94,$N$13:$O$17,2,0)</f>
        <v>-</v>
      </c>
      <c r="G94" s="92"/>
      <c r="H94" s="1125"/>
      <c r="I94" s="1125"/>
      <c r="J94" s="1133"/>
      <c r="K94" s="1133"/>
      <c r="L94" s="916"/>
      <c r="M94" s="916"/>
    </row>
    <row r="95" spans="1:13" s="103" customFormat="1" ht="15.75" hidden="1" customHeight="1" outlineLevel="1">
      <c r="A95" s="916"/>
      <c r="B95" s="1123"/>
      <c r="C95" s="1127"/>
      <c r="D95" s="1125"/>
      <c r="E95" s="1125"/>
      <c r="F95" s="1130"/>
      <c r="G95" s="95"/>
      <c r="H95" s="1125"/>
      <c r="I95" s="1125"/>
      <c r="J95" s="1134"/>
      <c r="K95" s="1134"/>
      <c r="L95" s="916"/>
      <c r="M95" s="916"/>
    </row>
    <row r="96" spans="1:13" s="103" customFormat="1" ht="15.75" hidden="1" customHeight="1" outlineLevel="1">
      <c r="A96" s="916"/>
      <c r="B96" s="1124"/>
      <c r="C96" s="1128"/>
      <c r="D96" s="1126"/>
      <c r="E96" s="1126"/>
      <c r="F96" s="1132"/>
      <c r="G96" s="100"/>
      <c r="H96" s="1126"/>
      <c r="I96" s="1126"/>
      <c r="J96" s="1135"/>
      <c r="K96" s="1135"/>
      <c r="L96" s="916"/>
      <c r="M96" s="916"/>
    </row>
    <row r="97" spans="1:13" s="103" customFormat="1" ht="15.75" hidden="1" customHeight="1" outlineLevel="1">
      <c r="A97" s="916"/>
      <c r="B97" s="1123">
        <v>29</v>
      </c>
      <c r="C97" s="1127"/>
      <c r="D97" s="1125"/>
      <c r="E97" s="1125" t="s">
        <v>18</v>
      </c>
      <c r="F97" s="1130" t="str">
        <f>VLOOKUP(E97,$N$13:$O$17,2,0)</f>
        <v>-</v>
      </c>
      <c r="G97" s="92"/>
      <c r="H97" s="1125"/>
      <c r="I97" s="1125"/>
      <c r="J97" s="1133"/>
      <c r="K97" s="1133"/>
      <c r="L97" s="916"/>
      <c r="M97" s="916"/>
    </row>
    <row r="98" spans="1:13" s="103" customFormat="1" ht="15.75" hidden="1" customHeight="1" outlineLevel="1">
      <c r="A98" s="916"/>
      <c r="B98" s="1123"/>
      <c r="C98" s="1127"/>
      <c r="D98" s="1125"/>
      <c r="E98" s="1125"/>
      <c r="F98" s="1130"/>
      <c r="G98" s="95"/>
      <c r="H98" s="1125"/>
      <c r="I98" s="1125"/>
      <c r="J98" s="1134"/>
      <c r="K98" s="1134"/>
      <c r="L98" s="916"/>
      <c r="M98" s="916"/>
    </row>
    <row r="99" spans="1:13" s="103" customFormat="1" ht="15.75" hidden="1" customHeight="1" outlineLevel="1">
      <c r="A99" s="916"/>
      <c r="B99" s="1124"/>
      <c r="C99" s="1128"/>
      <c r="D99" s="1126"/>
      <c r="E99" s="1126"/>
      <c r="F99" s="1132"/>
      <c r="G99" s="100"/>
      <c r="H99" s="1126"/>
      <c r="I99" s="1126"/>
      <c r="J99" s="1135"/>
      <c r="K99" s="1135"/>
      <c r="L99" s="916"/>
      <c r="M99" s="916"/>
    </row>
    <row r="100" spans="1:13" s="103" customFormat="1" ht="15.75" hidden="1" customHeight="1" outlineLevel="1">
      <c r="A100" s="916"/>
      <c r="B100" s="1123">
        <v>30</v>
      </c>
      <c r="C100" s="1127"/>
      <c r="D100" s="1125"/>
      <c r="E100" s="1125" t="s">
        <v>18</v>
      </c>
      <c r="F100" s="1130" t="str">
        <f>VLOOKUP(E100,$N$13:$O$17,2,0)</f>
        <v>-</v>
      </c>
      <c r="G100" s="92"/>
      <c r="H100" s="1125"/>
      <c r="I100" s="1125"/>
      <c r="J100" s="1133"/>
      <c r="K100" s="1133"/>
      <c r="L100" s="916"/>
      <c r="M100" s="916"/>
    </row>
    <row r="101" spans="1:13" s="103" customFormat="1" ht="15.75" hidden="1" customHeight="1" outlineLevel="1">
      <c r="A101" s="916"/>
      <c r="B101" s="1123"/>
      <c r="C101" s="1127"/>
      <c r="D101" s="1125"/>
      <c r="E101" s="1125"/>
      <c r="F101" s="1130"/>
      <c r="G101" s="95"/>
      <c r="H101" s="1125"/>
      <c r="I101" s="1125"/>
      <c r="J101" s="1134"/>
      <c r="K101" s="1134"/>
      <c r="L101" s="916"/>
      <c r="M101" s="916"/>
    </row>
    <row r="102" spans="1:13" s="103" customFormat="1" ht="15.75" hidden="1" customHeight="1" outlineLevel="1">
      <c r="A102" s="916"/>
      <c r="B102" s="1124"/>
      <c r="C102" s="1128"/>
      <c r="D102" s="1126"/>
      <c r="E102" s="1126"/>
      <c r="F102" s="1132"/>
      <c r="G102" s="100"/>
      <c r="H102" s="1126"/>
      <c r="I102" s="1126"/>
      <c r="J102" s="1135"/>
      <c r="K102" s="1135"/>
      <c r="L102" s="916"/>
      <c r="M102" s="916"/>
    </row>
    <row r="103" spans="1:13" s="103" customFormat="1" ht="15.75" hidden="1" customHeight="1" outlineLevel="1">
      <c r="A103" s="916"/>
      <c r="B103" s="1123">
        <v>31</v>
      </c>
      <c r="C103" s="1127"/>
      <c r="D103" s="1125"/>
      <c r="E103" s="1125" t="s">
        <v>18</v>
      </c>
      <c r="F103" s="1130" t="str">
        <f>VLOOKUP(E103,$N$13:$O$17,2,0)</f>
        <v>-</v>
      </c>
      <c r="G103" s="92"/>
      <c r="H103" s="1125"/>
      <c r="I103" s="1125"/>
      <c r="J103" s="1133"/>
      <c r="K103" s="1133"/>
      <c r="L103" s="916"/>
      <c r="M103" s="916"/>
    </row>
    <row r="104" spans="1:13" s="103" customFormat="1" ht="15.75" hidden="1" customHeight="1" outlineLevel="1">
      <c r="A104" s="916"/>
      <c r="B104" s="1123"/>
      <c r="C104" s="1127"/>
      <c r="D104" s="1125"/>
      <c r="E104" s="1125"/>
      <c r="F104" s="1130"/>
      <c r="G104" s="95"/>
      <c r="H104" s="1125"/>
      <c r="I104" s="1125"/>
      <c r="J104" s="1134"/>
      <c r="K104" s="1134"/>
      <c r="L104" s="916"/>
      <c r="M104" s="916"/>
    </row>
    <row r="105" spans="1:13" s="103" customFormat="1" ht="15.75" hidden="1" customHeight="1" outlineLevel="1">
      <c r="A105" s="916"/>
      <c r="B105" s="1124"/>
      <c r="C105" s="1128"/>
      <c r="D105" s="1126"/>
      <c r="E105" s="1126"/>
      <c r="F105" s="1132"/>
      <c r="G105" s="100"/>
      <c r="H105" s="1126"/>
      <c r="I105" s="1126"/>
      <c r="J105" s="1135"/>
      <c r="K105" s="1135"/>
      <c r="L105" s="916"/>
      <c r="M105" s="916"/>
    </row>
    <row r="106" spans="1:13" s="103" customFormat="1" ht="15.75" hidden="1" customHeight="1" outlineLevel="1">
      <c r="A106" s="916"/>
      <c r="B106" s="1123">
        <v>32</v>
      </c>
      <c r="C106" s="1127"/>
      <c r="D106" s="1125"/>
      <c r="E106" s="1125" t="s">
        <v>18</v>
      </c>
      <c r="F106" s="1130" t="str">
        <f>VLOOKUP(E106,$N$13:$O$17,2,0)</f>
        <v>-</v>
      </c>
      <c r="G106" s="92"/>
      <c r="H106" s="1125"/>
      <c r="I106" s="1125"/>
      <c r="J106" s="1133"/>
      <c r="K106" s="1133"/>
      <c r="L106" s="916"/>
      <c r="M106" s="916"/>
    </row>
    <row r="107" spans="1:13" s="103" customFormat="1" ht="15.75" hidden="1" customHeight="1" outlineLevel="1">
      <c r="A107" s="916"/>
      <c r="B107" s="1123"/>
      <c r="C107" s="1127"/>
      <c r="D107" s="1125"/>
      <c r="E107" s="1125"/>
      <c r="F107" s="1130"/>
      <c r="G107" s="95"/>
      <c r="H107" s="1125"/>
      <c r="I107" s="1125"/>
      <c r="J107" s="1134"/>
      <c r="K107" s="1134"/>
      <c r="L107" s="916"/>
      <c r="M107" s="916"/>
    </row>
    <row r="108" spans="1:13" s="103" customFormat="1" ht="15.75" hidden="1" customHeight="1" outlineLevel="1">
      <c r="A108" s="916"/>
      <c r="B108" s="1124"/>
      <c r="C108" s="1128"/>
      <c r="D108" s="1126"/>
      <c r="E108" s="1126"/>
      <c r="F108" s="1132"/>
      <c r="G108" s="100"/>
      <c r="H108" s="1126"/>
      <c r="I108" s="1126"/>
      <c r="J108" s="1135"/>
      <c r="K108" s="1135"/>
      <c r="L108" s="916"/>
      <c r="M108" s="916"/>
    </row>
    <row r="109" spans="1:13" s="103" customFormat="1" ht="15.75" hidden="1" customHeight="1" outlineLevel="1">
      <c r="A109" s="916"/>
      <c r="B109" s="1123">
        <v>33</v>
      </c>
      <c r="C109" s="1127"/>
      <c r="D109" s="1125"/>
      <c r="E109" s="1125" t="s">
        <v>18</v>
      </c>
      <c r="F109" s="1130" t="str">
        <f>VLOOKUP(E109,$N$13:$O$17,2,0)</f>
        <v>-</v>
      </c>
      <c r="G109" s="92"/>
      <c r="H109" s="1125"/>
      <c r="I109" s="1125"/>
      <c r="J109" s="1133"/>
      <c r="K109" s="1133"/>
      <c r="L109" s="916"/>
      <c r="M109" s="916"/>
    </row>
    <row r="110" spans="1:13" s="103" customFormat="1" ht="15.75" hidden="1" customHeight="1" outlineLevel="1">
      <c r="A110" s="916"/>
      <c r="B110" s="1123"/>
      <c r="C110" s="1127"/>
      <c r="D110" s="1125"/>
      <c r="E110" s="1125"/>
      <c r="F110" s="1130"/>
      <c r="G110" s="95"/>
      <c r="H110" s="1125"/>
      <c r="I110" s="1125"/>
      <c r="J110" s="1134"/>
      <c r="K110" s="1134"/>
      <c r="L110" s="916"/>
      <c r="M110" s="916"/>
    </row>
    <row r="111" spans="1:13" s="103" customFormat="1" ht="15.75" hidden="1" customHeight="1" outlineLevel="1">
      <c r="A111" s="916"/>
      <c r="B111" s="1124"/>
      <c r="C111" s="1128"/>
      <c r="D111" s="1126"/>
      <c r="E111" s="1126"/>
      <c r="F111" s="1132"/>
      <c r="G111" s="100"/>
      <c r="H111" s="1126"/>
      <c r="I111" s="1126"/>
      <c r="J111" s="1135"/>
      <c r="K111" s="1135"/>
      <c r="L111" s="916"/>
      <c r="M111" s="916"/>
    </row>
    <row r="112" spans="1:13" s="103" customFormat="1" ht="15.75" hidden="1" customHeight="1" outlineLevel="1">
      <c r="A112" s="916"/>
      <c r="B112" s="1123">
        <v>34</v>
      </c>
      <c r="C112" s="1127"/>
      <c r="D112" s="1125"/>
      <c r="E112" s="1125" t="s">
        <v>18</v>
      </c>
      <c r="F112" s="1130" t="str">
        <f>VLOOKUP(E112,$N$13:$O$17,2,0)</f>
        <v>-</v>
      </c>
      <c r="G112" s="92"/>
      <c r="H112" s="1125"/>
      <c r="I112" s="1125"/>
      <c r="J112" s="1133"/>
      <c r="K112" s="1133"/>
      <c r="L112" s="916"/>
      <c r="M112" s="916"/>
    </row>
    <row r="113" spans="1:13" s="103" customFormat="1" ht="15.75" hidden="1" customHeight="1" outlineLevel="1">
      <c r="A113" s="916"/>
      <c r="B113" s="1123"/>
      <c r="C113" s="1127"/>
      <c r="D113" s="1125"/>
      <c r="E113" s="1125"/>
      <c r="F113" s="1130"/>
      <c r="G113" s="95"/>
      <c r="H113" s="1125"/>
      <c r="I113" s="1125"/>
      <c r="J113" s="1134"/>
      <c r="K113" s="1134"/>
      <c r="L113" s="916"/>
      <c r="M113" s="916"/>
    </row>
    <row r="114" spans="1:13" s="103" customFormat="1" ht="15.75" hidden="1" customHeight="1" outlineLevel="1">
      <c r="A114" s="916"/>
      <c r="B114" s="1124"/>
      <c r="C114" s="1128"/>
      <c r="D114" s="1126"/>
      <c r="E114" s="1126"/>
      <c r="F114" s="1132"/>
      <c r="G114" s="100"/>
      <c r="H114" s="1126"/>
      <c r="I114" s="1126"/>
      <c r="J114" s="1135"/>
      <c r="K114" s="1135"/>
      <c r="L114" s="916"/>
      <c r="M114" s="916"/>
    </row>
    <row r="115" spans="1:13" s="103" customFormat="1" ht="15.75" hidden="1" customHeight="1" outlineLevel="1">
      <c r="A115" s="916"/>
      <c r="B115" s="1123">
        <v>35</v>
      </c>
      <c r="C115" s="1127"/>
      <c r="D115" s="1125"/>
      <c r="E115" s="1125" t="s">
        <v>18</v>
      </c>
      <c r="F115" s="1130" t="str">
        <f>VLOOKUP(E115,$N$13:$O$17,2,0)</f>
        <v>-</v>
      </c>
      <c r="G115" s="92"/>
      <c r="H115" s="1125"/>
      <c r="I115" s="1125"/>
      <c r="J115" s="1133"/>
      <c r="K115" s="1133"/>
      <c r="L115" s="916"/>
      <c r="M115" s="916"/>
    </row>
    <row r="116" spans="1:13" s="103" customFormat="1" ht="15.75" hidden="1" customHeight="1" outlineLevel="1">
      <c r="A116" s="916"/>
      <c r="B116" s="1123"/>
      <c r="C116" s="1127"/>
      <c r="D116" s="1125"/>
      <c r="E116" s="1125"/>
      <c r="F116" s="1130"/>
      <c r="G116" s="95"/>
      <c r="H116" s="1125"/>
      <c r="I116" s="1125"/>
      <c r="J116" s="1134"/>
      <c r="K116" s="1134"/>
      <c r="L116" s="916"/>
      <c r="M116" s="916"/>
    </row>
    <row r="117" spans="1:13" s="103" customFormat="1" ht="15.75" hidden="1" customHeight="1" outlineLevel="1">
      <c r="A117" s="916"/>
      <c r="B117" s="1124"/>
      <c r="C117" s="1128"/>
      <c r="D117" s="1126"/>
      <c r="E117" s="1126"/>
      <c r="F117" s="1132"/>
      <c r="G117" s="100"/>
      <c r="H117" s="1126"/>
      <c r="I117" s="1126"/>
      <c r="J117" s="1135"/>
      <c r="K117" s="1135"/>
      <c r="L117" s="916"/>
      <c r="M117" s="916"/>
    </row>
    <row r="118" spans="1:13" s="103" customFormat="1" ht="15.75" hidden="1" customHeight="1" outlineLevel="1">
      <c r="A118" s="916"/>
      <c r="B118" s="1123">
        <v>36</v>
      </c>
      <c r="C118" s="1127"/>
      <c r="D118" s="1125"/>
      <c r="E118" s="1125" t="s">
        <v>18</v>
      </c>
      <c r="F118" s="1130" t="str">
        <f>VLOOKUP(E118,$N$13:$O$17,2,0)</f>
        <v>-</v>
      </c>
      <c r="G118" s="92"/>
      <c r="H118" s="1125"/>
      <c r="I118" s="1125"/>
      <c r="J118" s="1133"/>
      <c r="K118" s="1133"/>
      <c r="L118" s="916"/>
      <c r="M118" s="916"/>
    </row>
    <row r="119" spans="1:13" s="103" customFormat="1" ht="15.75" hidden="1" customHeight="1" outlineLevel="1">
      <c r="A119" s="916"/>
      <c r="B119" s="1123"/>
      <c r="C119" s="1127"/>
      <c r="D119" s="1125"/>
      <c r="E119" s="1125"/>
      <c r="F119" s="1130"/>
      <c r="G119" s="95"/>
      <c r="H119" s="1125"/>
      <c r="I119" s="1125"/>
      <c r="J119" s="1134"/>
      <c r="K119" s="1134"/>
      <c r="L119" s="916"/>
      <c r="M119" s="916"/>
    </row>
    <row r="120" spans="1:13" s="103" customFormat="1" ht="15.75" hidden="1" customHeight="1" outlineLevel="1">
      <c r="A120" s="916"/>
      <c r="B120" s="1124"/>
      <c r="C120" s="1128"/>
      <c r="D120" s="1126"/>
      <c r="E120" s="1126"/>
      <c r="F120" s="1132"/>
      <c r="G120" s="100"/>
      <c r="H120" s="1126"/>
      <c r="I120" s="1126"/>
      <c r="J120" s="1135"/>
      <c r="K120" s="1135"/>
      <c r="L120" s="916"/>
      <c r="M120" s="916"/>
    </row>
    <row r="121" spans="1:13" s="103" customFormat="1" ht="15.75" hidden="1" customHeight="1" outlineLevel="1">
      <c r="A121" s="916"/>
      <c r="B121" s="1123">
        <v>37</v>
      </c>
      <c r="C121" s="1127"/>
      <c r="D121" s="1125"/>
      <c r="E121" s="1125" t="s">
        <v>18</v>
      </c>
      <c r="F121" s="1130" t="str">
        <f>VLOOKUP(E121,$N$13:$O$17,2,0)</f>
        <v>-</v>
      </c>
      <c r="G121" s="92"/>
      <c r="H121" s="1125"/>
      <c r="I121" s="1125"/>
      <c r="J121" s="1133"/>
      <c r="K121" s="1133"/>
      <c r="L121" s="916"/>
      <c r="M121" s="916"/>
    </row>
    <row r="122" spans="1:13" s="103" customFormat="1" ht="15.75" hidden="1" customHeight="1" outlineLevel="1">
      <c r="A122" s="916"/>
      <c r="B122" s="1123"/>
      <c r="C122" s="1127"/>
      <c r="D122" s="1125"/>
      <c r="E122" s="1125"/>
      <c r="F122" s="1130"/>
      <c r="G122" s="95"/>
      <c r="H122" s="1125"/>
      <c r="I122" s="1125"/>
      <c r="J122" s="1134"/>
      <c r="K122" s="1134"/>
      <c r="L122" s="916"/>
      <c r="M122" s="916"/>
    </row>
    <row r="123" spans="1:13" s="103" customFormat="1" ht="15.75" hidden="1" customHeight="1" outlineLevel="1">
      <c r="A123" s="916"/>
      <c r="B123" s="1124"/>
      <c r="C123" s="1128"/>
      <c r="D123" s="1126"/>
      <c r="E123" s="1126"/>
      <c r="F123" s="1132"/>
      <c r="G123" s="100"/>
      <c r="H123" s="1126"/>
      <c r="I123" s="1126"/>
      <c r="J123" s="1135"/>
      <c r="K123" s="1135"/>
      <c r="L123" s="916"/>
      <c r="M123" s="916"/>
    </row>
    <row r="124" spans="1:13" s="103" customFormat="1" ht="15.75" hidden="1" customHeight="1" outlineLevel="1">
      <c r="A124" s="916"/>
      <c r="B124" s="1123">
        <v>38</v>
      </c>
      <c r="C124" s="1127"/>
      <c r="D124" s="1125"/>
      <c r="E124" s="1125" t="s">
        <v>18</v>
      </c>
      <c r="F124" s="1130" t="str">
        <f>VLOOKUP(E124,$N$13:$O$17,2,0)</f>
        <v>-</v>
      </c>
      <c r="G124" s="92"/>
      <c r="H124" s="1125"/>
      <c r="I124" s="1125"/>
      <c r="J124" s="1133"/>
      <c r="K124" s="1133"/>
      <c r="L124" s="916"/>
      <c r="M124" s="916"/>
    </row>
    <row r="125" spans="1:13" s="103" customFormat="1" ht="15.75" hidden="1" customHeight="1" outlineLevel="1">
      <c r="A125" s="916"/>
      <c r="B125" s="1123"/>
      <c r="C125" s="1127"/>
      <c r="D125" s="1125"/>
      <c r="E125" s="1125"/>
      <c r="F125" s="1130"/>
      <c r="G125" s="95"/>
      <c r="H125" s="1125"/>
      <c r="I125" s="1125"/>
      <c r="J125" s="1134"/>
      <c r="K125" s="1134"/>
      <c r="L125" s="916"/>
      <c r="M125" s="916"/>
    </row>
    <row r="126" spans="1:13" s="103" customFormat="1" ht="15.75" hidden="1" customHeight="1" outlineLevel="1">
      <c r="A126" s="916"/>
      <c r="B126" s="1124"/>
      <c r="C126" s="1128"/>
      <c r="D126" s="1126"/>
      <c r="E126" s="1126"/>
      <c r="F126" s="1132"/>
      <c r="G126" s="100"/>
      <c r="H126" s="1126"/>
      <c r="I126" s="1126"/>
      <c r="J126" s="1135"/>
      <c r="K126" s="1135"/>
      <c r="L126" s="916"/>
      <c r="M126" s="916"/>
    </row>
    <row r="127" spans="1:13" s="103" customFormat="1" ht="15.75" hidden="1" customHeight="1" outlineLevel="1">
      <c r="A127" s="916"/>
      <c r="B127" s="1123">
        <v>39</v>
      </c>
      <c r="C127" s="1127"/>
      <c r="D127" s="1125"/>
      <c r="E127" s="1125" t="s">
        <v>18</v>
      </c>
      <c r="F127" s="1130" t="str">
        <f>VLOOKUP(E127,$N$13:$O$17,2,0)</f>
        <v>-</v>
      </c>
      <c r="G127" s="92"/>
      <c r="H127" s="1125"/>
      <c r="I127" s="1125"/>
      <c r="J127" s="1133"/>
      <c r="K127" s="1133"/>
      <c r="L127" s="916"/>
      <c r="M127" s="916"/>
    </row>
    <row r="128" spans="1:13" s="103" customFormat="1" ht="15.75" hidden="1" customHeight="1" outlineLevel="1">
      <c r="A128" s="916"/>
      <c r="B128" s="1123"/>
      <c r="C128" s="1127"/>
      <c r="D128" s="1125"/>
      <c r="E128" s="1125"/>
      <c r="F128" s="1130"/>
      <c r="G128" s="95"/>
      <c r="H128" s="1125"/>
      <c r="I128" s="1125"/>
      <c r="J128" s="1134"/>
      <c r="K128" s="1134"/>
      <c r="L128" s="916"/>
      <c r="M128" s="916"/>
    </row>
    <row r="129" spans="1:13" s="103" customFormat="1" ht="15.75" hidden="1" customHeight="1" outlineLevel="1">
      <c r="A129" s="916"/>
      <c r="B129" s="1124"/>
      <c r="C129" s="1128"/>
      <c r="D129" s="1126"/>
      <c r="E129" s="1126"/>
      <c r="F129" s="1132"/>
      <c r="G129" s="100"/>
      <c r="H129" s="1126"/>
      <c r="I129" s="1126"/>
      <c r="J129" s="1135"/>
      <c r="K129" s="1135"/>
      <c r="L129" s="916"/>
      <c r="M129" s="916"/>
    </row>
    <row r="130" spans="1:13" s="103" customFormat="1" ht="15.75" hidden="1" customHeight="1" outlineLevel="1">
      <c r="A130" s="916"/>
      <c r="B130" s="1123">
        <v>40</v>
      </c>
      <c r="C130" s="1127"/>
      <c r="D130" s="1125"/>
      <c r="E130" s="1125" t="s">
        <v>18</v>
      </c>
      <c r="F130" s="1130" t="str">
        <f>VLOOKUP(E130,$N$13:$O$17,2,0)</f>
        <v>-</v>
      </c>
      <c r="G130" s="92"/>
      <c r="H130" s="1125"/>
      <c r="I130" s="1125"/>
      <c r="J130" s="1133"/>
      <c r="K130" s="1133"/>
      <c r="L130" s="916"/>
      <c r="M130" s="916"/>
    </row>
    <row r="131" spans="1:13" s="103" customFormat="1" ht="15.75" hidden="1" customHeight="1" outlineLevel="1">
      <c r="A131" s="916"/>
      <c r="B131" s="1123"/>
      <c r="C131" s="1127"/>
      <c r="D131" s="1125"/>
      <c r="E131" s="1125"/>
      <c r="F131" s="1130"/>
      <c r="G131" s="95"/>
      <c r="H131" s="1125"/>
      <c r="I131" s="1125"/>
      <c r="J131" s="1134"/>
      <c r="K131" s="1134"/>
      <c r="L131" s="916"/>
      <c r="M131" s="916"/>
    </row>
    <row r="132" spans="1:13" s="103" customFormat="1" ht="15.75" hidden="1" customHeight="1" outlineLevel="1">
      <c r="A132" s="916"/>
      <c r="B132" s="1124"/>
      <c r="C132" s="1128"/>
      <c r="D132" s="1126"/>
      <c r="E132" s="1126"/>
      <c r="F132" s="1132"/>
      <c r="G132" s="100"/>
      <c r="H132" s="1126"/>
      <c r="I132" s="1126"/>
      <c r="J132" s="1135"/>
      <c r="K132" s="1135"/>
      <c r="L132" s="916"/>
      <c r="M132" s="916"/>
    </row>
    <row r="133" spans="1:13" s="103" customFormat="1" ht="15.75" hidden="1" customHeight="1" outlineLevel="1">
      <c r="A133" s="916"/>
      <c r="B133" s="1123">
        <v>41</v>
      </c>
      <c r="C133" s="1127"/>
      <c r="D133" s="1125"/>
      <c r="E133" s="1125" t="s">
        <v>18</v>
      </c>
      <c r="F133" s="1130" t="str">
        <f>VLOOKUP(E133,$N$13:$O$17,2,0)</f>
        <v>-</v>
      </c>
      <c r="G133" s="92"/>
      <c r="H133" s="1125"/>
      <c r="I133" s="1125"/>
      <c r="J133" s="1133"/>
      <c r="K133" s="1133"/>
      <c r="L133" s="916"/>
      <c r="M133" s="916"/>
    </row>
    <row r="134" spans="1:13" s="103" customFormat="1" ht="15.75" hidden="1" customHeight="1" outlineLevel="1">
      <c r="A134" s="916"/>
      <c r="B134" s="1123"/>
      <c r="C134" s="1127"/>
      <c r="D134" s="1125"/>
      <c r="E134" s="1125"/>
      <c r="F134" s="1130"/>
      <c r="G134" s="95"/>
      <c r="H134" s="1125"/>
      <c r="I134" s="1125"/>
      <c r="J134" s="1134"/>
      <c r="K134" s="1134"/>
      <c r="L134" s="916"/>
      <c r="M134" s="916"/>
    </row>
    <row r="135" spans="1:13" s="103" customFormat="1" ht="15.75" hidden="1" customHeight="1" outlineLevel="1">
      <c r="A135" s="916"/>
      <c r="B135" s="1124"/>
      <c r="C135" s="1128"/>
      <c r="D135" s="1126"/>
      <c r="E135" s="1126"/>
      <c r="F135" s="1132"/>
      <c r="G135" s="100"/>
      <c r="H135" s="1126"/>
      <c r="I135" s="1126"/>
      <c r="J135" s="1135"/>
      <c r="K135" s="1135"/>
      <c r="L135" s="916"/>
      <c r="M135" s="916"/>
    </row>
    <row r="136" spans="1:13" s="103" customFormat="1" ht="15.75" hidden="1" customHeight="1" outlineLevel="1">
      <c r="A136" s="916"/>
      <c r="B136" s="1123">
        <v>42</v>
      </c>
      <c r="C136" s="1127"/>
      <c r="D136" s="1125"/>
      <c r="E136" s="1125" t="s">
        <v>18</v>
      </c>
      <c r="F136" s="1130" t="str">
        <f>VLOOKUP(E136,$N$13:$O$17,2,0)</f>
        <v>-</v>
      </c>
      <c r="G136" s="92"/>
      <c r="H136" s="1125"/>
      <c r="I136" s="1125"/>
      <c r="J136" s="1133"/>
      <c r="K136" s="1133"/>
      <c r="L136" s="916"/>
      <c r="M136" s="916"/>
    </row>
    <row r="137" spans="1:13" s="103" customFormat="1" ht="15.75" hidden="1" customHeight="1" outlineLevel="1">
      <c r="A137" s="916"/>
      <c r="B137" s="1123"/>
      <c r="C137" s="1127"/>
      <c r="D137" s="1125"/>
      <c r="E137" s="1125"/>
      <c r="F137" s="1130"/>
      <c r="G137" s="95"/>
      <c r="H137" s="1125"/>
      <c r="I137" s="1125"/>
      <c r="J137" s="1134"/>
      <c r="K137" s="1134"/>
      <c r="L137" s="916"/>
      <c r="M137" s="916"/>
    </row>
    <row r="138" spans="1:13" s="103" customFormat="1" ht="15.75" hidden="1" customHeight="1" outlineLevel="1">
      <c r="A138" s="916"/>
      <c r="B138" s="1124"/>
      <c r="C138" s="1128"/>
      <c r="D138" s="1126"/>
      <c r="E138" s="1126"/>
      <c r="F138" s="1132"/>
      <c r="G138" s="100"/>
      <c r="H138" s="1126"/>
      <c r="I138" s="1126"/>
      <c r="J138" s="1135"/>
      <c r="K138" s="1135"/>
      <c r="L138" s="916"/>
      <c r="M138" s="916"/>
    </row>
    <row r="139" spans="1:13" s="103" customFormat="1" ht="15.75" hidden="1" customHeight="1" outlineLevel="1">
      <c r="A139" s="916"/>
      <c r="B139" s="1123">
        <v>43</v>
      </c>
      <c r="C139" s="1127"/>
      <c r="D139" s="1125"/>
      <c r="E139" s="1125" t="s">
        <v>18</v>
      </c>
      <c r="F139" s="1130" t="str">
        <f>VLOOKUP(E139,$N$13:$O$17,2,0)</f>
        <v>-</v>
      </c>
      <c r="G139" s="92"/>
      <c r="H139" s="1125"/>
      <c r="I139" s="1125"/>
      <c r="J139" s="1133"/>
      <c r="K139" s="1133"/>
      <c r="L139" s="916"/>
      <c r="M139" s="916"/>
    </row>
    <row r="140" spans="1:13" s="103" customFormat="1" ht="15.75" hidden="1" customHeight="1" outlineLevel="1">
      <c r="A140" s="916"/>
      <c r="B140" s="1123"/>
      <c r="C140" s="1127"/>
      <c r="D140" s="1125"/>
      <c r="E140" s="1125"/>
      <c r="F140" s="1130"/>
      <c r="G140" s="95"/>
      <c r="H140" s="1125"/>
      <c r="I140" s="1125"/>
      <c r="J140" s="1134"/>
      <c r="K140" s="1134"/>
      <c r="L140" s="916"/>
      <c r="M140" s="916"/>
    </row>
    <row r="141" spans="1:13" s="103" customFormat="1" ht="15.75" hidden="1" customHeight="1" outlineLevel="1">
      <c r="A141" s="916"/>
      <c r="B141" s="1124"/>
      <c r="C141" s="1128"/>
      <c r="D141" s="1126"/>
      <c r="E141" s="1126"/>
      <c r="F141" s="1132"/>
      <c r="G141" s="100"/>
      <c r="H141" s="1126"/>
      <c r="I141" s="1126"/>
      <c r="J141" s="1135"/>
      <c r="K141" s="1135"/>
      <c r="L141" s="916"/>
      <c r="M141" s="916"/>
    </row>
    <row r="142" spans="1:13" s="103" customFormat="1" ht="15.75" hidden="1" customHeight="1" outlineLevel="1">
      <c r="A142" s="916"/>
      <c r="B142" s="1123">
        <v>44</v>
      </c>
      <c r="C142" s="1127"/>
      <c r="D142" s="1125"/>
      <c r="E142" s="1125" t="s">
        <v>18</v>
      </c>
      <c r="F142" s="1130" t="str">
        <f>VLOOKUP(E142,$N$13:$O$17,2,0)</f>
        <v>-</v>
      </c>
      <c r="G142" s="92"/>
      <c r="H142" s="90"/>
      <c r="I142" s="1125"/>
      <c r="J142" s="1133"/>
      <c r="K142" s="1133"/>
      <c r="L142" s="916"/>
      <c r="M142" s="916"/>
    </row>
    <row r="143" spans="1:13" s="103" customFormat="1" ht="15.75" hidden="1" customHeight="1" outlineLevel="1">
      <c r="A143" s="916"/>
      <c r="B143" s="1123"/>
      <c r="C143" s="1127"/>
      <c r="D143" s="1125"/>
      <c r="E143" s="1125"/>
      <c r="F143" s="1130"/>
      <c r="G143" s="95"/>
      <c r="H143" s="90"/>
      <c r="I143" s="1125"/>
      <c r="J143" s="1134"/>
      <c r="K143" s="1134"/>
      <c r="L143" s="916"/>
      <c r="M143" s="916"/>
    </row>
    <row r="144" spans="1:13" s="103" customFormat="1" ht="15.75" hidden="1" customHeight="1" outlineLevel="1">
      <c r="A144" s="916"/>
      <c r="B144" s="1124"/>
      <c r="C144" s="1128"/>
      <c r="D144" s="1126"/>
      <c r="E144" s="1126"/>
      <c r="F144" s="1132"/>
      <c r="G144" s="100"/>
      <c r="H144" s="98"/>
      <c r="I144" s="1126"/>
      <c r="J144" s="1135"/>
      <c r="K144" s="1135"/>
      <c r="L144" s="916"/>
      <c r="M144" s="916"/>
    </row>
    <row r="145" spans="1:13" s="103" customFormat="1" ht="15.75" hidden="1" customHeight="1" outlineLevel="1">
      <c r="A145" s="916"/>
      <c r="B145" s="1123">
        <v>45</v>
      </c>
      <c r="C145" s="1127"/>
      <c r="D145" s="1125"/>
      <c r="E145" s="1125" t="s">
        <v>18</v>
      </c>
      <c r="F145" s="1130" t="str">
        <f>VLOOKUP(E145,$N$13:$O$17,2,0)</f>
        <v>-</v>
      </c>
      <c r="G145" s="92"/>
      <c r="H145" s="90"/>
      <c r="I145" s="1125"/>
      <c r="J145" s="1133"/>
      <c r="K145" s="1133"/>
      <c r="L145" s="916"/>
      <c r="M145" s="916"/>
    </row>
    <row r="146" spans="1:13" s="103" customFormat="1" ht="15.75" hidden="1" customHeight="1" outlineLevel="1">
      <c r="A146" s="916"/>
      <c r="B146" s="1123"/>
      <c r="C146" s="1127"/>
      <c r="D146" s="1125"/>
      <c r="E146" s="1125"/>
      <c r="F146" s="1130"/>
      <c r="G146" s="95"/>
      <c r="H146" s="90"/>
      <c r="I146" s="1125"/>
      <c r="J146" s="1134"/>
      <c r="K146" s="1134"/>
      <c r="L146" s="916"/>
      <c r="M146" s="916"/>
    </row>
    <row r="147" spans="1:13" s="103" customFormat="1" ht="15.75" hidden="1" customHeight="1" outlineLevel="1">
      <c r="A147" s="916"/>
      <c r="B147" s="1124"/>
      <c r="C147" s="1128"/>
      <c r="D147" s="1126"/>
      <c r="E147" s="1126"/>
      <c r="F147" s="1132"/>
      <c r="G147" s="100"/>
      <c r="H147" s="98"/>
      <c r="I147" s="1126"/>
      <c r="J147" s="1135"/>
      <c r="K147" s="1135"/>
      <c r="L147" s="916"/>
      <c r="M147" s="916"/>
    </row>
    <row r="148" spans="1:13" s="103" customFormat="1" ht="15.75" hidden="1" customHeight="1" outlineLevel="1">
      <c r="A148" s="916"/>
      <c r="B148" s="1123">
        <v>46</v>
      </c>
      <c r="C148" s="1127"/>
      <c r="D148" s="1125"/>
      <c r="E148" s="1125" t="s">
        <v>18</v>
      </c>
      <c r="F148" s="1130" t="str">
        <f>VLOOKUP(E148,$N$13:$O$17,2,0)</f>
        <v>-</v>
      </c>
      <c r="G148" s="92"/>
      <c r="H148" s="90"/>
      <c r="I148" s="1125"/>
      <c r="J148" s="1133"/>
      <c r="K148" s="1133"/>
      <c r="L148" s="916"/>
      <c r="M148" s="916"/>
    </row>
    <row r="149" spans="1:13" s="103" customFormat="1" ht="15.75" hidden="1" customHeight="1" outlineLevel="1">
      <c r="A149" s="916"/>
      <c r="B149" s="1123"/>
      <c r="C149" s="1127"/>
      <c r="D149" s="1125"/>
      <c r="E149" s="1125"/>
      <c r="F149" s="1130"/>
      <c r="G149" s="95"/>
      <c r="H149" s="90"/>
      <c r="I149" s="1125"/>
      <c r="J149" s="1134"/>
      <c r="K149" s="1134"/>
      <c r="L149" s="916"/>
      <c r="M149" s="916"/>
    </row>
    <row r="150" spans="1:13" s="103" customFormat="1" ht="15.75" hidden="1" customHeight="1" outlineLevel="1">
      <c r="A150" s="916"/>
      <c r="B150" s="1124"/>
      <c r="C150" s="1128"/>
      <c r="D150" s="1126"/>
      <c r="E150" s="1126"/>
      <c r="F150" s="1132"/>
      <c r="G150" s="100"/>
      <c r="H150" s="98"/>
      <c r="I150" s="1126"/>
      <c r="J150" s="1135"/>
      <c r="K150" s="1135"/>
      <c r="L150" s="916"/>
      <c r="M150" s="916"/>
    </row>
    <row r="151" spans="1:13" s="103" customFormat="1" ht="15.75" hidden="1" customHeight="1" outlineLevel="1">
      <c r="A151" s="916"/>
      <c r="B151" s="1123">
        <v>47</v>
      </c>
      <c r="C151" s="1127"/>
      <c r="D151" s="1125"/>
      <c r="E151" s="1125" t="s">
        <v>18</v>
      </c>
      <c r="F151" s="1130" t="str">
        <f>VLOOKUP(E151,$N$13:$O$17,2,0)</f>
        <v>-</v>
      </c>
      <c r="G151" s="92"/>
      <c r="H151" s="90"/>
      <c r="I151" s="1125"/>
      <c r="J151" s="1133"/>
      <c r="K151" s="1133"/>
      <c r="L151" s="916"/>
      <c r="M151" s="916"/>
    </row>
    <row r="152" spans="1:13" s="103" customFormat="1" ht="15.75" hidden="1" customHeight="1" outlineLevel="1">
      <c r="A152" s="916"/>
      <c r="B152" s="1123"/>
      <c r="C152" s="1127"/>
      <c r="D152" s="1125"/>
      <c r="E152" s="1125"/>
      <c r="F152" s="1130"/>
      <c r="G152" s="95"/>
      <c r="H152" s="90"/>
      <c r="I152" s="1125"/>
      <c r="J152" s="1134"/>
      <c r="K152" s="1134"/>
      <c r="L152" s="916"/>
      <c r="M152" s="916"/>
    </row>
    <row r="153" spans="1:13" s="103" customFormat="1" ht="15.75" hidden="1" customHeight="1" outlineLevel="1">
      <c r="A153" s="916"/>
      <c r="B153" s="1124"/>
      <c r="C153" s="1128"/>
      <c r="D153" s="1126"/>
      <c r="E153" s="1126"/>
      <c r="F153" s="1132"/>
      <c r="G153" s="100"/>
      <c r="H153" s="98"/>
      <c r="I153" s="1126"/>
      <c r="J153" s="1135"/>
      <c r="K153" s="1135"/>
      <c r="L153" s="916"/>
      <c r="M153" s="916"/>
    </row>
    <row r="154" spans="1:13" s="103" customFormat="1" ht="15.75" hidden="1" customHeight="1" outlineLevel="1">
      <c r="A154" s="916"/>
      <c r="B154" s="1123">
        <v>48</v>
      </c>
      <c r="C154" s="1127"/>
      <c r="D154" s="1125"/>
      <c r="E154" s="1125" t="s">
        <v>18</v>
      </c>
      <c r="F154" s="1130" t="str">
        <f>VLOOKUP(E154,$N$13:$O$17,2,0)</f>
        <v>-</v>
      </c>
      <c r="G154" s="92"/>
      <c r="H154" s="90"/>
      <c r="I154" s="1125"/>
      <c r="J154" s="1133"/>
      <c r="K154" s="1133"/>
      <c r="L154" s="916"/>
      <c r="M154" s="916"/>
    </row>
    <row r="155" spans="1:13" s="103" customFormat="1" ht="15.75" hidden="1" customHeight="1" outlineLevel="1">
      <c r="A155" s="916"/>
      <c r="B155" s="1123"/>
      <c r="C155" s="1127"/>
      <c r="D155" s="1125"/>
      <c r="E155" s="1125"/>
      <c r="F155" s="1130"/>
      <c r="G155" s="95"/>
      <c r="H155" s="90"/>
      <c r="I155" s="1125"/>
      <c r="J155" s="1134"/>
      <c r="K155" s="1134"/>
      <c r="L155" s="916"/>
      <c r="M155" s="916"/>
    </row>
    <row r="156" spans="1:13" s="103" customFormat="1" ht="15.75" hidden="1" customHeight="1" outlineLevel="1">
      <c r="A156" s="916"/>
      <c r="B156" s="1124"/>
      <c r="C156" s="1128"/>
      <c r="D156" s="1126"/>
      <c r="E156" s="1126"/>
      <c r="F156" s="1132"/>
      <c r="G156" s="100"/>
      <c r="H156" s="98"/>
      <c r="I156" s="1126"/>
      <c r="J156" s="1135"/>
      <c r="K156" s="1135"/>
      <c r="L156" s="916"/>
      <c r="M156" s="916"/>
    </row>
    <row r="157" spans="1:13" s="103" customFormat="1" ht="15.75" hidden="1" customHeight="1" outlineLevel="1">
      <c r="A157" s="916"/>
      <c r="B157" s="1123">
        <v>49</v>
      </c>
      <c r="C157" s="1127"/>
      <c r="D157" s="1125"/>
      <c r="E157" s="1125" t="s">
        <v>18</v>
      </c>
      <c r="F157" s="1130" t="str">
        <f>VLOOKUP(E157,$N$13:$O$17,2,0)</f>
        <v>-</v>
      </c>
      <c r="G157" s="92"/>
      <c r="H157" s="90"/>
      <c r="I157" s="1125"/>
      <c r="J157" s="1133"/>
      <c r="K157" s="1133"/>
      <c r="L157" s="916"/>
      <c r="M157" s="916"/>
    </row>
    <row r="158" spans="1:13" s="103" customFormat="1" ht="15.75" hidden="1" customHeight="1" outlineLevel="1">
      <c r="A158" s="916"/>
      <c r="B158" s="1123"/>
      <c r="C158" s="1127"/>
      <c r="D158" s="1125"/>
      <c r="E158" s="1125"/>
      <c r="F158" s="1130"/>
      <c r="G158" s="95"/>
      <c r="H158" s="90"/>
      <c r="I158" s="1125"/>
      <c r="J158" s="1134"/>
      <c r="K158" s="1134"/>
      <c r="L158" s="916"/>
      <c r="M158" s="916"/>
    </row>
    <row r="159" spans="1:13" s="103" customFormat="1" ht="15.75" hidden="1" customHeight="1" outlineLevel="1">
      <c r="A159" s="916"/>
      <c r="B159" s="1124"/>
      <c r="C159" s="1128"/>
      <c r="D159" s="1126"/>
      <c r="E159" s="1126"/>
      <c r="F159" s="1132"/>
      <c r="G159" s="100"/>
      <c r="H159" s="98"/>
      <c r="I159" s="1126"/>
      <c r="J159" s="1135"/>
      <c r="K159" s="1135"/>
      <c r="L159" s="916"/>
      <c r="M159" s="916"/>
    </row>
    <row r="160" spans="1:13" s="103" customFormat="1" ht="15.75" hidden="1" customHeight="1" outlineLevel="1">
      <c r="A160" s="916"/>
      <c r="B160" s="1123">
        <v>50</v>
      </c>
      <c r="C160" s="1127"/>
      <c r="D160" s="1125"/>
      <c r="E160" s="1125" t="s">
        <v>18</v>
      </c>
      <c r="F160" s="1130" t="str">
        <f>VLOOKUP(E160,$N$13:$O$17,2,0)</f>
        <v>-</v>
      </c>
      <c r="G160" s="92"/>
      <c r="H160" s="90"/>
      <c r="I160" s="1125"/>
      <c r="J160" s="1133"/>
      <c r="K160" s="1133"/>
      <c r="L160" s="916"/>
      <c r="M160" s="916"/>
    </row>
    <row r="161" spans="1:13" s="103" customFormat="1" ht="15.75" hidden="1" customHeight="1" outlineLevel="1">
      <c r="A161" s="916"/>
      <c r="B161" s="1123"/>
      <c r="C161" s="1127"/>
      <c r="D161" s="1125"/>
      <c r="E161" s="1125"/>
      <c r="F161" s="1130"/>
      <c r="G161" s="95"/>
      <c r="H161" s="90"/>
      <c r="I161" s="1125"/>
      <c r="J161" s="1134"/>
      <c r="K161" s="1134"/>
      <c r="L161" s="916"/>
      <c r="M161" s="916"/>
    </row>
    <row r="162" spans="1:13" s="103" customFormat="1" ht="15.75" hidden="1" customHeight="1" outlineLevel="1">
      <c r="A162" s="916"/>
      <c r="B162" s="1124"/>
      <c r="C162" s="1128"/>
      <c r="D162" s="1126"/>
      <c r="E162" s="1126"/>
      <c r="F162" s="1132"/>
      <c r="G162" s="100"/>
      <c r="H162" s="98"/>
      <c r="I162" s="1126"/>
      <c r="J162" s="1135"/>
      <c r="K162" s="1135"/>
      <c r="L162" s="916"/>
      <c r="M162" s="916"/>
    </row>
    <row r="163" spans="1:13" s="103" customFormat="1" ht="15.75" hidden="1" customHeight="1" outlineLevel="1">
      <c r="A163" s="916"/>
      <c r="B163" s="1123">
        <v>51</v>
      </c>
      <c r="C163" s="1127"/>
      <c r="D163" s="1125"/>
      <c r="E163" s="1125" t="s">
        <v>18</v>
      </c>
      <c r="F163" s="1130" t="str">
        <f>VLOOKUP(E163,$N$13:$O$17,2,0)</f>
        <v>-</v>
      </c>
      <c r="G163" s="92"/>
      <c r="H163" s="90"/>
      <c r="I163" s="1125"/>
      <c r="J163" s="1133"/>
      <c r="K163" s="1133"/>
      <c r="L163" s="916"/>
      <c r="M163" s="916"/>
    </row>
    <row r="164" spans="1:13" s="103" customFormat="1" ht="15.75" hidden="1" customHeight="1" outlineLevel="1">
      <c r="A164" s="916"/>
      <c r="B164" s="1123"/>
      <c r="C164" s="1127"/>
      <c r="D164" s="1125"/>
      <c r="E164" s="1125"/>
      <c r="F164" s="1130"/>
      <c r="G164" s="95"/>
      <c r="H164" s="90"/>
      <c r="I164" s="1125"/>
      <c r="J164" s="1134"/>
      <c r="K164" s="1134"/>
      <c r="L164" s="916"/>
      <c r="M164" s="916"/>
    </row>
    <row r="165" spans="1:13" s="103" customFormat="1" ht="15.75" hidden="1" customHeight="1" outlineLevel="1">
      <c r="A165" s="916"/>
      <c r="B165" s="1124"/>
      <c r="C165" s="1128"/>
      <c r="D165" s="1126"/>
      <c r="E165" s="1126"/>
      <c r="F165" s="1132"/>
      <c r="G165" s="100"/>
      <c r="H165" s="98"/>
      <c r="I165" s="1126"/>
      <c r="J165" s="1135"/>
      <c r="K165" s="1135"/>
      <c r="L165" s="916"/>
      <c r="M165" s="916"/>
    </row>
    <row r="166" spans="1:13" s="103" customFormat="1" ht="15.75" hidden="1" customHeight="1" outlineLevel="1">
      <c r="A166" s="916"/>
      <c r="B166" s="1123">
        <v>52</v>
      </c>
      <c r="C166" s="1127"/>
      <c r="D166" s="1125"/>
      <c r="E166" s="1125" t="s">
        <v>18</v>
      </c>
      <c r="F166" s="1130" t="str">
        <f>VLOOKUP(E166,$N$13:$O$17,2,0)</f>
        <v>-</v>
      </c>
      <c r="G166" s="92"/>
      <c r="H166" s="90"/>
      <c r="I166" s="1125"/>
      <c r="J166" s="1133"/>
      <c r="K166" s="1133"/>
      <c r="L166" s="916"/>
      <c r="M166" s="916"/>
    </row>
    <row r="167" spans="1:13" s="103" customFormat="1" ht="15.75" hidden="1" customHeight="1" outlineLevel="1">
      <c r="A167" s="916"/>
      <c r="B167" s="1123"/>
      <c r="C167" s="1127"/>
      <c r="D167" s="1125"/>
      <c r="E167" s="1125"/>
      <c r="F167" s="1130"/>
      <c r="G167" s="95"/>
      <c r="H167" s="90"/>
      <c r="I167" s="1125"/>
      <c r="J167" s="1134"/>
      <c r="K167" s="1134"/>
      <c r="L167" s="916"/>
      <c r="M167" s="916"/>
    </row>
    <row r="168" spans="1:13" s="103" customFormat="1" ht="15.75" hidden="1" customHeight="1" outlineLevel="1">
      <c r="A168" s="916"/>
      <c r="B168" s="1124"/>
      <c r="C168" s="1128"/>
      <c r="D168" s="1126"/>
      <c r="E168" s="1126"/>
      <c r="F168" s="1132"/>
      <c r="G168" s="100"/>
      <c r="H168" s="98"/>
      <c r="I168" s="1126"/>
      <c r="J168" s="1135"/>
      <c r="K168" s="1135"/>
      <c r="L168" s="916"/>
      <c r="M168" s="916"/>
    </row>
    <row r="169" spans="1:13" s="103" customFormat="1" ht="15.75" hidden="1" customHeight="1" outlineLevel="1">
      <c r="A169" s="916"/>
      <c r="B169" s="1123">
        <v>53</v>
      </c>
      <c r="C169" s="1127"/>
      <c r="D169" s="1125"/>
      <c r="E169" s="1125" t="s">
        <v>18</v>
      </c>
      <c r="F169" s="1130" t="str">
        <f>VLOOKUP(E169,$N$13:$O$17,2,0)</f>
        <v>-</v>
      </c>
      <c r="G169" s="92"/>
      <c r="H169" s="90"/>
      <c r="I169" s="1125"/>
      <c r="J169" s="1133"/>
      <c r="K169" s="1133"/>
      <c r="L169" s="916"/>
      <c r="M169" s="916"/>
    </row>
    <row r="170" spans="1:13" s="103" customFormat="1" ht="15.75" hidden="1" customHeight="1" outlineLevel="1">
      <c r="A170" s="916"/>
      <c r="B170" s="1123"/>
      <c r="C170" s="1127"/>
      <c r="D170" s="1125"/>
      <c r="E170" s="1125"/>
      <c r="F170" s="1130"/>
      <c r="G170" s="95"/>
      <c r="H170" s="90"/>
      <c r="I170" s="1125"/>
      <c r="J170" s="1134"/>
      <c r="K170" s="1134"/>
      <c r="L170" s="916"/>
      <c r="M170" s="916"/>
    </row>
    <row r="171" spans="1:13" s="103" customFormat="1" ht="15.75" hidden="1" customHeight="1" outlineLevel="1">
      <c r="A171" s="916"/>
      <c r="B171" s="1124"/>
      <c r="C171" s="1128"/>
      <c r="D171" s="1126"/>
      <c r="E171" s="1126"/>
      <c r="F171" s="1132"/>
      <c r="G171" s="100"/>
      <c r="H171" s="98"/>
      <c r="I171" s="1126"/>
      <c r="J171" s="1135"/>
      <c r="K171" s="1135"/>
      <c r="L171" s="916"/>
      <c r="M171" s="916"/>
    </row>
    <row r="172" spans="1:13" s="103" customFormat="1" ht="15.75" hidden="1" customHeight="1" outlineLevel="1">
      <c r="A172" s="916"/>
      <c r="B172" s="1123">
        <v>54</v>
      </c>
      <c r="C172" s="1127"/>
      <c r="D172" s="1125"/>
      <c r="E172" s="1125" t="s">
        <v>18</v>
      </c>
      <c r="F172" s="1130" t="str">
        <f>VLOOKUP(E172,$N$13:$O$17,2,0)</f>
        <v>-</v>
      </c>
      <c r="G172" s="92"/>
      <c r="H172" s="90"/>
      <c r="I172" s="1125"/>
      <c r="J172" s="1133"/>
      <c r="K172" s="1133"/>
      <c r="L172" s="916"/>
      <c r="M172" s="916"/>
    </row>
    <row r="173" spans="1:13" s="103" customFormat="1" ht="15.75" hidden="1" customHeight="1" outlineLevel="1">
      <c r="A173" s="916"/>
      <c r="B173" s="1123"/>
      <c r="C173" s="1127"/>
      <c r="D173" s="1125"/>
      <c r="E173" s="1125"/>
      <c r="F173" s="1130"/>
      <c r="G173" s="95"/>
      <c r="H173" s="90"/>
      <c r="I173" s="1125"/>
      <c r="J173" s="1134"/>
      <c r="K173" s="1134"/>
      <c r="L173" s="916"/>
      <c r="M173" s="916"/>
    </row>
    <row r="174" spans="1:13" s="103" customFormat="1" ht="15.75" hidden="1" customHeight="1" outlineLevel="1">
      <c r="A174" s="916"/>
      <c r="B174" s="1124"/>
      <c r="C174" s="1128"/>
      <c r="D174" s="1126"/>
      <c r="E174" s="1126"/>
      <c r="F174" s="1132"/>
      <c r="G174" s="100"/>
      <c r="H174" s="98"/>
      <c r="I174" s="1126"/>
      <c r="J174" s="1135"/>
      <c r="K174" s="1135"/>
      <c r="L174" s="916"/>
      <c r="M174" s="916"/>
    </row>
    <row r="175" spans="1:13" s="103" customFormat="1" ht="15.75" hidden="1" customHeight="1" outlineLevel="1">
      <c r="A175" s="916"/>
      <c r="B175" s="1123">
        <v>55</v>
      </c>
      <c r="C175" s="1127"/>
      <c r="D175" s="1125"/>
      <c r="E175" s="1125" t="s">
        <v>18</v>
      </c>
      <c r="F175" s="1130" t="str">
        <f>VLOOKUP(E175,$N$13:$O$17,2,0)</f>
        <v>-</v>
      </c>
      <c r="G175" s="92"/>
      <c r="H175" s="90"/>
      <c r="I175" s="1125"/>
      <c r="J175" s="1133"/>
      <c r="K175" s="1133"/>
      <c r="L175" s="916"/>
      <c r="M175" s="916"/>
    </row>
    <row r="176" spans="1:13" s="103" customFormat="1" ht="15.75" hidden="1" customHeight="1" outlineLevel="1">
      <c r="A176" s="916"/>
      <c r="B176" s="1123"/>
      <c r="C176" s="1127"/>
      <c r="D176" s="1125"/>
      <c r="E176" s="1125"/>
      <c r="F176" s="1130"/>
      <c r="G176" s="95"/>
      <c r="H176" s="90"/>
      <c r="I176" s="1125"/>
      <c r="J176" s="1134"/>
      <c r="K176" s="1134"/>
      <c r="L176" s="916"/>
      <c r="M176" s="916"/>
    </row>
    <row r="177" spans="1:13" s="103" customFormat="1" ht="15.75" hidden="1" customHeight="1" outlineLevel="1">
      <c r="A177" s="916"/>
      <c r="B177" s="1124"/>
      <c r="C177" s="1128"/>
      <c r="D177" s="1126"/>
      <c r="E177" s="1126"/>
      <c r="F177" s="1132"/>
      <c r="G177" s="100"/>
      <c r="H177" s="98"/>
      <c r="I177" s="1126"/>
      <c r="J177" s="1135"/>
      <c r="K177" s="1135"/>
      <c r="L177" s="916"/>
      <c r="M177" s="916"/>
    </row>
    <row r="178" spans="1:13" s="103" customFormat="1" ht="15.75" hidden="1" customHeight="1" outlineLevel="1">
      <c r="A178" s="916"/>
      <c r="B178" s="1123">
        <v>56</v>
      </c>
      <c r="C178" s="1127"/>
      <c r="D178" s="1125"/>
      <c r="E178" s="1125" t="s">
        <v>18</v>
      </c>
      <c r="F178" s="1130" t="str">
        <f>VLOOKUP(E178,$N$13:$O$17,2,0)</f>
        <v>-</v>
      </c>
      <c r="G178" s="92"/>
      <c r="H178" s="90"/>
      <c r="I178" s="1125"/>
      <c r="J178" s="1133"/>
      <c r="K178" s="1133"/>
      <c r="L178" s="916"/>
      <c r="M178" s="916"/>
    </row>
    <row r="179" spans="1:13" s="103" customFormat="1" ht="15.75" hidden="1" customHeight="1" outlineLevel="1">
      <c r="A179" s="916"/>
      <c r="B179" s="1123"/>
      <c r="C179" s="1127"/>
      <c r="D179" s="1125"/>
      <c r="E179" s="1125"/>
      <c r="F179" s="1130"/>
      <c r="G179" s="95"/>
      <c r="H179" s="90"/>
      <c r="I179" s="1125"/>
      <c r="J179" s="1134"/>
      <c r="K179" s="1134"/>
      <c r="L179" s="916"/>
      <c r="M179" s="916"/>
    </row>
    <row r="180" spans="1:13" s="103" customFormat="1" ht="15.75" hidden="1" customHeight="1" outlineLevel="1">
      <c r="A180" s="916"/>
      <c r="B180" s="1124"/>
      <c r="C180" s="1128"/>
      <c r="D180" s="1126"/>
      <c r="E180" s="1126"/>
      <c r="F180" s="1132"/>
      <c r="G180" s="100"/>
      <c r="H180" s="98"/>
      <c r="I180" s="1126"/>
      <c r="J180" s="1135"/>
      <c r="K180" s="1135"/>
      <c r="L180" s="916"/>
      <c r="M180" s="916"/>
    </row>
    <row r="181" spans="1:13" s="103" customFormat="1" ht="15.75" hidden="1" customHeight="1" outlineLevel="1">
      <c r="A181" s="916"/>
      <c r="B181" s="1123">
        <v>57</v>
      </c>
      <c r="C181" s="1127"/>
      <c r="D181" s="1125"/>
      <c r="E181" s="1125" t="s">
        <v>18</v>
      </c>
      <c r="F181" s="1130" t="str">
        <f>VLOOKUP(E181,$N$13:$O$17,2,0)</f>
        <v>-</v>
      </c>
      <c r="G181" s="92"/>
      <c r="H181" s="90"/>
      <c r="I181" s="1125"/>
      <c r="J181" s="1133"/>
      <c r="K181" s="1133"/>
      <c r="L181" s="916"/>
      <c r="M181" s="916"/>
    </row>
    <row r="182" spans="1:13" s="103" customFormat="1" ht="15.75" hidden="1" customHeight="1" outlineLevel="1">
      <c r="A182" s="916"/>
      <c r="B182" s="1123"/>
      <c r="C182" s="1127"/>
      <c r="D182" s="1125"/>
      <c r="E182" s="1125"/>
      <c r="F182" s="1130"/>
      <c r="G182" s="95"/>
      <c r="H182" s="90"/>
      <c r="I182" s="1125"/>
      <c r="J182" s="1134"/>
      <c r="K182" s="1134"/>
      <c r="L182" s="916"/>
      <c r="M182" s="916"/>
    </row>
    <row r="183" spans="1:13" s="103" customFormat="1" ht="15.75" hidden="1" customHeight="1" outlineLevel="1">
      <c r="A183" s="916"/>
      <c r="B183" s="1124"/>
      <c r="C183" s="1128"/>
      <c r="D183" s="1126"/>
      <c r="E183" s="1126"/>
      <c r="F183" s="1132"/>
      <c r="G183" s="100"/>
      <c r="H183" s="98"/>
      <c r="I183" s="1126"/>
      <c r="J183" s="1135"/>
      <c r="K183" s="1135"/>
      <c r="L183" s="916"/>
      <c r="M183" s="916"/>
    </row>
    <row r="184" spans="1:13" s="103" customFormat="1" ht="15.75" hidden="1" customHeight="1" outlineLevel="1">
      <c r="A184" s="916"/>
      <c r="B184" s="1123">
        <v>58</v>
      </c>
      <c r="C184" s="1127"/>
      <c r="D184" s="1125"/>
      <c r="E184" s="1125" t="s">
        <v>18</v>
      </c>
      <c r="F184" s="1130" t="str">
        <f>VLOOKUP(E184,$N$13:$O$17,2,0)</f>
        <v>-</v>
      </c>
      <c r="G184" s="92"/>
      <c r="H184" s="90"/>
      <c r="I184" s="1125"/>
      <c r="J184" s="1133"/>
      <c r="K184" s="1133"/>
      <c r="L184" s="916"/>
      <c r="M184" s="916"/>
    </row>
    <row r="185" spans="1:13" s="103" customFormat="1" ht="15.75" hidden="1" customHeight="1" outlineLevel="1">
      <c r="A185" s="916"/>
      <c r="B185" s="1123"/>
      <c r="C185" s="1127"/>
      <c r="D185" s="1125"/>
      <c r="E185" s="1125"/>
      <c r="F185" s="1130"/>
      <c r="G185" s="95"/>
      <c r="H185" s="90"/>
      <c r="I185" s="1125"/>
      <c r="J185" s="1134"/>
      <c r="K185" s="1134"/>
      <c r="L185" s="916"/>
      <c r="M185" s="916"/>
    </row>
    <row r="186" spans="1:13" s="103" customFormat="1" ht="15.75" hidden="1" customHeight="1" outlineLevel="1">
      <c r="A186" s="916"/>
      <c r="B186" s="1124"/>
      <c r="C186" s="1128"/>
      <c r="D186" s="1126"/>
      <c r="E186" s="1126"/>
      <c r="F186" s="1132"/>
      <c r="G186" s="100"/>
      <c r="H186" s="98"/>
      <c r="I186" s="1126"/>
      <c r="J186" s="1135"/>
      <c r="K186" s="1135"/>
      <c r="L186" s="916"/>
      <c r="M186" s="916"/>
    </row>
    <row r="187" spans="1:13" s="103" customFormat="1" ht="15.75" hidden="1" customHeight="1" outlineLevel="1">
      <c r="A187" s="916"/>
      <c r="B187" s="1123">
        <v>59</v>
      </c>
      <c r="C187" s="1127"/>
      <c r="D187" s="1125"/>
      <c r="E187" s="1125" t="s">
        <v>18</v>
      </c>
      <c r="F187" s="1130" t="str">
        <f>VLOOKUP(E187,$N$13:$O$17,2,0)</f>
        <v>-</v>
      </c>
      <c r="G187" s="92"/>
      <c r="H187" s="90"/>
      <c r="I187" s="1125"/>
      <c r="J187" s="1133"/>
      <c r="K187" s="1133"/>
      <c r="L187" s="916"/>
      <c r="M187" s="916"/>
    </row>
    <row r="188" spans="1:13" s="103" customFormat="1" ht="15.75" hidden="1" customHeight="1" outlineLevel="1">
      <c r="A188" s="916"/>
      <c r="B188" s="1123"/>
      <c r="C188" s="1127"/>
      <c r="D188" s="1125"/>
      <c r="E188" s="1125"/>
      <c r="F188" s="1130"/>
      <c r="G188" s="95"/>
      <c r="H188" s="90"/>
      <c r="I188" s="1125"/>
      <c r="J188" s="1134"/>
      <c r="K188" s="1134"/>
      <c r="L188" s="916"/>
      <c r="M188" s="916"/>
    </row>
    <row r="189" spans="1:13" s="103" customFormat="1" ht="15.75" hidden="1" customHeight="1" outlineLevel="1">
      <c r="A189" s="916"/>
      <c r="B189" s="1124"/>
      <c r="C189" s="1128"/>
      <c r="D189" s="1126"/>
      <c r="E189" s="1126"/>
      <c r="F189" s="1132"/>
      <c r="G189" s="100"/>
      <c r="H189" s="98"/>
      <c r="I189" s="1126"/>
      <c r="J189" s="1135"/>
      <c r="K189" s="1135"/>
      <c r="L189" s="916"/>
      <c r="M189" s="916"/>
    </row>
    <row r="190" spans="1:13" s="103" customFormat="1" ht="15.75" hidden="1" customHeight="1" outlineLevel="1">
      <c r="A190" s="916"/>
      <c r="B190" s="1123">
        <v>60</v>
      </c>
      <c r="C190" s="1127"/>
      <c r="D190" s="1125"/>
      <c r="E190" s="1125" t="s">
        <v>18</v>
      </c>
      <c r="F190" s="1130" t="str">
        <f>VLOOKUP(E190,$N$13:$O$17,2,0)</f>
        <v>-</v>
      </c>
      <c r="G190" s="92"/>
      <c r="H190" s="90"/>
      <c r="I190" s="1125"/>
      <c r="J190" s="1133"/>
      <c r="K190" s="1133"/>
      <c r="L190" s="916"/>
      <c r="M190" s="916"/>
    </row>
    <row r="191" spans="1:13" s="103" customFormat="1" ht="15.75" hidden="1" customHeight="1" outlineLevel="1">
      <c r="A191" s="916"/>
      <c r="B191" s="1123"/>
      <c r="C191" s="1127"/>
      <c r="D191" s="1125"/>
      <c r="E191" s="1125"/>
      <c r="F191" s="1130"/>
      <c r="G191" s="95"/>
      <c r="H191" s="90"/>
      <c r="I191" s="1125"/>
      <c r="J191" s="1134"/>
      <c r="K191" s="1134"/>
      <c r="L191" s="916"/>
      <c r="M191" s="916"/>
    </row>
    <row r="192" spans="1:13" s="103" customFormat="1" ht="15.75" hidden="1" customHeight="1" outlineLevel="1">
      <c r="A192" s="916"/>
      <c r="B192" s="1124"/>
      <c r="C192" s="1128"/>
      <c r="D192" s="1126"/>
      <c r="E192" s="1126"/>
      <c r="F192" s="1132"/>
      <c r="G192" s="100"/>
      <c r="H192" s="98"/>
      <c r="I192" s="1126"/>
      <c r="J192" s="1135"/>
      <c r="K192" s="1135"/>
      <c r="L192" s="916"/>
      <c r="M192" s="916"/>
    </row>
    <row r="193" spans="1:13" s="103" customFormat="1" ht="15.75" hidden="1" customHeight="1" outlineLevel="1">
      <c r="A193" s="916"/>
      <c r="B193" s="1123">
        <v>61</v>
      </c>
      <c r="C193" s="1127"/>
      <c r="D193" s="1125"/>
      <c r="E193" s="1125" t="s">
        <v>18</v>
      </c>
      <c r="F193" s="1130" t="str">
        <f>VLOOKUP(E193,$N$13:$O$17,2,0)</f>
        <v>-</v>
      </c>
      <c r="G193" s="92"/>
      <c r="H193" s="90"/>
      <c r="I193" s="1125"/>
      <c r="J193" s="1133"/>
      <c r="K193" s="1133"/>
      <c r="L193" s="916"/>
      <c r="M193" s="916"/>
    </row>
    <row r="194" spans="1:13" s="103" customFormat="1" ht="15.75" hidden="1" customHeight="1" outlineLevel="1">
      <c r="A194" s="916"/>
      <c r="B194" s="1123"/>
      <c r="C194" s="1127"/>
      <c r="D194" s="1125"/>
      <c r="E194" s="1125"/>
      <c r="F194" s="1130"/>
      <c r="G194" s="95"/>
      <c r="H194" s="90"/>
      <c r="I194" s="1125"/>
      <c r="J194" s="1134"/>
      <c r="K194" s="1134"/>
      <c r="L194" s="916"/>
      <c r="M194" s="916"/>
    </row>
    <row r="195" spans="1:13" s="103" customFormat="1" ht="15.75" hidden="1" customHeight="1" outlineLevel="1">
      <c r="A195" s="916"/>
      <c r="B195" s="1124"/>
      <c r="C195" s="1128"/>
      <c r="D195" s="1126"/>
      <c r="E195" s="1126"/>
      <c r="F195" s="1132"/>
      <c r="G195" s="100"/>
      <c r="H195" s="98"/>
      <c r="I195" s="1126"/>
      <c r="J195" s="1135"/>
      <c r="K195" s="1135"/>
      <c r="L195" s="916"/>
      <c r="M195" s="916"/>
    </row>
    <row r="196" spans="1:13" s="103" customFormat="1" ht="15.75" hidden="1" customHeight="1" outlineLevel="1">
      <c r="A196" s="916"/>
      <c r="B196" s="1123">
        <v>62</v>
      </c>
      <c r="C196" s="1127"/>
      <c r="D196" s="1125"/>
      <c r="E196" s="1125" t="s">
        <v>18</v>
      </c>
      <c r="F196" s="1130" t="str">
        <f>VLOOKUP(E196,$N$13:$O$17,2,0)</f>
        <v>-</v>
      </c>
      <c r="G196" s="92"/>
      <c r="H196" s="90"/>
      <c r="I196" s="1125"/>
      <c r="J196" s="1133"/>
      <c r="K196" s="1133"/>
      <c r="L196" s="916"/>
      <c r="M196" s="916"/>
    </row>
    <row r="197" spans="1:13" s="103" customFormat="1" ht="15.75" hidden="1" customHeight="1" outlineLevel="1">
      <c r="A197" s="916"/>
      <c r="B197" s="1123"/>
      <c r="C197" s="1127"/>
      <c r="D197" s="1125"/>
      <c r="E197" s="1125"/>
      <c r="F197" s="1130"/>
      <c r="G197" s="95"/>
      <c r="H197" s="90"/>
      <c r="I197" s="1125"/>
      <c r="J197" s="1134"/>
      <c r="K197" s="1134"/>
      <c r="L197" s="916"/>
      <c r="M197" s="916"/>
    </row>
    <row r="198" spans="1:13" s="103" customFormat="1" ht="15.75" hidden="1" customHeight="1" outlineLevel="1">
      <c r="A198" s="916"/>
      <c r="B198" s="1124"/>
      <c r="C198" s="1128"/>
      <c r="D198" s="1126"/>
      <c r="E198" s="1126"/>
      <c r="F198" s="1132"/>
      <c r="G198" s="100"/>
      <c r="H198" s="98"/>
      <c r="I198" s="1126"/>
      <c r="J198" s="1135"/>
      <c r="K198" s="1135"/>
      <c r="L198" s="916"/>
      <c r="M198" s="916"/>
    </row>
    <row r="199" spans="1:13" s="103" customFormat="1" ht="15.75" hidden="1" customHeight="1" outlineLevel="1">
      <c r="A199" s="916"/>
      <c r="B199" s="1123">
        <v>63</v>
      </c>
      <c r="C199" s="1127"/>
      <c r="D199" s="1125"/>
      <c r="E199" s="1125" t="s">
        <v>18</v>
      </c>
      <c r="F199" s="1130" t="str">
        <f>VLOOKUP(E199,$N$13:$O$17,2,0)</f>
        <v>-</v>
      </c>
      <c r="G199" s="92"/>
      <c r="H199" s="90"/>
      <c r="I199" s="1125"/>
      <c r="J199" s="1133"/>
      <c r="K199" s="1133"/>
      <c r="L199" s="916"/>
      <c r="M199" s="916"/>
    </row>
    <row r="200" spans="1:13" s="103" customFormat="1" ht="15.75" hidden="1" customHeight="1" outlineLevel="1">
      <c r="A200" s="916"/>
      <c r="B200" s="1123"/>
      <c r="C200" s="1127"/>
      <c r="D200" s="1125"/>
      <c r="E200" s="1125"/>
      <c r="F200" s="1130"/>
      <c r="G200" s="95"/>
      <c r="H200" s="90"/>
      <c r="I200" s="1125"/>
      <c r="J200" s="1134"/>
      <c r="K200" s="1134"/>
      <c r="L200" s="916"/>
      <c r="M200" s="916"/>
    </row>
    <row r="201" spans="1:13" s="103" customFormat="1" ht="15.75" hidden="1" customHeight="1" outlineLevel="1">
      <c r="A201" s="916"/>
      <c r="B201" s="1124"/>
      <c r="C201" s="1128"/>
      <c r="D201" s="1126"/>
      <c r="E201" s="1126"/>
      <c r="F201" s="1132"/>
      <c r="G201" s="100"/>
      <c r="H201" s="98"/>
      <c r="I201" s="1126"/>
      <c r="J201" s="1135"/>
      <c r="K201" s="1135"/>
      <c r="L201" s="916"/>
      <c r="M201" s="916"/>
    </row>
    <row r="202" spans="1:13" s="103" customFormat="1" ht="15.75" hidden="1" customHeight="1" outlineLevel="1">
      <c r="A202" s="916"/>
      <c r="B202" s="1123">
        <v>64</v>
      </c>
      <c r="C202" s="1127"/>
      <c r="D202" s="1125"/>
      <c r="E202" s="1125" t="s">
        <v>18</v>
      </c>
      <c r="F202" s="1130" t="str">
        <f>VLOOKUP(E202,$N$13:$O$17,2,0)</f>
        <v>-</v>
      </c>
      <c r="G202" s="92"/>
      <c r="H202" s="90"/>
      <c r="I202" s="1125"/>
      <c r="J202" s="1133"/>
      <c r="K202" s="1133"/>
      <c r="L202" s="916"/>
      <c r="M202" s="916"/>
    </row>
    <row r="203" spans="1:13" s="103" customFormat="1" ht="15.75" hidden="1" customHeight="1" outlineLevel="1">
      <c r="A203" s="916"/>
      <c r="B203" s="1123"/>
      <c r="C203" s="1127"/>
      <c r="D203" s="1125"/>
      <c r="E203" s="1125"/>
      <c r="F203" s="1130"/>
      <c r="G203" s="95"/>
      <c r="H203" s="90"/>
      <c r="I203" s="1125"/>
      <c r="J203" s="1134"/>
      <c r="K203" s="1134"/>
      <c r="L203" s="916"/>
      <c r="M203" s="916"/>
    </row>
    <row r="204" spans="1:13" s="103" customFormat="1" ht="15.75" hidden="1" customHeight="1" outlineLevel="1">
      <c r="A204" s="916"/>
      <c r="B204" s="1124"/>
      <c r="C204" s="1128"/>
      <c r="D204" s="1126"/>
      <c r="E204" s="1126"/>
      <c r="F204" s="1132"/>
      <c r="G204" s="100"/>
      <c r="H204" s="98"/>
      <c r="I204" s="1126"/>
      <c r="J204" s="1135"/>
      <c r="K204" s="1135"/>
      <c r="L204" s="916"/>
      <c r="M204" s="916"/>
    </row>
    <row r="205" spans="1:13" s="103" customFormat="1" ht="15.75" hidden="1" customHeight="1" outlineLevel="1">
      <c r="A205" s="916"/>
      <c r="B205" s="1123">
        <v>65</v>
      </c>
      <c r="C205" s="1127"/>
      <c r="D205" s="1125"/>
      <c r="E205" s="1125" t="s">
        <v>18</v>
      </c>
      <c r="F205" s="1130" t="str">
        <f>VLOOKUP(E205,$N$13:$O$17,2,0)</f>
        <v>-</v>
      </c>
      <c r="G205" s="92"/>
      <c r="H205" s="90"/>
      <c r="I205" s="1125"/>
      <c r="J205" s="1133"/>
      <c r="K205" s="1133"/>
      <c r="L205" s="916"/>
      <c r="M205" s="916"/>
    </row>
    <row r="206" spans="1:13" s="103" customFormat="1" ht="15.75" hidden="1" customHeight="1" outlineLevel="1">
      <c r="A206" s="916"/>
      <c r="B206" s="1123"/>
      <c r="C206" s="1127"/>
      <c r="D206" s="1125"/>
      <c r="E206" s="1125"/>
      <c r="F206" s="1130"/>
      <c r="G206" s="95"/>
      <c r="H206" s="90"/>
      <c r="I206" s="1125"/>
      <c r="J206" s="1134"/>
      <c r="K206" s="1134"/>
      <c r="L206" s="916"/>
      <c r="M206" s="916"/>
    </row>
    <row r="207" spans="1:13" s="103" customFormat="1" ht="15.75" hidden="1" customHeight="1" outlineLevel="1">
      <c r="A207" s="916"/>
      <c r="B207" s="1124"/>
      <c r="C207" s="1128"/>
      <c r="D207" s="1126"/>
      <c r="E207" s="1126"/>
      <c r="F207" s="1132"/>
      <c r="G207" s="100"/>
      <c r="H207" s="98"/>
      <c r="I207" s="1126"/>
      <c r="J207" s="1135"/>
      <c r="K207" s="1135"/>
      <c r="L207" s="916"/>
      <c r="M207" s="916"/>
    </row>
    <row r="208" spans="1:13" s="103" customFormat="1" ht="15.75" hidden="1" customHeight="1" outlineLevel="1">
      <c r="A208" s="916"/>
      <c r="B208" s="1123">
        <v>66</v>
      </c>
      <c r="C208" s="1127"/>
      <c r="D208" s="1125"/>
      <c r="E208" s="1125" t="s">
        <v>18</v>
      </c>
      <c r="F208" s="1130" t="str">
        <f>VLOOKUP(E208,$N$13:$O$17,2,0)</f>
        <v>-</v>
      </c>
      <c r="G208" s="92"/>
      <c r="H208" s="90"/>
      <c r="I208" s="1125"/>
      <c r="J208" s="1133"/>
      <c r="K208" s="1133"/>
      <c r="L208" s="916"/>
      <c r="M208" s="916"/>
    </row>
    <row r="209" spans="1:13" s="103" customFormat="1" ht="15.75" hidden="1" customHeight="1" outlineLevel="1">
      <c r="A209" s="916"/>
      <c r="B209" s="1123"/>
      <c r="C209" s="1127"/>
      <c r="D209" s="1125"/>
      <c r="E209" s="1125"/>
      <c r="F209" s="1130"/>
      <c r="G209" s="95"/>
      <c r="H209" s="90"/>
      <c r="I209" s="1125"/>
      <c r="J209" s="1134"/>
      <c r="K209" s="1134"/>
      <c r="L209" s="916"/>
      <c r="M209" s="916"/>
    </row>
    <row r="210" spans="1:13" s="103" customFormat="1" ht="15.75" hidden="1" customHeight="1" outlineLevel="1">
      <c r="A210" s="916"/>
      <c r="B210" s="1124"/>
      <c r="C210" s="1128"/>
      <c r="D210" s="1126"/>
      <c r="E210" s="1126"/>
      <c r="F210" s="1132"/>
      <c r="G210" s="100"/>
      <c r="H210" s="98"/>
      <c r="I210" s="1126"/>
      <c r="J210" s="1135"/>
      <c r="K210" s="1135"/>
      <c r="L210" s="916"/>
      <c r="M210" s="916"/>
    </row>
    <row r="211" spans="1:13" s="103" customFormat="1" ht="15.75" hidden="1" customHeight="1" outlineLevel="1">
      <c r="A211" s="916"/>
      <c r="B211" s="1123">
        <v>67</v>
      </c>
      <c r="C211" s="1127"/>
      <c r="D211" s="1125"/>
      <c r="E211" s="1125" t="s">
        <v>18</v>
      </c>
      <c r="F211" s="1130" t="str">
        <f>VLOOKUP(E211,$N$13:$O$17,2,0)</f>
        <v>-</v>
      </c>
      <c r="G211" s="92"/>
      <c r="H211" s="90"/>
      <c r="I211" s="1125"/>
      <c r="J211" s="1133"/>
      <c r="K211" s="1133"/>
      <c r="L211" s="916"/>
      <c r="M211" s="916"/>
    </row>
    <row r="212" spans="1:13" s="103" customFormat="1" ht="15.75" hidden="1" customHeight="1" outlineLevel="1">
      <c r="A212" s="916"/>
      <c r="B212" s="1123"/>
      <c r="C212" s="1127"/>
      <c r="D212" s="1125"/>
      <c r="E212" s="1125"/>
      <c r="F212" s="1130"/>
      <c r="G212" s="95"/>
      <c r="H212" s="90"/>
      <c r="I212" s="1125"/>
      <c r="J212" s="1134"/>
      <c r="K212" s="1134"/>
      <c r="L212" s="916"/>
      <c r="M212" s="916"/>
    </row>
    <row r="213" spans="1:13" s="103" customFormat="1" ht="15.75" hidden="1" customHeight="1" outlineLevel="1">
      <c r="A213" s="916"/>
      <c r="B213" s="1124"/>
      <c r="C213" s="1128"/>
      <c r="D213" s="1126"/>
      <c r="E213" s="1126"/>
      <c r="F213" s="1132"/>
      <c r="G213" s="100"/>
      <c r="H213" s="98"/>
      <c r="I213" s="1126"/>
      <c r="J213" s="1135"/>
      <c r="K213" s="1135"/>
      <c r="L213" s="916"/>
      <c r="M213" s="916"/>
    </row>
    <row r="214" spans="1:13" s="103" customFormat="1" ht="15.75" hidden="1" customHeight="1" outlineLevel="1">
      <c r="A214" s="916"/>
      <c r="B214" s="1123">
        <v>68</v>
      </c>
      <c r="C214" s="1127"/>
      <c r="D214" s="1125"/>
      <c r="E214" s="1125" t="s">
        <v>18</v>
      </c>
      <c r="F214" s="1130" t="str">
        <f>VLOOKUP(E214,$N$13:$O$17,2,0)</f>
        <v>-</v>
      </c>
      <c r="G214" s="92"/>
      <c r="H214" s="90"/>
      <c r="I214" s="1125"/>
      <c r="J214" s="1133"/>
      <c r="K214" s="1133"/>
      <c r="L214" s="916"/>
      <c r="M214" s="916"/>
    </row>
    <row r="215" spans="1:13" s="103" customFormat="1" ht="15.75" hidden="1" customHeight="1" outlineLevel="1">
      <c r="A215" s="916"/>
      <c r="B215" s="1123"/>
      <c r="C215" s="1127"/>
      <c r="D215" s="1125"/>
      <c r="E215" s="1125"/>
      <c r="F215" s="1130"/>
      <c r="G215" s="95"/>
      <c r="H215" s="90"/>
      <c r="I215" s="1125"/>
      <c r="J215" s="1134"/>
      <c r="K215" s="1134"/>
      <c r="L215" s="916"/>
      <c r="M215" s="916"/>
    </row>
    <row r="216" spans="1:13" s="103" customFormat="1" ht="15.75" hidden="1" customHeight="1" outlineLevel="1">
      <c r="A216" s="916"/>
      <c r="B216" s="1124"/>
      <c r="C216" s="1128"/>
      <c r="D216" s="1126"/>
      <c r="E216" s="1126"/>
      <c r="F216" s="1132"/>
      <c r="G216" s="100"/>
      <c r="H216" s="98"/>
      <c r="I216" s="1126"/>
      <c r="J216" s="1135"/>
      <c r="K216" s="1135"/>
      <c r="L216" s="916"/>
      <c r="M216" s="916"/>
    </row>
    <row r="217" spans="1:13" s="103" customFormat="1" ht="15.75" hidden="1" customHeight="1" outlineLevel="1">
      <c r="A217" s="916"/>
      <c r="B217" s="1123">
        <v>69</v>
      </c>
      <c r="C217" s="1127"/>
      <c r="D217" s="1125"/>
      <c r="E217" s="1125" t="s">
        <v>18</v>
      </c>
      <c r="F217" s="1130" t="str">
        <f>VLOOKUP(E217,$N$13:$O$17,2,0)</f>
        <v>-</v>
      </c>
      <c r="G217" s="92"/>
      <c r="H217" s="90"/>
      <c r="I217" s="1125"/>
      <c r="J217" s="1133"/>
      <c r="K217" s="1133"/>
      <c r="L217" s="916"/>
      <c r="M217" s="916"/>
    </row>
    <row r="218" spans="1:13" s="103" customFormat="1" ht="15.75" hidden="1" customHeight="1" outlineLevel="1">
      <c r="A218" s="916"/>
      <c r="B218" s="1123"/>
      <c r="C218" s="1127"/>
      <c r="D218" s="1125"/>
      <c r="E218" s="1125"/>
      <c r="F218" s="1130"/>
      <c r="G218" s="95"/>
      <c r="H218" s="90"/>
      <c r="I218" s="1125"/>
      <c r="J218" s="1134"/>
      <c r="K218" s="1134"/>
      <c r="L218" s="916"/>
      <c r="M218" s="916"/>
    </row>
    <row r="219" spans="1:13" s="103" customFormat="1" ht="15.75" hidden="1" customHeight="1" outlineLevel="1">
      <c r="A219" s="916"/>
      <c r="B219" s="1124"/>
      <c r="C219" s="1128"/>
      <c r="D219" s="1126"/>
      <c r="E219" s="1126"/>
      <c r="F219" s="1132"/>
      <c r="G219" s="100"/>
      <c r="H219" s="98"/>
      <c r="I219" s="1126"/>
      <c r="J219" s="1135"/>
      <c r="K219" s="1135"/>
      <c r="L219" s="916"/>
      <c r="M219" s="916"/>
    </row>
    <row r="220" spans="1:13" s="103" customFormat="1" ht="15.75" hidden="1" customHeight="1" outlineLevel="1">
      <c r="A220" s="916"/>
      <c r="B220" s="1123">
        <v>70</v>
      </c>
      <c r="C220" s="1127"/>
      <c r="D220" s="1125"/>
      <c r="E220" s="1125" t="s">
        <v>18</v>
      </c>
      <c r="F220" s="1130" t="str">
        <f>VLOOKUP(E220,$N$13:$O$17,2,0)</f>
        <v>-</v>
      </c>
      <c r="G220" s="92"/>
      <c r="H220" s="90"/>
      <c r="I220" s="1125"/>
      <c r="J220" s="1133"/>
      <c r="K220" s="1133"/>
      <c r="L220" s="916"/>
      <c r="M220" s="916"/>
    </row>
    <row r="221" spans="1:13" s="103" customFormat="1" ht="15.75" hidden="1" customHeight="1" outlineLevel="1">
      <c r="A221" s="916"/>
      <c r="B221" s="1123"/>
      <c r="C221" s="1127"/>
      <c r="D221" s="1125"/>
      <c r="E221" s="1125"/>
      <c r="F221" s="1130"/>
      <c r="G221" s="95"/>
      <c r="H221" s="90"/>
      <c r="I221" s="1125"/>
      <c r="J221" s="1134"/>
      <c r="K221" s="1134"/>
      <c r="L221" s="916"/>
      <c r="M221" s="916"/>
    </row>
    <row r="222" spans="1:13" s="103" customFormat="1" ht="15.75" hidden="1" customHeight="1" outlineLevel="1">
      <c r="A222" s="916"/>
      <c r="B222" s="1124"/>
      <c r="C222" s="1128"/>
      <c r="D222" s="1126"/>
      <c r="E222" s="1126"/>
      <c r="F222" s="1132"/>
      <c r="G222" s="100"/>
      <c r="H222" s="98"/>
      <c r="I222" s="1126"/>
      <c r="J222" s="1135"/>
      <c r="K222" s="1135"/>
      <c r="L222" s="916"/>
      <c r="M222" s="916"/>
    </row>
    <row r="223" spans="1:13" s="103" customFormat="1" ht="15.75" hidden="1" customHeight="1" outlineLevel="1">
      <c r="A223" s="916"/>
      <c r="B223" s="1123">
        <v>71</v>
      </c>
      <c r="C223" s="1127"/>
      <c r="D223" s="1125"/>
      <c r="E223" s="1125" t="s">
        <v>18</v>
      </c>
      <c r="F223" s="1130" t="str">
        <f>VLOOKUP(E223,$N$13:$O$17,2,0)</f>
        <v>-</v>
      </c>
      <c r="G223" s="92"/>
      <c r="H223" s="90"/>
      <c r="I223" s="1125"/>
      <c r="J223" s="1133"/>
      <c r="K223" s="1133"/>
      <c r="L223" s="916"/>
      <c r="M223" s="916"/>
    </row>
    <row r="224" spans="1:13" s="103" customFormat="1" ht="15.75" hidden="1" customHeight="1" outlineLevel="1">
      <c r="A224" s="916"/>
      <c r="B224" s="1123"/>
      <c r="C224" s="1127"/>
      <c r="D224" s="1125"/>
      <c r="E224" s="1125"/>
      <c r="F224" s="1130"/>
      <c r="G224" s="95"/>
      <c r="H224" s="90"/>
      <c r="I224" s="1125"/>
      <c r="J224" s="1134"/>
      <c r="K224" s="1134"/>
      <c r="L224" s="916"/>
      <c r="M224" s="916"/>
    </row>
    <row r="225" spans="1:13" s="103" customFormat="1" ht="15.75" hidden="1" customHeight="1" outlineLevel="1">
      <c r="A225" s="916"/>
      <c r="B225" s="1124"/>
      <c r="C225" s="1128"/>
      <c r="D225" s="1126"/>
      <c r="E225" s="1126"/>
      <c r="F225" s="1132"/>
      <c r="G225" s="100"/>
      <c r="H225" s="98"/>
      <c r="I225" s="1126"/>
      <c r="J225" s="1135"/>
      <c r="K225" s="1135"/>
      <c r="L225" s="916"/>
      <c r="M225" s="916"/>
    </row>
    <row r="226" spans="1:13" s="103" customFormat="1" ht="15.75" hidden="1" customHeight="1" outlineLevel="1">
      <c r="A226" s="916"/>
      <c r="B226" s="1123">
        <v>72</v>
      </c>
      <c r="C226" s="1127"/>
      <c r="D226" s="1125"/>
      <c r="E226" s="1125" t="s">
        <v>18</v>
      </c>
      <c r="F226" s="1130" t="str">
        <f>VLOOKUP(E226,$N$13:$O$17,2,0)</f>
        <v>-</v>
      </c>
      <c r="G226" s="92"/>
      <c r="H226" s="90"/>
      <c r="I226" s="1125"/>
      <c r="J226" s="1133"/>
      <c r="K226" s="1133"/>
      <c r="L226" s="916"/>
      <c r="M226" s="916"/>
    </row>
    <row r="227" spans="1:13" s="103" customFormat="1" ht="15.75" hidden="1" customHeight="1" outlineLevel="1">
      <c r="A227" s="916"/>
      <c r="B227" s="1123"/>
      <c r="C227" s="1127"/>
      <c r="D227" s="1125"/>
      <c r="E227" s="1125"/>
      <c r="F227" s="1130"/>
      <c r="G227" s="95"/>
      <c r="H227" s="90"/>
      <c r="I227" s="1125"/>
      <c r="J227" s="1134"/>
      <c r="K227" s="1134"/>
      <c r="L227" s="916"/>
      <c r="M227" s="916"/>
    </row>
    <row r="228" spans="1:13" s="103" customFormat="1" ht="15.75" hidden="1" customHeight="1" outlineLevel="1">
      <c r="A228" s="916"/>
      <c r="B228" s="1124"/>
      <c r="C228" s="1128"/>
      <c r="D228" s="1126"/>
      <c r="E228" s="1126"/>
      <c r="F228" s="1132"/>
      <c r="G228" s="100"/>
      <c r="H228" s="98"/>
      <c r="I228" s="1126"/>
      <c r="J228" s="1135"/>
      <c r="K228" s="1135"/>
      <c r="L228" s="916"/>
      <c r="M228" s="916"/>
    </row>
    <row r="229" spans="1:13" s="103" customFormat="1" ht="15.75" hidden="1" customHeight="1" outlineLevel="1">
      <c r="A229" s="916"/>
      <c r="B229" s="1123">
        <v>73</v>
      </c>
      <c r="C229" s="1127"/>
      <c r="D229" s="1125"/>
      <c r="E229" s="1125" t="s">
        <v>18</v>
      </c>
      <c r="F229" s="1130" t="str">
        <f>VLOOKUP(E229,$N$13:$O$17,2,0)</f>
        <v>-</v>
      </c>
      <c r="G229" s="92"/>
      <c r="H229" s="90"/>
      <c r="I229" s="1125"/>
      <c r="J229" s="1133"/>
      <c r="K229" s="1133"/>
      <c r="L229" s="916"/>
      <c r="M229" s="916"/>
    </row>
    <row r="230" spans="1:13" s="103" customFormat="1" ht="15.75" hidden="1" customHeight="1" outlineLevel="1">
      <c r="A230" s="916"/>
      <c r="B230" s="1123"/>
      <c r="C230" s="1127"/>
      <c r="D230" s="1125"/>
      <c r="E230" s="1125"/>
      <c r="F230" s="1130"/>
      <c r="G230" s="95"/>
      <c r="H230" s="90"/>
      <c r="I230" s="1125"/>
      <c r="J230" s="1134"/>
      <c r="K230" s="1134"/>
      <c r="L230" s="916"/>
      <c r="M230" s="916"/>
    </row>
    <row r="231" spans="1:13" s="103" customFormat="1" ht="15.75" hidden="1" customHeight="1" outlineLevel="1">
      <c r="A231" s="916"/>
      <c r="B231" s="1124"/>
      <c r="C231" s="1128"/>
      <c r="D231" s="1126"/>
      <c r="E231" s="1126"/>
      <c r="F231" s="1132"/>
      <c r="G231" s="100"/>
      <c r="H231" s="98"/>
      <c r="I231" s="1126"/>
      <c r="J231" s="1135"/>
      <c r="K231" s="1135"/>
      <c r="L231" s="916"/>
      <c r="M231" s="916"/>
    </row>
    <row r="232" spans="1:13" s="103" customFormat="1" ht="15.75" hidden="1" customHeight="1" outlineLevel="1">
      <c r="A232" s="916"/>
      <c r="B232" s="1123">
        <v>74</v>
      </c>
      <c r="C232" s="1127"/>
      <c r="D232" s="1125"/>
      <c r="E232" s="1125" t="s">
        <v>18</v>
      </c>
      <c r="F232" s="1130" t="str">
        <f>VLOOKUP(E232,$N$13:$O$17,2,0)</f>
        <v>-</v>
      </c>
      <c r="G232" s="92"/>
      <c r="H232" s="90"/>
      <c r="I232" s="1125"/>
      <c r="J232" s="1133"/>
      <c r="K232" s="1133"/>
      <c r="L232" s="916"/>
      <c r="M232" s="916"/>
    </row>
    <row r="233" spans="1:13" s="103" customFormat="1" ht="15.75" hidden="1" customHeight="1" outlineLevel="1">
      <c r="A233" s="916"/>
      <c r="B233" s="1123"/>
      <c r="C233" s="1127"/>
      <c r="D233" s="1125"/>
      <c r="E233" s="1125"/>
      <c r="F233" s="1130"/>
      <c r="G233" s="95"/>
      <c r="H233" s="90"/>
      <c r="I233" s="1125"/>
      <c r="J233" s="1134"/>
      <c r="K233" s="1134"/>
      <c r="L233" s="916"/>
      <c r="M233" s="916"/>
    </row>
    <row r="234" spans="1:13" s="103" customFormat="1" ht="15.75" hidden="1" customHeight="1" outlineLevel="1">
      <c r="A234" s="916"/>
      <c r="B234" s="1124"/>
      <c r="C234" s="1128"/>
      <c r="D234" s="1126"/>
      <c r="E234" s="1126"/>
      <c r="F234" s="1132"/>
      <c r="G234" s="100"/>
      <c r="H234" s="98"/>
      <c r="I234" s="1126"/>
      <c r="J234" s="1135"/>
      <c r="K234" s="1135"/>
      <c r="L234" s="916"/>
      <c r="M234" s="916"/>
    </row>
    <row r="235" spans="1:13" s="103" customFormat="1" ht="15.75" hidden="1" customHeight="1" outlineLevel="1">
      <c r="A235" s="916"/>
      <c r="B235" s="1123">
        <v>75</v>
      </c>
      <c r="C235" s="1127"/>
      <c r="D235" s="1125"/>
      <c r="E235" s="1125" t="s">
        <v>18</v>
      </c>
      <c r="F235" s="1130" t="str">
        <f>VLOOKUP(E235,$N$13:$O$17,2,0)</f>
        <v>-</v>
      </c>
      <c r="G235" s="92"/>
      <c r="H235" s="90"/>
      <c r="I235" s="1125"/>
      <c r="J235" s="1133"/>
      <c r="K235" s="1133"/>
      <c r="L235" s="916"/>
      <c r="M235" s="916"/>
    </row>
    <row r="236" spans="1:13" s="103" customFormat="1" ht="15.75" hidden="1" customHeight="1" outlineLevel="1">
      <c r="A236" s="916"/>
      <c r="B236" s="1123"/>
      <c r="C236" s="1127"/>
      <c r="D236" s="1125"/>
      <c r="E236" s="1125"/>
      <c r="F236" s="1130"/>
      <c r="G236" s="95"/>
      <c r="H236" s="90"/>
      <c r="I236" s="1125"/>
      <c r="J236" s="1134"/>
      <c r="K236" s="1134"/>
      <c r="L236" s="916"/>
      <c r="M236" s="916"/>
    </row>
    <row r="237" spans="1:13" s="103" customFormat="1" ht="15.75" hidden="1" customHeight="1" outlineLevel="1">
      <c r="A237" s="916"/>
      <c r="B237" s="1124"/>
      <c r="C237" s="1128"/>
      <c r="D237" s="1126"/>
      <c r="E237" s="1126"/>
      <c r="F237" s="1132"/>
      <c r="G237" s="100"/>
      <c r="H237" s="98"/>
      <c r="I237" s="1126"/>
      <c r="J237" s="1135"/>
      <c r="K237" s="1135"/>
      <c r="L237" s="916"/>
      <c r="M237" s="916"/>
    </row>
    <row r="238" spans="1:13" s="103" customFormat="1" ht="15.75" hidden="1" customHeight="1" outlineLevel="1">
      <c r="A238" s="916"/>
      <c r="B238" s="1123">
        <v>76</v>
      </c>
      <c r="C238" s="1127"/>
      <c r="D238" s="1125"/>
      <c r="E238" s="1125" t="s">
        <v>18</v>
      </c>
      <c r="F238" s="1130" t="str">
        <f>VLOOKUP(E238,$N$13:$O$17,2,0)</f>
        <v>-</v>
      </c>
      <c r="G238" s="92"/>
      <c r="H238" s="90"/>
      <c r="I238" s="1125"/>
      <c r="J238" s="1133"/>
      <c r="K238" s="1133"/>
      <c r="L238" s="916"/>
      <c r="M238" s="916"/>
    </row>
    <row r="239" spans="1:13" s="103" customFormat="1" ht="15.75" hidden="1" customHeight="1" outlineLevel="1">
      <c r="A239" s="916"/>
      <c r="B239" s="1123"/>
      <c r="C239" s="1127"/>
      <c r="D239" s="1125"/>
      <c r="E239" s="1125"/>
      <c r="F239" s="1130"/>
      <c r="G239" s="95"/>
      <c r="H239" s="90"/>
      <c r="I239" s="1125"/>
      <c r="J239" s="1134"/>
      <c r="K239" s="1134"/>
      <c r="L239" s="916"/>
      <c r="M239" s="916"/>
    </row>
    <row r="240" spans="1:13" s="103" customFormat="1" ht="15.75" hidden="1" customHeight="1" outlineLevel="1">
      <c r="A240" s="916"/>
      <c r="B240" s="1124"/>
      <c r="C240" s="1128"/>
      <c r="D240" s="1126"/>
      <c r="E240" s="1126"/>
      <c r="F240" s="1132"/>
      <c r="G240" s="100"/>
      <c r="H240" s="98"/>
      <c r="I240" s="1126"/>
      <c r="J240" s="1135"/>
      <c r="K240" s="1135"/>
      <c r="L240" s="916"/>
      <c r="M240" s="916"/>
    </row>
    <row r="241" spans="1:13" s="103" customFormat="1" ht="15.75" hidden="1" customHeight="1" outlineLevel="1">
      <c r="A241" s="916"/>
      <c r="B241" s="1123">
        <v>77</v>
      </c>
      <c r="C241" s="1127"/>
      <c r="D241" s="1125"/>
      <c r="E241" s="1125" t="s">
        <v>18</v>
      </c>
      <c r="F241" s="1130" t="str">
        <f>VLOOKUP(E241,$N$13:$O$17,2,0)</f>
        <v>-</v>
      </c>
      <c r="G241" s="92"/>
      <c r="H241" s="90"/>
      <c r="I241" s="1125"/>
      <c r="J241" s="1133"/>
      <c r="K241" s="1133"/>
      <c r="L241" s="916"/>
      <c r="M241" s="916"/>
    </row>
    <row r="242" spans="1:13" s="103" customFormat="1" ht="15.75" hidden="1" customHeight="1" outlineLevel="1">
      <c r="A242" s="916"/>
      <c r="B242" s="1123"/>
      <c r="C242" s="1127"/>
      <c r="D242" s="1125"/>
      <c r="E242" s="1125"/>
      <c r="F242" s="1130"/>
      <c r="G242" s="95"/>
      <c r="H242" s="90"/>
      <c r="I242" s="1125"/>
      <c r="J242" s="1134"/>
      <c r="K242" s="1134"/>
      <c r="L242" s="916"/>
      <c r="M242" s="916"/>
    </row>
    <row r="243" spans="1:13" s="103" customFormat="1" ht="15.75" hidden="1" customHeight="1" outlineLevel="1">
      <c r="A243" s="916"/>
      <c r="B243" s="1124"/>
      <c r="C243" s="1128"/>
      <c r="D243" s="1126"/>
      <c r="E243" s="1126"/>
      <c r="F243" s="1132"/>
      <c r="G243" s="100"/>
      <c r="H243" s="98"/>
      <c r="I243" s="1126"/>
      <c r="J243" s="1135"/>
      <c r="K243" s="1135"/>
      <c r="L243" s="916"/>
      <c r="M243" s="916"/>
    </row>
    <row r="244" spans="1:13" s="103" customFormat="1" ht="15.75" hidden="1" customHeight="1" outlineLevel="1">
      <c r="A244" s="916"/>
      <c r="B244" s="1123">
        <v>78</v>
      </c>
      <c r="C244" s="1127"/>
      <c r="D244" s="1125"/>
      <c r="E244" s="1125" t="s">
        <v>18</v>
      </c>
      <c r="F244" s="1130" t="str">
        <f>VLOOKUP(E244,$N$13:$O$17,2,0)</f>
        <v>-</v>
      </c>
      <c r="G244" s="92"/>
      <c r="H244" s="90"/>
      <c r="I244" s="1125"/>
      <c r="J244" s="1133"/>
      <c r="K244" s="1133"/>
      <c r="L244" s="916"/>
      <c r="M244" s="916"/>
    </row>
    <row r="245" spans="1:13" s="103" customFormat="1" ht="15.75" hidden="1" customHeight="1" outlineLevel="1">
      <c r="A245" s="916"/>
      <c r="B245" s="1123"/>
      <c r="C245" s="1127"/>
      <c r="D245" s="1125"/>
      <c r="E245" s="1125"/>
      <c r="F245" s="1130"/>
      <c r="G245" s="95"/>
      <c r="H245" s="90"/>
      <c r="I245" s="1125"/>
      <c r="J245" s="1134"/>
      <c r="K245" s="1134"/>
      <c r="L245" s="916"/>
      <c r="M245" s="916"/>
    </row>
    <row r="246" spans="1:13" s="103" customFormat="1" ht="15.75" hidden="1" customHeight="1" outlineLevel="1">
      <c r="A246" s="916"/>
      <c r="B246" s="1124"/>
      <c r="C246" s="1128"/>
      <c r="D246" s="1126"/>
      <c r="E246" s="1126"/>
      <c r="F246" s="1132"/>
      <c r="G246" s="100"/>
      <c r="H246" s="98"/>
      <c r="I246" s="1126"/>
      <c r="J246" s="1135"/>
      <c r="K246" s="1135"/>
      <c r="L246" s="916"/>
      <c r="M246" s="916"/>
    </row>
    <row r="247" spans="1:13" s="103" customFormat="1" ht="15.75" hidden="1" customHeight="1" outlineLevel="1">
      <c r="A247" s="916"/>
      <c r="B247" s="1123">
        <v>79</v>
      </c>
      <c r="C247" s="1127"/>
      <c r="D247" s="1125"/>
      <c r="E247" s="1125" t="s">
        <v>18</v>
      </c>
      <c r="F247" s="1130" t="str">
        <f>VLOOKUP(E247,$N$13:$O$17,2,0)</f>
        <v>-</v>
      </c>
      <c r="G247" s="92"/>
      <c r="H247" s="90"/>
      <c r="I247" s="1125"/>
      <c r="J247" s="1133"/>
      <c r="K247" s="1133"/>
      <c r="L247" s="916"/>
      <c r="M247" s="916"/>
    </row>
    <row r="248" spans="1:13" s="103" customFormat="1" ht="15.75" hidden="1" customHeight="1" outlineLevel="1">
      <c r="A248" s="916"/>
      <c r="B248" s="1123"/>
      <c r="C248" s="1127"/>
      <c r="D248" s="1125"/>
      <c r="E248" s="1125"/>
      <c r="F248" s="1130"/>
      <c r="G248" s="95"/>
      <c r="H248" s="90"/>
      <c r="I248" s="1125"/>
      <c r="J248" s="1134"/>
      <c r="K248" s="1134"/>
      <c r="L248" s="916"/>
      <c r="M248" s="916"/>
    </row>
    <row r="249" spans="1:13" s="103" customFormat="1" ht="15.75" hidden="1" customHeight="1" outlineLevel="1">
      <c r="A249" s="916"/>
      <c r="B249" s="1124"/>
      <c r="C249" s="1128"/>
      <c r="D249" s="1126"/>
      <c r="E249" s="1126"/>
      <c r="F249" s="1132"/>
      <c r="G249" s="100"/>
      <c r="H249" s="98"/>
      <c r="I249" s="1126"/>
      <c r="J249" s="1135"/>
      <c r="K249" s="1135"/>
      <c r="L249" s="916"/>
      <c r="M249" s="916"/>
    </row>
    <row r="250" spans="1:13" s="103" customFormat="1" ht="15.75" hidden="1" customHeight="1" outlineLevel="1">
      <c r="A250" s="916"/>
      <c r="B250" s="1123">
        <v>80</v>
      </c>
      <c r="C250" s="1127"/>
      <c r="D250" s="1125"/>
      <c r="E250" s="1125" t="s">
        <v>18</v>
      </c>
      <c r="F250" s="1130" t="str">
        <f>VLOOKUP(E250,$N$13:$O$17,2,0)</f>
        <v>-</v>
      </c>
      <c r="G250" s="92"/>
      <c r="H250" s="90"/>
      <c r="I250" s="1125"/>
      <c r="J250" s="1133"/>
      <c r="K250" s="1133"/>
      <c r="L250" s="916"/>
      <c r="M250" s="916"/>
    </row>
    <row r="251" spans="1:13" s="103" customFormat="1" ht="15.75" hidden="1" customHeight="1" outlineLevel="1">
      <c r="A251" s="916"/>
      <c r="B251" s="1123"/>
      <c r="C251" s="1127"/>
      <c r="D251" s="1125"/>
      <c r="E251" s="1125"/>
      <c r="F251" s="1130"/>
      <c r="G251" s="95"/>
      <c r="H251" s="90"/>
      <c r="I251" s="1125"/>
      <c r="J251" s="1134"/>
      <c r="K251" s="1134"/>
      <c r="L251" s="916"/>
      <c r="M251" s="916"/>
    </row>
    <row r="252" spans="1:13" s="103" customFormat="1" ht="15.75" hidden="1" customHeight="1" outlineLevel="1">
      <c r="A252" s="916"/>
      <c r="B252" s="1124"/>
      <c r="C252" s="1128"/>
      <c r="D252" s="1126"/>
      <c r="E252" s="1126"/>
      <c r="F252" s="1132"/>
      <c r="G252" s="100"/>
      <c r="H252" s="98"/>
      <c r="I252" s="1126"/>
      <c r="J252" s="1135"/>
      <c r="K252" s="1135"/>
      <c r="L252" s="916"/>
      <c r="M252" s="916"/>
    </row>
    <row r="253" spans="1:13" s="103" customFormat="1" ht="15.75" hidden="1" customHeight="1" outlineLevel="1">
      <c r="A253" s="916"/>
      <c r="B253" s="1123">
        <v>81</v>
      </c>
      <c r="C253" s="1127"/>
      <c r="D253" s="1125"/>
      <c r="E253" s="1125" t="s">
        <v>18</v>
      </c>
      <c r="F253" s="1130" t="str">
        <f>VLOOKUP(E253,$N$13:$O$17,2,0)</f>
        <v>-</v>
      </c>
      <c r="G253" s="92"/>
      <c r="H253" s="90"/>
      <c r="I253" s="1125"/>
      <c r="J253" s="1133"/>
      <c r="K253" s="1133"/>
      <c r="L253" s="916"/>
      <c r="M253" s="916"/>
    </row>
    <row r="254" spans="1:13" s="103" customFormat="1" ht="15.75" hidden="1" customHeight="1" outlineLevel="1">
      <c r="A254" s="916"/>
      <c r="B254" s="1123"/>
      <c r="C254" s="1127"/>
      <c r="D254" s="1125"/>
      <c r="E254" s="1125"/>
      <c r="F254" s="1130"/>
      <c r="G254" s="95"/>
      <c r="H254" s="90"/>
      <c r="I254" s="1125"/>
      <c r="J254" s="1134"/>
      <c r="K254" s="1134"/>
      <c r="L254" s="916"/>
      <c r="M254" s="916"/>
    </row>
    <row r="255" spans="1:13" s="103" customFormat="1" ht="15.75" hidden="1" customHeight="1" outlineLevel="1">
      <c r="A255" s="916"/>
      <c r="B255" s="1124"/>
      <c r="C255" s="1128"/>
      <c r="D255" s="1126"/>
      <c r="E255" s="1126"/>
      <c r="F255" s="1132"/>
      <c r="G255" s="100"/>
      <c r="H255" s="98"/>
      <c r="I255" s="1126"/>
      <c r="J255" s="1135"/>
      <c r="K255" s="1135"/>
      <c r="L255" s="916"/>
      <c r="M255" s="916"/>
    </row>
    <row r="256" spans="1:13" s="103" customFormat="1" ht="15.75" hidden="1" customHeight="1" outlineLevel="1">
      <c r="A256" s="916"/>
      <c r="B256" s="1123">
        <v>82</v>
      </c>
      <c r="C256" s="1127"/>
      <c r="D256" s="1125"/>
      <c r="E256" s="1125" t="s">
        <v>18</v>
      </c>
      <c r="F256" s="1130" t="str">
        <f>VLOOKUP(E256,$N$13:$O$17,2,0)</f>
        <v>-</v>
      </c>
      <c r="G256" s="92"/>
      <c r="H256" s="90"/>
      <c r="I256" s="1125"/>
      <c r="J256" s="1133"/>
      <c r="K256" s="1133"/>
      <c r="L256" s="916"/>
      <c r="M256" s="916"/>
    </row>
    <row r="257" spans="1:13" s="103" customFormat="1" ht="15.75" hidden="1" customHeight="1" outlineLevel="1">
      <c r="A257" s="916"/>
      <c r="B257" s="1123"/>
      <c r="C257" s="1127"/>
      <c r="D257" s="1125"/>
      <c r="E257" s="1125"/>
      <c r="F257" s="1130"/>
      <c r="G257" s="95"/>
      <c r="H257" s="90"/>
      <c r="I257" s="1125"/>
      <c r="J257" s="1134"/>
      <c r="K257" s="1134"/>
      <c r="L257" s="916"/>
      <c r="M257" s="916"/>
    </row>
    <row r="258" spans="1:13" s="103" customFormat="1" ht="15.75" hidden="1" customHeight="1" outlineLevel="1">
      <c r="A258" s="916"/>
      <c r="B258" s="1124"/>
      <c r="C258" s="1128"/>
      <c r="D258" s="1126"/>
      <c r="E258" s="1126"/>
      <c r="F258" s="1132"/>
      <c r="G258" s="100"/>
      <c r="H258" s="98"/>
      <c r="I258" s="1126"/>
      <c r="J258" s="1135"/>
      <c r="K258" s="1135"/>
      <c r="L258" s="916"/>
      <c r="M258" s="916"/>
    </row>
    <row r="259" spans="1:13" s="103" customFormat="1" ht="15.75" hidden="1" customHeight="1" outlineLevel="1">
      <c r="A259" s="916"/>
      <c r="B259" s="1123">
        <v>83</v>
      </c>
      <c r="C259" s="1127"/>
      <c r="D259" s="1125"/>
      <c r="E259" s="1125" t="s">
        <v>18</v>
      </c>
      <c r="F259" s="1130" t="str">
        <f>VLOOKUP(E259,$N$13:$O$17,2,0)</f>
        <v>-</v>
      </c>
      <c r="G259" s="92"/>
      <c r="H259" s="90"/>
      <c r="I259" s="1125"/>
      <c r="J259" s="1133"/>
      <c r="K259" s="1133"/>
      <c r="L259" s="916"/>
      <c r="M259" s="916"/>
    </row>
    <row r="260" spans="1:13" s="103" customFormat="1" ht="15.75" hidden="1" customHeight="1" outlineLevel="1">
      <c r="A260" s="916"/>
      <c r="B260" s="1123"/>
      <c r="C260" s="1127"/>
      <c r="D260" s="1125"/>
      <c r="E260" s="1125"/>
      <c r="F260" s="1130"/>
      <c r="G260" s="95"/>
      <c r="H260" s="90"/>
      <c r="I260" s="1125"/>
      <c r="J260" s="1134"/>
      <c r="K260" s="1134"/>
      <c r="L260" s="916"/>
      <c r="M260" s="916"/>
    </row>
    <row r="261" spans="1:13" s="103" customFormat="1" ht="15.75" hidden="1" customHeight="1" outlineLevel="1">
      <c r="A261" s="916"/>
      <c r="B261" s="1124"/>
      <c r="C261" s="1128"/>
      <c r="D261" s="1126"/>
      <c r="E261" s="1126"/>
      <c r="F261" s="1132"/>
      <c r="G261" s="100"/>
      <c r="H261" s="98"/>
      <c r="I261" s="1126"/>
      <c r="J261" s="1135"/>
      <c r="K261" s="1135"/>
      <c r="L261" s="916"/>
      <c r="M261" s="916"/>
    </row>
    <row r="262" spans="1:13" s="103" customFormat="1" ht="15.75" hidden="1" customHeight="1" outlineLevel="1">
      <c r="A262" s="916"/>
      <c r="B262" s="1123">
        <v>84</v>
      </c>
      <c r="C262" s="1127"/>
      <c r="D262" s="1125"/>
      <c r="E262" s="1125" t="s">
        <v>18</v>
      </c>
      <c r="F262" s="1130" t="str">
        <f>VLOOKUP(E262,$N$13:$O$17,2,0)</f>
        <v>-</v>
      </c>
      <c r="G262" s="92"/>
      <c r="H262" s="90"/>
      <c r="I262" s="1125"/>
      <c r="J262" s="1133"/>
      <c r="K262" s="1133"/>
      <c r="L262" s="916"/>
      <c r="M262" s="916"/>
    </row>
    <row r="263" spans="1:13" s="103" customFormat="1" ht="15.75" hidden="1" customHeight="1" outlineLevel="1">
      <c r="A263" s="916"/>
      <c r="B263" s="1123"/>
      <c r="C263" s="1127"/>
      <c r="D263" s="1125"/>
      <c r="E263" s="1125"/>
      <c r="F263" s="1130"/>
      <c r="G263" s="95"/>
      <c r="H263" s="90"/>
      <c r="I263" s="1125"/>
      <c r="J263" s="1134"/>
      <c r="K263" s="1134"/>
      <c r="L263" s="916"/>
      <c r="M263" s="916"/>
    </row>
    <row r="264" spans="1:13" s="103" customFormat="1" ht="15.75" hidden="1" customHeight="1" outlineLevel="1">
      <c r="A264" s="916"/>
      <c r="B264" s="1124"/>
      <c r="C264" s="1128"/>
      <c r="D264" s="1126"/>
      <c r="E264" s="1126"/>
      <c r="F264" s="1132"/>
      <c r="G264" s="100"/>
      <c r="H264" s="98"/>
      <c r="I264" s="1126"/>
      <c r="J264" s="1135"/>
      <c r="K264" s="1135"/>
      <c r="L264" s="916"/>
      <c r="M264" s="916"/>
    </row>
    <row r="265" spans="1:13" s="103" customFormat="1" ht="15.75" hidden="1" customHeight="1" outlineLevel="1">
      <c r="A265" s="916"/>
      <c r="B265" s="1123">
        <v>85</v>
      </c>
      <c r="C265" s="1127"/>
      <c r="D265" s="1125"/>
      <c r="E265" s="1125" t="s">
        <v>18</v>
      </c>
      <c r="F265" s="1130" t="str">
        <f>VLOOKUP(E265,$N$13:$O$17,2,0)</f>
        <v>-</v>
      </c>
      <c r="G265" s="92"/>
      <c r="H265" s="90"/>
      <c r="I265" s="1125"/>
      <c r="J265" s="1133"/>
      <c r="K265" s="1133"/>
      <c r="L265" s="916"/>
      <c r="M265" s="916"/>
    </row>
    <row r="266" spans="1:13" s="103" customFormat="1" ht="15.75" hidden="1" customHeight="1" outlineLevel="1">
      <c r="A266" s="916"/>
      <c r="B266" s="1123"/>
      <c r="C266" s="1127"/>
      <c r="D266" s="1125"/>
      <c r="E266" s="1125"/>
      <c r="F266" s="1130"/>
      <c r="G266" s="95"/>
      <c r="H266" s="90"/>
      <c r="I266" s="1125"/>
      <c r="J266" s="1134"/>
      <c r="K266" s="1134"/>
      <c r="L266" s="916"/>
      <c r="M266" s="916"/>
    </row>
    <row r="267" spans="1:13" s="103" customFormat="1" ht="15.75" hidden="1" customHeight="1" outlineLevel="1">
      <c r="A267" s="916"/>
      <c r="B267" s="1124"/>
      <c r="C267" s="1128"/>
      <c r="D267" s="1126"/>
      <c r="E267" s="1126"/>
      <c r="F267" s="1132"/>
      <c r="G267" s="100"/>
      <c r="H267" s="98"/>
      <c r="I267" s="1126"/>
      <c r="J267" s="1135"/>
      <c r="K267" s="1135"/>
      <c r="L267" s="916"/>
      <c r="M267" s="916"/>
    </row>
    <row r="268" spans="1:13" s="103" customFormat="1" ht="15.75" hidden="1" customHeight="1" outlineLevel="1">
      <c r="A268" s="916"/>
      <c r="B268" s="1123">
        <v>86</v>
      </c>
      <c r="C268" s="1127"/>
      <c r="D268" s="1125"/>
      <c r="E268" s="1125" t="s">
        <v>18</v>
      </c>
      <c r="F268" s="1130" t="str">
        <f>VLOOKUP(E268,$N$13:$O$17,2,0)</f>
        <v>-</v>
      </c>
      <c r="G268" s="92"/>
      <c r="H268" s="90"/>
      <c r="I268" s="1125"/>
      <c r="J268" s="1133"/>
      <c r="K268" s="1133"/>
      <c r="L268" s="916"/>
      <c r="M268" s="916"/>
    </row>
    <row r="269" spans="1:13" s="103" customFormat="1" ht="15.75" hidden="1" customHeight="1" outlineLevel="1">
      <c r="A269" s="916"/>
      <c r="B269" s="1123"/>
      <c r="C269" s="1127"/>
      <c r="D269" s="1125"/>
      <c r="E269" s="1125"/>
      <c r="F269" s="1130"/>
      <c r="G269" s="95"/>
      <c r="H269" s="90"/>
      <c r="I269" s="1125"/>
      <c r="J269" s="1134"/>
      <c r="K269" s="1134"/>
      <c r="L269" s="916"/>
      <c r="M269" s="916"/>
    </row>
    <row r="270" spans="1:13" s="103" customFormat="1" ht="15.75" hidden="1" customHeight="1" outlineLevel="1">
      <c r="A270" s="916"/>
      <c r="B270" s="1124"/>
      <c r="C270" s="1128"/>
      <c r="D270" s="1126"/>
      <c r="E270" s="1126"/>
      <c r="F270" s="1132"/>
      <c r="G270" s="100"/>
      <c r="H270" s="98"/>
      <c r="I270" s="1126"/>
      <c r="J270" s="1135"/>
      <c r="K270" s="1135"/>
      <c r="L270" s="916"/>
      <c r="M270" s="916"/>
    </row>
    <row r="271" spans="1:13" s="103" customFormat="1" ht="15.75" hidden="1" customHeight="1" outlineLevel="1">
      <c r="A271" s="916"/>
      <c r="B271" s="1123">
        <v>87</v>
      </c>
      <c r="C271" s="1127"/>
      <c r="D271" s="1125"/>
      <c r="E271" s="1125" t="s">
        <v>18</v>
      </c>
      <c r="F271" s="1130" t="str">
        <f>VLOOKUP(E271,$N$13:$O$17,2,0)</f>
        <v>-</v>
      </c>
      <c r="G271" s="92"/>
      <c r="H271" s="90"/>
      <c r="I271" s="1125"/>
      <c r="J271" s="1133"/>
      <c r="K271" s="1133"/>
      <c r="L271" s="916"/>
      <c r="M271" s="916"/>
    </row>
    <row r="272" spans="1:13" s="103" customFormat="1" ht="15.75" hidden="1" customHeight="1" outlineLevel="1">
      <c r="A272" s="916"/>
      <c r="B272" s="1123"/>
      <c r="C272" s="1127"/>
      <c r="D272" s="1125"/>
      <c r="E272" s="1125"/>
      <c r="F272" s="1130"/>
      <c r="G272" s="95"/>
      <c r="H272" s="90"/>
      <c r="I272" s="1125"/>
      <c r="J272" s="1134"/>
      <c r="K272" s="1134"/>
      <c r="L272" s="916"/>
      <c r="M272" s="916"/>
    </row>
    <row r="273" spans="1:13" s="103" customFormat="1" ht="15.75" hidden="1" customHeight="1" outlineLevel="1">
      <c r="A273" s="916"/>
      <c r="B273" s="1124"/>
      <c r="C273" s="1128"/>
      <c r="D273" s="1126"/>
      <c r="E273" s="1126"/>
      <c r="F273" s="1132"/>
      <c r="G273" s="100"/>
      <c r="H273" s="98"/>
      <c r="I273" s="1126"/>
      <c r="J273" s="1135"/>
      <c r="K273" s="1135"/>
      <c r="L273" s="916"/>
      <c r="M273" s="916"/>
    </row>
    <row r="274" spans="1:13" s="103" customFormat="1" ht="15.75" hidden="1" customHeight="1" outlineLevel="1">
      <c r="A274" s="916"/>
      <c r="B274" s="1123">
        <v>88</v>
      </c>
      <c r="C274" s="1127"/>
      <c r="D274" s="1125"/>
      <c r="E274" s="1125" t="s">
        <v>18</v>
      </c>
      <c r="F274" s="1130" t="str">
        <f>VLOOKUP(E274,$N$13:$O$17,2,0)</f>
        <v>-</v>
      </c>
      <c r="G274" s="92"/>
      <c r="H274" s="90"/>
      <c r="I274" s="1125"/>
      <c r="J274" s="1133"/>
      <c r="K274" s="1133"/>
      <c r="L274" s="916"/>
      <c r="M274" s="916"/>
    </row>
    <row r="275" spans="1:13" s="103" customFormat="1" ht="15.75" hidden="1" customHeight="1" outlineLevel="1">
      <c r="A275" s="916"/>
      <c r="B275" s="1123"/>
      <c r="C275" s="1127"/>
      <c r="D275" s="1125"/>
      <c r="E275" s="1125"/>
      <c r="F275" s="1130"/>
      <c r="G275" s="95"/>
      <c r="H275" s="90"/>
      <c r="I275" s="1125"/>
      <c r="J275" s="1134"/>
      <c r="K275" s="1134"/>
      <c r="L275" s="916"/>
      <c r="M275" s="916"/>
    </row>
    <row r="276" spans="1:13" s="103" customFormat="1" ht="15.75" hidden="1" customHeight="1" outlineLevel="1">
      <c r="A276" s="916"/>
      <c r="B276" s="1124"/>
      <c r="C276" s="1128"/>
      <c r="D276" s="1126"/>
      <c r="E276" s="1126"/>
      <c r="F276" s="1132"/>
      <c r="G276" s="100"/>
      <c r="H276" s="98"/>
      <c r="I276" s="1126"/>
      <c r="J276" s="1135"/>
      <c r="K276" s="1135"/>
      <c r="L276" s="916"/>
      <c r="M276" s="916"/>
    </row>
    <row r="277" spans="1:13" s="103" customFormat="1" ht="15.75" hidden="1" customHeight="1" outlineLevel="1">
      <c r="A277" s="916"/>
      <c r="B277" s="1123">
        <v>89</v>
      </c>
      <c r="C277" s="1127"/>
      <c r="D277" s="1125"/>
      <c r="E277" s="1125" t="s">
        <v>18</v>
      </c>
      <c r="F277" s="1130" t="str">
        <f>VLOOKUP(E277,$N$13:$O$17,2,0)</f>
        <v>-</v>
      </c>
      <c r="G277" s="92"/>
      <c r="H277" s="90"/>
      <c r="I277" s="1125"/>
      <c r="J277" s="1133"/>
      <c r="K277" s="1133"/>
      <c r="L277" s="916"/>
      <c r="M277" s="916"/>
    </row>
    <row r="278" spans="1:13" s="103" customFormat="1" ht="15.75" hidden="1" customHeight="1" outlineLevel="1">
      <c r="A278" s="916"/>
      <c r="B278" s="1123"/>
      <c r="C278" s="1127"/>
      <c r="D278" s="1125"/>
      <c r="E278" s="1125"/>
      <c r="F278" s="1130"/>
      <c r="G278" s="95"/>
      <c r="H278" s="90"/>
      <c r="I278" s="1125"/>
      <c r="J278" s="1134"/>
      <c r="K278" s="1134"/>
      <c r="L278" s="916"/>
      <c r="M278" s="916"/>
    </row>
    <row r="279" spans="1:13" s="103" customFormat="1" ht="15.75" hidden="1" customHeight="1" outlineLevel="1">
      <c r="A279" s="916"/>
      <c r="B279" s="1124"/>
      <c r="C279" s="1128"/>
      <c r="D279" s="1126"/>
      <c r="E279" s="1126"/>
      <c r="F279" s="1132"/>
      <c r="G279" s="100"/>
      <c r="H279" s="98"/>
      <c r="I279" s="1126"/>
      <c r="J279" s="1135"/>
      <c r="K279" s="1135"/>
      <c r="L279" s="916"/>
      <c r="M279" s="916"/>
    </row>
    <row r="280" spans="1:13" s="103" customFormat="1" ht="15.75" hidden="1" customHeight="1" outlineLevel="1">
      <c r="A280" s="916"/>
      <c r="B280" s="1123">
        <v>90</v>
      </c>
      <c r="C280" s="1127"/>
      <c r="D280" s="1125"/>
      <c r="E280" s="1125" t="s">
        <v>18</v>
      </c>
      <c r="F280" s="1130" t="str">
        <f>VLOOKUP(E280,$N$13:$O$17,2,0)</f>
        <v>-</v>
      </c>
      <c r="G280" s="92"/>
      <c r="H280" s="90"/>
      <c r="I280" s="1125"/>
      <c r="J280" s="1133"/>
      <c r="K280" s="1133"/>
      <c r="L280" s="916"/>
      <c r="M280" s="916"/>
    </row>
    <row r="281" spans="1:13" s="103" customFormat="1" ht="15.75" hidden="1" customHeight="1" outlineLevel="1">
      <c r="A281" s="916"/>
      <c r="B281" s="1123"/>
      <c r="C281" s="1127"/>
      <c r="D281" s="1125"/>
      <c r="E281" s="1125"/>
      <c r="F281" s="1130"/>
      <c r="G281" s="95"/>
      <c r="H281" s="90"/>
      <c r="I281" s="1125"/>
      <c r="J281" s="1134"/>
      <c r="K281" s="1134"/>
      <c r="L281" s="916"/>
      <c r="M281" s="916"/>
    </row>
    <row r="282" spans="1:13" s="103" customFormat="1" ht="15.75" hidden="1" customHeight="1" outlineLevel="1">
      <c r="A282" s="916"/>
      <c r="B282" s="1124"/>
      <c r="C282" s="1128"/>
      <c r="D282" s="1126"/>
      <c r="E282" s="1126"/>
      <c r="F282" s="1132"/>
      <c r="G282" s="100"/>
      <c r="H282" s="98"/>
      <c r="I282" s="1126"/>
      <c r="J282" s="1135"/>
      <c r="K282" s="1135"/>
      <c r="L282" s="916"/>
      <c r="M282" s="916"/>
    </row>
    <row r="283" spans="1:13" s="103" customFormat="1" ht="15.75" hidden="1" customHeight="1" outlineLevel="1">
      <c r="A283" s="916"/>
      <c r="B283" s="1123">
        <v>91</v>
      </c>
      <c r="C283" s="1127"/>
      <c r="D283" s="1125"/>
      <c r="E283" s="1125" t="s">
        <v>18</v>
      </c>
      <c r="F283" s="1130" t="str">
        <f>VLOOKUP(E283,$N$13:$O$17,2,0)</f>
        <v>-</v>
      </c>
      <c r="G283" s="92"/>
      <c r="H283" s="90"/>
      <c r="I283" s="1125"/>
      <c r="J283" s="1133"/>
      <c r="K283" s="1133"/>
      <c r="L283" s="916"/>
      <c r="M283" s="916"/>
    </row>
    <row r="284" spans="1:13" s="103" customFormat="1" ht="15.75" hidden="1" customHeight="1" outlineLevel="1">
      <c r="A284" s="916"/>
      <c r="B284" s="1123"/>
      <c r="C284" s="1127"/>
      <c r="D284" s="1125"/>
      <c r="E284" s="1125"/>
      <c r="F284" s="1130"/>
      <c r="G284" s="95"/>
      <c r="H284" s="90"/>
      <c r="I284" s="1125"/>
      <c r="J284" s="1134"/>
      <c r="K284" s="1134"/>
      <c r="L284" s="916"/>
      <c r="M284" s="916"/>
    </row>
    <row r="285" spans="1:13" s="103" customFormat="1" ht="15.75" hidden="1" customHeight="1" outlineLevel="1">
      <c r="A285" s="916"/>
      <c r="B285" s="1124"/>
      <c r="C285" s="1128"/>
      <c r="D285" s="1126"/>
      <c r="E285" s="1126"/>
      <c r="F285" s="1132"/>
      <c r="G285" s="100"/>
      <c r="H285" s="98"/>
      <c r="I285" s="1126"/>
      <c r="J285" s="1135"/>
      <c r="K285" s="1135"/>
      <c r="L285" s="916"/>
      <c r="M285" s="916"/>
    </row>
    <row r="286" spans="1:13" s="103" customFormat="1" ht="15.75" hidden="1" customHeight="1" outlineLevel="1">
      <c r="A286" s="916"/>
      <c r="B286" s="1123">
        <v>92</v>
      </c>
      <c r="C286" s="1127"/>
      <c r="D286" s="1125"/>
      <c r="E286" s="1125" t="s">
        <v>18</v>
      </c>
      <c r="F286" s="1130" t="str">
        <f>VLOOKUP(E286,$N$13:$O$17,2,0)</f>
        <v>-</v>
      </c>
      <c r="G286" s="92"/>
      <c r="H286" s="90"/>
      <c r="I286" s="1125"/>
      <c r="J286" s="1133"/>
      <c r="K286" s="1133"/>
      <c r="L286" s="916"/>
      <c r="M286" s="916"/>
    </row>
    <row r="287" spans="1:13" s="103" customFormat="1" ht="15.75" hidden="1" customHeight="1" outlineLevel="1">
      <c r="A287" s="916"/>
      <c r="B287" s="1123"/>
      <c r="C287" s="1127"/>
      <c r="D287" s="1125"/>
      <c r="E287" s="1125"/>
      <c r="F287" s="1130"/>
      <c r="G287" s="95"/>
      <c r="H287" s="90"/>
      <c r="I287" s="1125"/>
      <c r="J287" s="1134"/>
      <c r="K287" s="1134"/>
      <c r="L287" s="916"/>
      <c r="M287" s="916"/>
    </row>
    <row r="288" spans="1:13" s="103" customFormat="1" ht="15.75" hidden="1" customHeight="1" outlineLevel="1">
      <c r="A288" s="916"/>
      <c r="B288" s="1124"/>
      <c r="C288" s="1128"/>
      <c r="D288" s="1126"/>
      <c r="E288" s="1126"/>
      <c r="F288" s="1132"/>
      <c r="G288" s="100"/>
      <c r="H288" s="98"/>
      <c r="I288" s="1126"/>
      <c r="J288" s="1135"/>
      <c r="K288" s="1135"/>
      <c r="L288" s="916"/>
      <c r="M288" s="916"/>
    </row>
    <row r="289" spans="1:13" s="103" customFormat="1" ht="15.75" hidden="1" customHeight="1" outlineLevel="1">
      <c r="A289" s="916"/>
      <c r="B289" s="1123">
        <v>93</v>
      </c>
      <c r="C289" s="1127"/>
      <c r="D289" s="1125"/>
      <c r="E289" s="1125" t="s">
        <v>18</v>
      </c>
      <c r="F289" s="1130" t="str">
        <f>VLOOKUP(E289,$N$13:$O$17,2,0)</f>
        <v>-</v>
      </c>
      <c r="G289" s="92"/>
      <c r="H289" s="90"/>
      <c r="I289" s="1125"/>
      <c r="J289" s="1133"/>
      <c r="K289" s="1133"/>
      <c r="L289" s="916"/>
      <c r="M289" s="916"/>
    </row>
    <row r="290" spans="1:13" s="103" customFormat="1" ht="15.75" hidden="1" customHeight="1" outlineLevel="1">
      <c r="A290" s="916"/>
      <c r="B290" s="1123"/>
      <c r="C290" s="1127"/>
      <c r="D290" s="1125"/>
      <c r="E290" s="1125"/>
      <c r="F290" s="1130"/>
      <c r="G290" s="95"/>
      <c r="H290" s="90"/>
      <c r="I290" s="1125"/>
      <c r="J290" s="1134"/>
      <c r="K290" s="1134"/>
      <c r="L290" s="916"/>
      <c r="M290" s="916"/>
    </row>
    <row r="291" spans="1:13" s="103" customFormat="1" ht="15.75" hidden="1" customHeight="1" outlineLevel="1">
      <c r="A291" s="916"/>
      <c r="B291" s="1124"/>
      <c r="C291" s="1128"/>
      <c r="D291" s="1126"/>
      <c r="E291" s="1126"/>
      <c r="F291" s="1132"/>
      <c r="G291" s="100"/>
      <c r="H291" s="98"/>
      <c r="I291" s="1126"/>
      <c r="J291" s="1135"/>
      <c r="K291" s="1135"/>
      <c r="L291" s="916"/>
      <c r="M291" s="916"/>
    </row>
    <row r="292" spans="1:13" s="103" customFormat="1" ht="15.75" hidden="1" customHeight="1" outlineLevel="1">
      <c r="A292" s="916"/>
      <c r="B292" s="1123">
        <v>94</v>
      </c>
      <c r="C292" s="1127"/>
      <c r="D292" s="1125"/>
      <c r="E292" s="1125" t="s">
        <v>18</v>
      </c>
      <c r="F292" s="1130" t="str">
        <f>VLOOKUP(E292,$N$13:$O$17,2,0)</f>
        <v>-</v>
      </c>
      <c r="G292" s="92"/>
      <c r="H292" s="90"/>
      <c r="I292" s="1125"/>
      <c r="J292" s="1133"/>
      <c r="K292" s="1133"/>
      <c r="L292" s="916"/>
      <c r="M292" s="916"/>
    </row>
    <row r="293" spans="1:13" s="103" customFormat="1" ht="15.75" hidden="1" customHeight="1" outlineLevel="1">
      <c r="A293" s="916"/>
      <c r="B293" s="1123"/>
      <c r="C293" s="1127"/>
      <c r="D293" s="1125"/>
      <c r="E293" s="1125"/>
      <c r="F293" s="1130"/>
      <c r="G293" s="95"/>
      <c r="H293" s="90"/>
      <c r="I293" s="1125"/>
      <c r="J293" s="1134"/>
      <c r="K293" s="1134"/>
      <c r="L293" s="916"/>
      <c r="M293" s="916"/>
    </row>
    <row r="294" spans="1:13" s="103" customFormat="1" ht="15.75" hidden="1" customHeight="1" outlineLevel="1">
      <c r="A294" s="916"/>
      <c r="B294" s="1124"/>
      <c r="C294" s="1128"/>
      <c r="D294" s="1126"/>
      <c r="E294" s="1126"/>
      <c r="F294" s="1132"/>
      <c r="G294" s="100"/>
      <c r="H294" s="98"/>
      <c r="I294" s="1126"/>
      <c r="J294" s="1135"/>
      <c r="K294" s="1135"/>
      <c r="L294" s="916"/>
      <c r="M294" s="916"/>
    </row>
    <row r="295" spans="1:13" s="103" customFormat="1" ht="15.75" hidden="1" customHeight="1" outlineLevel="1">
      <c r="A295" s="916"/>
      <c r="B295" s="1123">
        <v>95</v>
      </c>
      <c r="C295" s="1127"/>
      <c r="D295" s="1125"/>
      <c r="E295" s="1125" t="s">
        <v>18</v>
      </c>
      <c r="F295" s="1130" t="str">
        <f>VLOOKUP(E295,$N$13:$O$17,2,0)</f>
        <v>-</v>
      </c>
      <c r="G295" s="92"/>
      <c r="H295" s="90"/>
      <c r="I295" s="1125"/>
      <c r="J295" s="1133"/>
      <c r="K295" s="1133"/>
      <c r="L295" s="916"/>
      <c r="M295" s="916"/>
    </row>
    <row r="296" spans="1:13" s="103" customFormat="1" ht="15.75" hidden="1" customHeight="1" outlineLevel="1">
      <c r="A296" s="916"/>
      <c r="B296" s="1123"/>
      <c r="C296" s="1127"/>
      <c r="D296" s="1125"/>
      <c r="E296" s="1125"/>
      <c r="F296" s="1130"/>
      <c r="G296" s="95"/>
      <c r="H296" s="90"/>
      <c r="I296" s="1125"/>
      <c r="J296" s="1134"/>
      <c r="K296" s="1134"/>
      <c r="L296" s="916"/>
      <c r="M296" s="916"/>
    </row>
    <row r="297" spans="1:13" s="103" customFormat="1" ht="15.75" hidden="1" customHeight="1" outlineLevel="1">
      <c r="A297" s="916"/>
      <c r="B297" s="1124"/>
      <c r="C297" s="1128"/>
      <c r="D297" s="1126"/>
      <c r="E297" s="1126"/>
      <c r="F297" s="1132"/>
      <c r="G297" s="100"/>
      <c r="H297" s="98"/>
      <c r="I297" s="1126"/>
      <c r="J297" s="1135"/>
      <c r="K297" s="1135"/>
      <c r="L297" s="916"/>
      <c r="M297" s="916"/>
    </row>
    <row r="298" spans="1:13" s="103" customFormat="1" ht="15.75" hidden="1" customHeight="1" outlineLevel="1">
      <c r="A298" s="916"/>
      <c r="B298" s="1123">
        <v>96</v>
      </c>
      <c r="C298" s="1127"/>
      <c r="D298" s="1125"/>
      <c r="E298" s="1125" t="s">
        <v>18</v>
      </c>
      <c r="F298" s="1130" t="str">
        <f>VLOOKUP(E298,$N$13:$O$17,2,0)</f>
        <v>-</v>
      </c>
      <c r="G298" s="92"/>
      <c r="H298" s="90"/>
      <c r="I298" s="1125"/>
      <c r="J298" s="1133"/>
      <c r="K298" s="1133"/>
      <c r="L298" s="916"/>
      <c r="M298" s="916"/>
    </row>
    <row r="299" spans="1:13" s="103" customFormat="1" ht="15.75" hidden="1" customHeight="1" outlineLevel="1">
      <c r="A299" s="916"/>
      <c r="B299" s="1123"/>
      <c r="C299" s="1127"/>
      <c r="D299" s="1125"/>
      <c r="E299" s="1125"/>
      <c r="F299" s="1130"/>
      <c r="G299" s="95"/>
      <c r="H299" s="90"/>
      <c r="I299" s="1125"/>
      <c r="J299" s="1134"/>
      <c r="K299" s="1134"/>
      <c r="L299" s="916"/>
      <c r="M299" s="916"/>
    </row>
    <row r="300" spans="1:13" s="103" customFormat="1" ht="15.75" hidden="1" customHeight="1" outlineLevel="1">
      <c r="A300" s="916"/>
      <c r="B300" s="1124"/>
      <c r="C300" s="1128"/>
      <c r="D300" s="1126"/>
      <c r="E300" s="1126"/>
      <c r="F300" s="1132"/>
      <c r="G300" s="100"/>
      <c r="H300" s="98"/>
      <c r="I300" s="1126"/>
      <c r="J300" s="1135"/>
      <c r="K300" s="1135"/>
      <c r="L300" s="916"/>
      <c r="M300" s="916"/>
    </row>
    <row r="301" spans="1:13" s="103" customFormat="1" ht="15.75" hidden="1" customHeight="1" outlineLevel="1">
      <c r="A301" s="916"/>
      <c r="B301" s="1123">
        <v>97</v>
      </c>
      <c r="C301" s="1127"/>
      <c r="D301" s="1125"/>
      <c r="E301" s="1125" t="s">
        <v>18</v>
      </c>
      <c r="F301" s="1130" t="str">
        <f>VLOOKUP(E301,$N$13:$O$17,2,0)</f>
        <v>-</v>
      </c>
      <c r="G301" s="92"/>
      <c r="H301" s="90"/>
      <c r="I301" s="1125"/>
      <c r="J301" s="1133"/>
      <c r="K301" s="1133"/>
      <c r="L301" s="916"/>
      <c r="M301" s="916"/>
    </row>
    <row r="302" spans="1:13" s="103" customFormat="1" ht="15.75" hidden="1" customHeight="1" outlineLevel="1">
      <c r="A302" s="916"/>
      <c r="B302" s="1123"/>
      <c r="C302" s="1127"/>
      <c r="D302" s="1125"/>
      <c r="E302" s="1125"/>
      <c r="F302" s="1130"/>
      <c r="G302" s="95"/>
      <c r="H302" s="90"/>
      <c r="I302" s="1125"/>
      <c r="J302" s="1134"/>
      <c r="K302" s="1134"/>
      <c r="L302" s="916"/>
      <c r="M302" s="916"/>
    </row>
    <row r="303" spans="1:13" s="103" customFormat="1" ht="15.75" hidden="1" customHeight="1" outlineLevel="1">
      <c r="A303" s="916"/>
      <c r="B303" s="1124"/>
      <c r="C303" s="1128"/>
      <c r="D303" s="1126"/>
      <c r="E303" s="1126"/>
      <c r="F303" s="1132"/>
      <c r="G303" s="100"/>
      <c r="H303" s="98"/>
      <c r="I303" s="1126"/>
      <c r="J303" s="1135"/>
      <c r="K303" s="1135"/>
      <c r="L303" s="916"/>
      <c r="M303" s="916"/>
    </row>
    <row r="304" spans="1:13" s="103" customFormat="1" ht="15.75" hidden="1" customHeight="1" outlineLevel="1">
      <c r="A304" s="916"/>
      <c r="B304" s="1123">
        <v>98</v>
      </c>
      <c r="C304" s="1127"/>
      <c r="D304" s="1125"/>
      <c r="E304" s="1125" t="s">
        <v>18</v>
      </c>
      <c r="F304" s="1130" t="str">
        <f>VLOOKUP(E304,$N$13:$O$17,2,0)</f>
        <v>-</v>
      </c>
      <c r="G304" s="92"/>
      <c r="H304" s="90"/>
      <c r="I304" s="1125"/>
      <c r="J304" s="1133"/>
      <c r="K304" s="1133"/>
      <c r="L304" s="916"/>
      <c r="M304" s="916"/>
    </row>
    <row r="305" spans="1:13" s="103" customFormat="1" ht="15.75" hidden="1" customHeight="1" outlineLevel="1">
      <c r="A305" s="916"/>
      <c r="B305" s="1123"/>
      <c r="C305" s="1127"/>
      <c r="D305" s="1125"/>
      <c r="E305" s="1125"/>
      <c r="F305" s="1130"/>
      <c r="G305" s="95"/>
      <c r="H305" s="90"/>
      <c r="I305" s="1125"/>
      <c r="J305" s="1134"/>
      <c r="K305" s="1134"/>
      <c r="L305" s="916"/>
      <c r="M305" s="916"/>
    </row>
    <row r="306" spans="1:13" s="103" customFormat="1" ht="15.75" hidden="1" customHeight="1" outlineLevel="1">
      <c r="A306" s="916"/>
      <c r="B306" s="1124"/>
      <c r="C306" s="1128"/>
      <c r="D306" s="1126"/>
      <c r="E306" s="1126"/>
      <c r="F306" s="1132"/>
      <c r="G306" s="100"/>
      <c r="H306" s="98"/>
      <c r="I306" s="1126"/>
      <c r="J306" s="1135"/>
      <c r="K306" s="1135"/>
      <c r="L306" s="916"/>
      <c r="M306" s="916"/>
    </row>
    <row r="307" spans="1:13" s="103" customFormat="1" ht="15.75" hidden="1" customHeight="1" outlineLevel="1">
      <c r="A307" s="916"/>
      <c r="B307" s="1123">
        <v>99</v>
      </c>
      <c r="C307" s="1127"/>
      <c r="D307" s="1125"/>
      <c r="E307" s="1125" t="s">
        <v>18</v>
      </c>
      <c r="F307" s="1130" t="str">
        <f>VLOOKUP(E307,$N$13:$O$17,2,0)</f>
        <v>-</v>
      </c>
      <c r="G307" s="92"/>
      <c r="H307" s="90"/>
      <c r="I307" s="1125"/>
      <c r="J307" s="1133"/>
      <c r="K307" s="1133"/>
      <c r="L307" s="916"/>
      <c r="M307" s="916"/>
    </row>
    <row r="308" spans="1:13" s="103" customFormat="1" ht="15.75" hidden="1" customHeight="1" outlineLevel="1">
      <c r="A308" s="916"/>
      <c r="B308" s="1123"/>
      <c r="C308" s="1127"/>
      <c r="D308" s="1125"/>
      <c r="E308" s="1125"/>
      <c r="F308" s="1130"/>
      <c r="G308" s="95"/>
      <c r="H308" s="90"/>
      <c r="I308" s="1125"/>
      <c r="J308" s="1134"/>
      <c r="K308" s="1134"/>
      <c r="L308" s="916"/>
      <c r="M308" s="916"/>
    </row>
    <row r="309" spans="1:13" s="103" customFormat="1" ht="15.75" hidden="1" customHeight="1" outlineLevel="1">
      <c r="A309" s="916"/>
      <c r="B309" s="1124"/>
      <c r="C309" s="1128"/>
      <c r="D309" s="1126"/>
      <c r="E309" s="1126"/>
      <c r="F309" s="1132"/>
      <c r="G309" s="100"/>
      <c r="H309" s="98"/>
      <c r="I309" s="1126"/>
      <c r="J309" s="1135"/>
      <c r="K309" s="1135"/>
      <c r="L309" s="916"/>
      <c r="M309" s="916"/>
    </row>
    <row r="310" spans="1:13" s="103" customFormat="1" ht="15.75" hidden="1" customHeight="1" outlineLevel="1">
      <c r="A310" s="916"/>
      <c r="B310" s="1123">
        <v>100</v>
      </c>
      <c r="C310" s="1127"/>
      <c r="D310" s="1125"/>
      <c r="E310" s="1125" t="s">
        <v>18</v>
      </c>
      <c r="F310" s="1130" t="str">
        <f>VLOOKUP(E310,$N$13:$O$17,2,0)</f>
        <v>-</v>
      </c>
      <c r="G310" s="92"/>
      <c r="H310" s="90"/>
      <c r="I310" s="1125"/>
      <c r="J310" s="1133"/>
      <c r="K310" s="1133"/>
      <c r="L310" s="916"/>
      <c r="M310" s="916"/>
    </row>
    <row r="311" spans="1:13" s="103" customFormat="1" ht="15.75" hidden="1" customHeight="1" outlineLevel="1">
      <c r="A311" s="916"/>
      <c r="B311" s="1123"/>
      <c r="C311" s="1127"/>
      <c r="D311" s="1125"/>
      <c r="E311" s="1125"/>
      <c r="F311" s="1130"/>
      <c r="G311" s="95"/>
      <c r="H311" s="90"/>
      <c r="I311" s="1125"/>
      <c r="J311" s="1134"/>
      <c r="K311" s="1134"/>
      <c r="L311" s="916"/>
      <c r="M311" s="916"/>
    </row>
    <row r="312" spans="1:13" s="103" customFormat="1" ht="15.75" hidden="1" customHeight="1" outlineLevel="1">
      <c r="A312" s="916"/>
      <c r="B312" s="1124"/>
      <c r="C312" s="1128"/>
      <c r="D312" s="1126"/>
      <c r="E312" s="1126"/>
      <c r="F312" s="1132"/>
      <c r="G312" s="100"/>
      <c r="H312" s="98"/>
      <c r="I312" s="1126"/>
      <c r="J312" s="1135"/>
      <c r="K312" s="1135"/>
      <c r="L312" s="916"/>
      <c r="M312" s="916"/>
    </row>
    <row r="313" spans="1:13" s="103" customFormat="1" ht="15.75" hidden="1" customHeight="1" outlineLevel="1">
      <c r="A313" s="916"/>
      <c r="B313" s="1123">
        <v>101</v>
      </c>
      <c r="C313" s="1127"/>
      <c r="D313" s="1125"/>
      <c r="E313" s="1125" t="s">
        <v>18</v>
      </c>
      <c r="F313" s="1130" t="str">
        <f>VLOOKUP(E313,$N$13:$O$17,2,0)</f>
        <v>-</v>
      </c>
      <c r="G313" s="92"/>
      <c r="H313" s="90"/>
      <c r="I313" s="1125"/>
      <c r="J313" s="1133"/>
      <c r="K313" s="1133"/>
      <c r="L313" s="916"/>
      <c r="M313" s="916"/>
    </row>
    <row r="314" spans="1:13" s="103" customFormat="1" ht="15.75" hidden="1" customHeight="1" outlineLevel="1">
      <c r="A314" s="916"/>
      <c r="B314" s="1123"/>
      <c r="C314" s="1127"/>
      <c r="D314" s="1125"/>
      <c r="E314" s="1125"/>
      <c r="F314" s="1130"/>
      <c r="G314" s="95"/>
      <c r="H314" s="90"/>
      <c r="I314" s="1125"/>
      <c r="J314" s="1134"/>
      <c r="K314" s="1134"/>
      <c r="L314" s="916"/>
      <c r="M314" s="916"/>
    </row>
    <row r="315" spans="1:13" s="103" customFormat="1" ht="15.75" hidden="1" customHeight="1" outlineLevel="1">
      <c r="A315" s="916"/>
      <c r="B315" s="1124"/>
      <c r="C315" s="1128"/>
      <c r="D315" s="1126"/>
      <c r="E315" s="1126"/>
      <c r="F315" s="1132"/>
      <c r="G315" s="100"/>
      <c r="H315" s="98"/>
      <c r="I315" s="1126"/>
      <c r="J315" s="1135"/>
      <c r="K315" s="1135"/>
      <c r="L315" s="916"/>
      <c r="M315" s="916"/>
    </row>
    <row r="316" spans="1:13" s="103" customFormat="1" ht="15.75" hidden="1" customHeight="1" outlineLevel="1">
      <c r="A316" s="916"/>
      <c r="B316" s="1123">
        <v>102</v>
      </c>
      <c r="C316" s="1127"/>
      <c r="D316" s="1125"/>
      <c r="E316" s="1125" t="s">
        <v>18</v>
      </c>
      <c r="F316" s="1130" t="str">
        <f>VLOOKUP(E316,$N$13:$O$17,2,0)</f>
        <v>-</v>
      </c>
      <c r="G316" s="92"/>
      <c r="H316" s="90"/>
      <c r="I316" s="1125"/>
      <c r="J316" s="1133"/>
      <c r="K316" s="1133"/>
      <c r="L316" s="916"/>
      <c r="M316" s="916"/>
    </row>
    <row r="317" spans="1:13" s="103" customFormat="1" ht="15.75" hidden="1" customHeight="1" outlineLevel="1">
      <c r="A317" s="916"/>
      <c r="B317" s="1123"/>
      <c r="C317" s="1127"/>
      <c r="D317" s="1125"/>
      <c r="E317" s="1125"/>
      <c r="F317" s="1130"/>
      <c r="G317" s="95"/>
      <c r="H317" s="90"/>
      <c r="I317" s="1125"/>
      <c r="J317" s="1134"/>
      <c r="K317" s="1134"/>
      <c r="L317" s="916"/>
      <c r="M317" s="916"/>
    </row>
    <row r="318" spans="1:13" s="103" customFormat="1" ht="15.75" hidden="1" customHeight="1" outlineLevel="1">
      <c r="A318" s="916"/>
      <c r="B318" s="1124"/>
      <c r="C318" s="1128"/>
      <c r="D318" s="1126"/>
      <c r="E318" s="1126"/>
      <c r="F318" s="1132"/>
      <c r="G318" s="100"/>
      <c r="H318" s="98"/>
      <c r="I318" s="1126"/>
      <c r="J318" s="1135"/>
      <c r="K318" s="1135"/>
      <c r="L318" s="916"/>
      <c r="M318" s="916"/>
    </row>
    <row r="319" spans="1:13" s="103" customFormat="1" ht="15.75" hidden="1" customHeight="1" outlineLevel="1">
      <c r="A319" s="916"/>
      <c r="B319" s="1123">
        <v>103</v>
      </c>
      <c r="C319" s="1127"/>
      <c r="D319" s="1125"/>
      <c r="E319" s="1125" t="s">
        <v>18</v>
      </c>
      <c r="F319" s="1130" t="str">
        <f>VLOOKUP(E319,$N$13:$O$17,2,0)</f>
        <v>-</v>
      </c>
      <c r="G319" s="92"/>
      <c r="H319" s="90"/>
      <c r="I319" s="1125"/>
      <c r="J319" s="1133"/>
      <c r="K319" s="1133"/>
      <c r="L319" s="916"/>
      <c r="M319" s="916"/>
    </row>
    <row r="320" spans="1:13" s="103" customFormat="1" ht="15.75" hidden="1" customHeight="1" outlineLevel="1">
      <c r="A320" s="916"/>
      <c r="B320" s="1123"/>
      <c r="C320" s="1127"/>
      <c r="D320" s="1125"/>
      <c r="E320" s="1125"/>
      <c r="F320" s="1130"/>
      <c r="G320" s="95"/>
      <c r="H320" s="90"/>
      <c r="I320" s="1125"/>
      <c r="J320" s="1134"/>
      <c r="K320" s="1134"/>
      <c r="L320" s="916"/>
      <c r="M320" s="916"/>
    </row>
    <row r="321" spans="1:13" s="103" customFormat="1" ht="15.75" hidden="1" customHeight="1" outlineLevel="1">
      <c r="A321" s="916"/>
      <c r="B321" s="1124"/>
      <c r="C321" s="1128"/>
      <c r="D321" s="1126"/>
      <c r="E321" s="1126"/>
      <c r="F321" s="1132"/>
      <c r="G321" s="100"/>
      <c r="H321" s="98"/>
      <c r="I321" s="1126"/>
      <c r="J321" s="1135"/>
      <c r="K321" s="1135"/>
      <c r="L321" s="916"/>
      <c r="M321" s="916"/>
    </row>
    <row r="322" spans="1:13" s="103" customFormat="1" ht="15.75" hidden="1" customHeight="1" outlineLevel="1">
      <c r="A322" s="916"/>
      <c r="B322" s="1123">
        <v>104</v>
      </c>
      <c r="C322" s="1127"/>
      <c r="D322" s="1125"/>
      <c r="E322" s="1125" t="s">
        <v>18</v>
      </c>
      <c r="F322" s="1130" t="str">
        <f>VLOOKUP(E322,$N$13:$O$17,2,0)</f>
        <v>-</v>
      </c>
      <c r="G322" s="92"/>
      <c r="H322" s="90"/>
      <c r="I322" s="1125"/>
      <c r="J322" s="1133"/>
      <c r="K322" s="1133"/>
      <c r="L322" s="916"/>
      <c r="M322" s="916"/>
    </row>
    <row r="323" spans="1:13" s="103" customFormat="1" ht="15.75" hidden="1" customHeight="1" outlineLevel="1">
      <c r="A323" s="916"/>
      <c r="B323" s="1123"/>
      <c r="C323" s="1127"/>
      <c r="D323" s="1125"/>
      <c r="E323" s="1125"/>
      <c r="F323" s="1130"/>
      <c r="G323" s="95"/>
      <c r="H323" s="90"/>
      <c r="I323" s="1125"/>
      <c r="J323" s="1134"/>
      <c r="K323" s="1134"/>
      <c r="L323" s="916"/>
      <c r="M323" s="916"/>
    </row>
    <row r="324" spans="1:13" s="103" customFormat="1" ht="15.75" hidden="1" customHeight="1" outlineLevel="1">
      <c r="A324" s="916"/>
      <c r="B324" s="1124"/>
      <c r="C324" s="1128"/>
      <c r="D324" s="1126"/>
      <c r="E324" s="1126"/>
      <c r="F324" s="1132"/>
      <c r="G324" s="100"/>
      <c r="H324" s="98"/>
      <c r="I324" s="1126"/>
      <c r="J324" s="1135"/>
      <c r="K324" s="1135"/>
      <c r="L324" s="916"/>
      <c r="M324" s="916"/>
    </row>
    <row r="325" spans="1:13" s="103" customFormat="1" ht="15.75" hidden="1" customHeight="1" outlineLevel="1">
      <c r="A325" s="916"/>
      <c r="B325" s="1123">
        <v>105</v>
      </c>
      <c r="C325" s="1127"/>
      <c r="D325" s="1125"/>
      <c r="E325" s="1125" t="s">
        <v>18</v>
      </c>
      <c r="F325" s="1130" t="str">
        <f>VLOOKUP(E325,$N$13:$O$17,2,0)</f>
        <v>-</v>
      </c>
      <c r="G325" s="92"/>
      <c r="H325" s="90"/>
      <c r="I325" s="1125"/>
      <c r="J325" s="1133"/>
      <c r="K325" s="1133"/>
      <c r="L325" s="916"/>
      <c r="M325" s="916"/>
    </row>
    <row r="326" spans="1:13" s="103" customFormat="1" ht="15.75" hidden="1" customHeight="1" outlineLevel="1">
      <c r="A326" s="916"/>
      <c r="B326" s="1123"/>
      <c r="C326" s="1127"/>
      <c r="D326" s="1125"/>
      <c r="E326" s="1125"/>
      <c r="F326" s="1130"/>
      <c r="G326" s="95"/>
      <c r="H326" s="90"/>
      <c r="I326" s="1125"/>
      <c r="J326" s="1134"/>
      <c r="K326" s="1134"/>
      <c r="L326" s="916"/>
      <c r="M326" s="916"/>
    </row>
    <row r="327" spans="1:13" s="103" customFormat="1" ht="15.75" hidden="1" customHeight="1" outlineLevel="1">
      <c r="A327" s="916"/>
      <c r="B327" s="1124"/>
      <c r="C327" s="1128"/>
      <c r="D327" s="1126"/>
      <c r="E327" s="1126"/>
      <c r="F327" s="1132"/>
      <c r="G327" s="100"/>
      <c r="H327" s="98"/>
      <c r="I327" s="1126"/>
      <c r="J327" s="1135"/>
      <c r="K327" s="1135"/>
      <c r="L327" s="916"/>
      <c r="M327" s="916"/>
    </row>
    <row r="328" spans="1:13" s="103" customFormat="1" ht="15.75" hidden="1" customHeight="1" outlineLevel="1">
      <c r="A328" s="916"/>
      <c r="B328" s="1123">
        <v>106</v>
      </c>
      <c r="C328" s="1127"/>
      <c r="D328" s="1125"/>
      <c r="E328" s="1125" t="s">
        <v>18</v>
      </c>
      <c r="F328" s="1130" t="str">
        <f>VLOOKUP(E328,$N$13:$O$17,2,0)</f>
        <v>-</v>
      </c>
      <c r="G328" s="92"/>
      <c r="H328" s="90"/>
      <c r="I328" s="1125"/>
      <c r="J328" s="1133"/>
      <c r="K328" s="1133"/>
      <c r="L328" s="916"/>
      <c r="M328" s="916"/>
    </row>
    <row r="329" spans="1:13" s="103" customFormat="1" ht="15.75" hidden="1" customHeight="1" outlineLevel="1">
      <c r="A329" s="916"/>
      <c r="B329" s="1123"/>
      <c r="C329" s="1127"/>
      <c r="D329" s="1125"/>
      <c r="E329" s="1125"/>
      <c r="F329" s="1130"/>
      <c r="G329" s="95"/>
      <c r="H329" s="90"/>
      <c r="I329" s="1125"/>
      <c r="J329" s="1134"/>
      <c r="K329" s="1134"/>
      <c r="L329" s="916"/>
      <c r="M329" s="916"/>
    </row>
    <row r="330" spans="1:13" s="103" customFormat="1" ht="15.75" hidden="1" customHeight="1" outlineLevel="1">
      <c r="A330" s="916"/>
      <c r="B330" s="1124"/>
      <c r="C330" s="1128"/>
      <c r="D330" s="1126"/>
      <c r="E330" s="1126"/>
      <c r="F330" s="1132"/>
      <c r="G330" s="100"/>
      <c r="H330" s="98"/>
      <c r="I330" s="1126"/>
      <c r="J330" s="1135"/>
      <c r="K330" s="1135"/>
      <c r="L330" s="916"/>
      <c r="M330" s="916"/>
    </row>
    <row r="331" spans="1:13" s="103" customFormat="1" ht="15.75" hidden="1" customHeight="1" outlineLevel="1">
      <c r="A331" s="916"/>
      <c r="B331" s="1123">
        <v>107</v>
      </c>
      <c r="C331" s="1127"/>
      <c r="D331" s="1125"/>
      <c r="E331" s="1125" t="s">
        <v>18</v>
      </c>
      <c r="F331" s="1130" t="str">
        <f>VLOOKUP(E331,$N$13:$O$17,2,0)</f>
        <v>-</v>
      </c>
      <c r="G331" s="92"/>
      <c r="H331" s="90"/>
      <c r="I331" s="1125"/>
      <c r="J331" s="1133"/>
      <c r="K331" s="1133"/>
      <c r="L331" s="916"/>
      <c r="M331" s="916"/>
    </row>
    <row r="332" spans="1:13" s="103" customFormat="1" ht="15.75" hidden="1" customHeight="1" outlineLevel="1">
      <c r="A332" s="916"/>
      <c r="B332" s="1123"/>
      <c r="C332" s="1127"/>
      <c r="D332" s="1125"/>
      <c r="E332" s="1125"/>
      <c r="F332" s="1130"/>
      <c r="G332" s="95"/>
      <c r="H332" s="90"/>
      <c r="I332" s="1125"/>
      <c r="J332" s="1134"/>
      <c r="K332" s="1134"/>
      <c r="L332" s="916"/>
      <c r="M332" s="916"/>
    </row>
    <row r="333" spans="1:13" s="103" customFormat="1" ht="15.75" hidden="1" customHeight="1" outlineLevel="1">
      <c r="A333" s="916"/>
      <c r="B333" s="1124"/>
      <c r="C333" s="1128"/>
      <c r="D333" s="1126"/>
      <c r="E333" s="1126"/>
      <c r="F333" s="1132"/>
      <c r="G333" s="100"/>
      <c r="H333" s="98"/>
      <c r="I333" s="1126"/>
      <c r="J333" s="1135"/>
      <c r="K333" s="1135"/>
      <c r="L333" s="916"/>
      <c r="M333" s="916"/>
    </row>
    <row r="334" spans="1:13" s="103" customFormat="1" ht="15.75" hidden="1" customHeight="1" outlineLevel="1">
      <c r="A334" s="916"/>
      <c r="B334" s="1123">
        <v>108</v>
      </c>
      <c r="C334" s="1127"/>
      <c r="D334" s="1125"/>
      <c r="E334" s="1125" t="s">
        <v>18</v>
      </c>
      <c r="F334" s="1130" t="str">
        <f>VLOOKUP(E334,$N$13:$O$17,2,0)</f>
        <v>-</v>
      </c>
      <c r="G334" s="92"/>
      <c r="H334" s="90"/>
      <c r="I334" s="1125"/>
      <c r="J334" s="1133"/>
      <c r="K334" s="1133"/>
      <c r="L334" s="916"/>
      <c r="M334" s="916"/>
    </row>
    <row r="335" spans="1:13" s="103" customFormat="1" ht="15.75" hidden="1" customHeight="1" outlineLevel="1">
      <c r="A335" s="916"/>
      <c r="B335" s="1123"/>
      <c r="C335" s="1127"/>
      <c r="D335" s="1125"/>
      <c r="E335" s="1125"/>
      <c r="F335" s="1130"/>
      <c r="G335" s="95"/>
      <c r="H335" s="90"/>
      <c r="I335" s="1125"/>
      <c r="J335" s="1134"/>
      <c r="K335" s="1134"/>
      <c r="L335" s="916"/>
      <c r="M335" s="916"/>
    </row>
    <row r="336" spans="1:13" s="103" customFormat="1" ht="15.75" hidden="1" customHeight="1" outlineLevel="1">
      <c r="A336" s="916"/>
      <c r="B336" s="1124"/>
      <c r="C336" s="1128"/>
      <c r="D336" s="1126"/>
      <c r="E336" s="1126"/>
      <c r="F336" s="1132"/>
      <c r="G336" s="100"/>
      <c r="H336" s="98"/>
      <c r="I336" s="1126"/>
      <c r="J336" s="1135"/>
      <c r="K336" s="1135"/>
      <c r="L336" s="916"/>
      <c r="M336" s="916"/>
    </row>
    <row r="337" spans="1:13" s="103" customFormat="1" ht="15.75" hidden="1" customHeight="1" outlineLevel="1">
      <c r="A337" s="916"/>
      <c r="B337" s="1123">
        <v>109</v>
      </c>
      <c r="C337" s="1127"/>
      <c r="D337" s="1125"/>
      <c r="E337" s="1125" t="s">
        <v>18</v>
      </c>
      <c r="F337" s="1130" t="str">
        <f>VLOOKUP(E337,$N$13:$O$17,2,0)</f>
        <v>-</v>
      </c>
      <c r="G337" s="92"/>
      <c r="H337" s="90"/>
      <c r="I337" s="1125"/>
      <c r="J337" s="1133"/>
      <c r="K337" s="1133"/>
      <c r="L337" s="916"/>
      <c r="M337" s="916"/>
    </row>
    <row r="338" spans="1:13" s="103" customFormat="1" ht="15.75" hidden="1" customHeight="1" outlineLevel="1">
      <c r="A338" s="916"/>
      <c r="B338" s="1123"/>
      <c r="C338" s="1127"/>
      <c r="D338" s="1125"/>
      <c r="E338" s="1125"/>
      <c r="F338" s="1130"/>
      <c r="G338" s="95"/>
      <c r="H338" s="90"/>
      <c r="I338" s="1125"/>
      <c r="J338" s="1134"/>
      <c r="K338" s="1134"/>
      <c r="L338" s="916"/>
      <c r="M338" s="916"/>
    </row>
    <row r="339" spans="1:13" s="103" customFormat="1" ht="15.75" hidden="1" customHeight="1" outlineLevel="1">
      <c r="A339" s="916"/>
      <c r="B339" s="1124"/>
      <c r="C339" s="1128"/>
      <c r="D339" s="1126"/>
      <c r="E339" s="1126"/>
      <c r="F339" s="1132"/>
      <c r="G339" s="100"/>
      <c r="H339" s="98"/>
      <c r="I339" s="1126"/>
      <c r="J339" s="1135"/>
      <c r="K339" s="1135"/>
      <c r="L339" s="916"/>
      <c r="M339" s="916"/>
    </row>
    <row r="340" spans="1:13" s="103" customFormat="1" ht="15.75" hidden="1" customHeight="1" outlineLevel="1">
      <c r="A340" s="916"/>
      <c r="B340" s="1123">
        <v>110</v>
      </c>
      <c r="C340" s="1127"/>
      <c r="D340" s="1125"/>
      <c r="E340" s="1125" t="s">
        <v>18</v>
      </c>
      <c r="F340" s="1130" t="str">
        <f>VLOOKUP(E340,$N$13:$O$17,2,0)</f>
        <v>-</v>
      </c>
      <c r="G340" s="92"/>
      <c r="H340" s="90"/>
      <c r="I340" s="1125"/>
      <c r="J340" s="1133"/>
      <c r="K340" s="1133"/>
      <c r="L340" s="916"/>
      <c r="M340" s="916"/>
    </row>
    <row r="341" spans="1:13" s="103" customFormat="1" ht="15.75" hidden="1" customHeight="1" outlineLevel="1">
      <c r="A341" s="916"/>
      <c r="B341" s="1123"/>
      <c r="C341" s="1127"/>
      <c r="D341" s="1125"/>
      <c r="E341" s="1125"/>
      <c r="F341" s="1130"/>
      <c r="G341" s="95"/>
      <c r="H341" s="90"/>
      <c r="I341" s="1125"/>
      <c r="J341" s="1134"/>
      <c r="K341" s="1134"/>
      <c r="L341" s="916"/>
      <c r="M341" s="916"/>
    </row>
    <row r="342" spans="1:13" s="103" customFormat="1" ht="15.75" hidden="1" customHeight="1" outlineLevel="1">
      <c r="A342" s="916"/>
      <c r="B342" s="1124"/>
      <c r="C342" s="1128"/>
      <c r="D342" s="1126"/>
      <c r="E342" s="1126"/>
      <c r="F342" s="1132"/>
      <c r="G342" s="100"/>
      <c r="H342" s="98"/>
      <c r="I342" s="1126"/>
      <c r="J342" s="1135"/>
      <c r="K342" s="1135"/>
      <c r="L342" s="916"/>
      <c r="M342" s="916"/>
    </row>
    <row r="343" spans="1:13" s="103" customFormat="1" ht="15.75" hidden="1" customHeight="1" outlineLevel="1">
      <c r="A343" s="916"/>
      <c r="B343" s="1123">
        <v>111</v>
      </c>
      <c r="C343" s="1127"/>
      <c r="D343" s="1125"/>
      <c r="E343" s="1125" t="s">
        <v>18</v>
      </c>
      <c r="F343" s="1130" t="str">
        <f>VLOOKUP(E343,$N$13:$O$17,2,0)</f>
        <v>-</v>
      </c>
      <c r="G343" s="92"/>
      <c r="H343" s="90"/>
      <c r="I343" s="1125"/>
      <c r="J343" s="1133"/>
      <c r="K343" s="1133"/>
      <c r="L343" s="916"/>
      <c r="M343" s="916"/>
    </row>
    <row r="344" spans="1:13" s="103" customFormat="1" ht="15.75" hidden="1" customHeight="1" outlineLevel="1">
      <c r="A344" s="916"/>
      <c r="B344" s="1123"/>
      <c r="C344" s="1127"/>
      <c r="D344" s="1125"/>
      <c r="E344" s="1125"/>
      <c r="F344" s="1130"/>
      <c r="G344" s="95"/>
      <c r="H344" s="90"/>
      <c r="I344" s="1125"/>
      <c r="J344" s="1134"/>
      <c r="K344" s="1134"/>
      <c r="L344" s="916"/>
      <c r="M344" s="916"/>
    </row>
    <row r="345" spans="1:13" s="103" customFormat="1" ht="15.75" hidden="1" customHeight="1" outlineLevel="1">
      <c r="A345" s="916"/>
      <c r="B345" s="1124"/>
      <c r="C345" s="1128"/>
      <c r="D345" s="1126"/>
      <c r="E345" s="1126"/>
      <c r="F345" s="1132"/>
      <c r="G345" s="100"/>
      <c r="H345" s="98"/>
      <c r="I345" s="1126"/>
      <c r="J345" s="1135"/>
      <c r="K345" s="1135"/>
      <c r="L345" s="916"/>
      <c r="M345" s="916"/>
    </row>
    <row r="346" spans="1:13" s="103" customFormat="1" ht="15.75" hidden="1" customHeight="1" outlineLevel="1">
      <c r="A346" s="916"/>
      <c r="B346" s="1123">
        <v>112</v>
      </c>
      <c r="C346" s="1127"/>
      <c r="D346" s="1125"/>
      <c r="E346" s="1125" t="s">
        <v>18</v>
      </c>
      <c r="F346" s="1130" t="str">
        <f>VLOOKUP(E346,$N$13:$O$17,2,0)</f>
        <v>-</v>
      </c>
      <c r="G346" s="92"/>
      <c r="H346" s="90"/>
      <c r="I346" s="1125"/>
      <c r="J346" s="1133"/>
      <c r="K346" s="1133"/>
      <c r="L346" s="916"/>
      <c r="M346" s="916"/>
    </row>
    <row r="347" spans="1:13" s="103" customFormat="1" ht="15.75" hidden="1" customHeight="1" outlineLevel="1">
      <c r="A347" s="916"/>
      <c r="B347" s="1123"/>
      <c r="C347" s="1127"/>
      <c r="D347" s="1125"/>
      <c r="E347" s="1125"/>
      <c r="F347" s="1130"/>
      <c r="G347" s="95"/>
      <c r="H347" s="90"/>
      <c r="I347" s="1125"/>
      <c r="J347" s="1134"/>
      <c r="K347" s="1134"/>
      <c r="L347" s="916"/>
      <c r="M347" s="916"/>
    </row>
    <row r="348" spans="1:13" s="103" customFormat="1" ht="15.75" hidden="1" customHeight="1" outlineLevel="1">
      <c r="A348" s="916"/>
      <c r="B348" s="1124"/>
      <c r="C348" s="1128"/>
      <c r="D348" s="1126"/>
      <c r="E348" s="1126"/>
      <c r="F348" s="1132"/>
      <c r="G348" s="100"/>
      <c r="H348" s="98"/>
      <c r="I348" s="1126"/>
      <c r="J348" s="1135"/>
      <c r="K348" s="1135"/>
      <c r="L348" s="916"/>
      <c r="M348" s="916"/>
    </row>
    <row r="349" spans="1:13" s="103" customFormat="1" ht="15.75" hidden="1" customHeight="1" outlineLevel="1">
      <c r="A349" s="916"/>
      <c r="B349" s="1123">
        <v>113</v>
      </c>
      <c r="C349" s="1127"/>
      <c r="D349" s="1125"/>
      <c r="E349" s="1125" t="s">
        <v>18</v>
      </c>
      <c r="F349" s="1130" t="str">
        <f>VLOOKUP(E349,$N$13:$O$17,2,0)</f>
        <v>-</v>
      </c>
      <c r="G349" s="92"/>
      <c r="H349" s="90"/>
      <c r="I349" s="1125"/>
      <c r="J349" s="1133"/>
      <c r="K349" s="1133"/>
      <c r="L349" s="916"/>
      <c r="M349" s="916"/>
    </row>
    <row r="350" spans="1:13" s="103" customFormat="1" ht="15.75" hidden="1" customHeight="1" outlineLevel="1">
      <c r="A350" s="916"/>
      <c r="B350" s="1123"/>
      <c r="C350" s="1127"/>
      <c r="D350" s="1125"/>
      <c r="E350" s="1125"/>
      <c r="F350" s="1130"/>
      <c r="G350" s="95"/>
      <c r="H350" s="90"/>
      <c r="I350" s="1125"/>
      <c r="J350" s="1134"/>
      <c r="K350" s="1134"/>
      <c r="L350" s="916"/>
      <c r="M350" s="916"/>
    </row>
    <row r="351" spans="1:13" s="103" customFormat="1" ht="15.75" hidden="1" customHeight="1" outlineLevel="1">
      <c r="A351" s="916"/>
      <c r="B351" s="1124"/>
      <c r="C351" s="1128"/>
      <c r="D351" s="1126"/>
      <c r="E351" s="1126"/>
      <c r="F351" s="1132"/>
      <c r="G351" s="100"/>
      <c r="H351" s="98"/>
      <c r="I351" s="1126"/>
      <c r="J351" s="1135"/>
      <c r="K351" s="1135"/>
      <c r="L351" s="916"/>
      <c r="M351" s="916"/>
    </row>
    <row r="352" spans="1:13" s="103" customFormat="1" ht="15.75" hidden="1" customHeight="1" outlineLevel="1">
      <c r="A352" s="916"/>
      <c r="B352" s="1123">
        <v>114</v>
      </c>
      <c r="C352" s="1127"/>
      <c r="D352" s="1125"/>
      <c r="E352" s="1125" t="s">
        <v>18</v>
      </c>
      <c r="F352" s="1130" t="str">
        <f>VLOOKUP(E352,$N$13:$O$17,2,0)</f>
        <v>-</v>
      </c>
      <c r="G352" s="92"/>
      <c r="H352" s="90"/>
      <c r="I352" s="1125"/>
      <c r="J352" s="1133"/>
      <c r="K352" s="1133"/>
      <c r="L352" s="916"/>
      <c r="M352" s="916"/>
    </row>
    <row r="353" spans="1:13" s="103" customFormat="1" ht="15.75" hidden="1" customHeight="1" outlineLevel="1">
      <c r="A353" s="916"/>
      <c r="B353" s="1123"/>
      <c r="C353" s="1127"/>
      <c r="D353" s="1125"/>
      <c r="E353" s="1125"/>
      <c r="F353" s="1130"/>
      <c r="G353" s="95"/>
      <c r="H353" s="90"/>
      <c r="I353" s="1125"/>
      <c r="J353" s="1134"/>
      <c r="K353" s="1134"/>
      <c r="L353" s="916"/>
      <c r="M353" s="916"/>
    </row>
    <row r="354" spans="1:13" s="103" customFormat="1" ht="15.75" hidden="1" customHeight="1" outlineLevel="1">
      <c r="A354" s="916"/>
      <c r="B354" s="1124"/>
      <c r="C354" s="1128"/>
      <c r="D354" s="1126"/>
      <c r="E354" s="1126"/>
      <c r="F354" s="1132"/>
      <c r="G354" s="100"/>
      <c r="H354" s="98"/>
      <c r="I354" s="1126"/>
      <c r="J354" s="1135"/>
      <c r="K354" s="1135"/>
      <c r="L354" s="916"/>
      <c r="M354" s="916"/>
    </row>
    <row r="355" spans="1:13" s="103" customFormat="1" ht="15.75" hidden="1" customHeight="1" outlineLevel="1">
      <c r="A355" s="916"/>
      <c r="B355" s="1123">
        <v>115</v>
      </c>
      <c r="C355" s="1127"/>
      <c r="D355" s="1125"/>
      <c r="E355" s="1125" t="s">
        <v>18</v>
      </c>
      <c r="F355" s="1130" t="str">
        <f>VLOOKUP(E355,$N$13:$O$17,2,0)</f>
        <v>-</v>
      </c>
      <c r="G355" s="92"/>
      <c r="H355" s="90"/>
      <c r="I355" s="1125"/>
      <c r="J355" s="1133"/>
      <c r="K355" s="1133"/>
      <c r="L355" s="916"/>
      <c r="M355" s="916"/>
    </row>
    <row r="356" spans="1:13" s="103" customFormat="1" ht="15.75" hidden="1" customHeight="1" outlineLevel="1">
      <c r="A356" s="916"/>
      <c r="B356" s="1123"/>
      <c r="C356" s="1127"/>
      <c r="D356" s="1125"/>
      <c r="E356" s="1125"/>
      <c r="F356" s="1130"/>
      <c r="G356" s="95"/>
      <c r="H356" s="90"/>
      <c r="I356" s="1125"/>
      <c r="J356" s="1134"/>
      <c r="K356" s="1134"/>
      <c r="L356" s="916"/>
      <c r="M356" s="916"/>
    </row>
    <row r="357" spans="1:13" s="103" customFormat="1" ht="15.75" hidden="1" customHeight="1" outlineLevel="1">
      <c r="A357" s="916"/>
      <c r="B357" s="1124"/>
      <c r="C357" s="1128"/>
      <c r="D357" s="1126"/>
      <c r="E357" s="1126"/>
      <c r="F357" s="1132"/>
      <c r="G357" s="100"/>
      <c r="H357" s="98"/>
      <c r="I357" s="1126"/>
      <c r="J357" s="1135"/>
      <c r="K357" s="1135"/>
      <c r="L357" s="916"/>
      <c r="M357" s="916"/>
    </row>
    <row r="358" spans="1:13" s="103" customFormat="1" ht="15.75" hidden="1" customHeight="1" outlineLevel="1">
      <c r="A358" s="916"/>
      <c r="B358" s="1123">
        <v>116</v>
      </c>
      <c r="C358" s="1127"/>
      <c r="D358" s="1125"/>
      <c r="E358" s="1125" t="s">
        <v>18</v>
      </c>
      <c r="F358" s="1130" t="str">
        <f>VLOOKUP(E358,$N$13:$O$17,2,0)</f>
        <v>-</v>
      </c>
      <c r="G358" s="92"/>
      <c r="H358" s="90"/>
      <c r="I358" s="1125"/>
      <c r="J358" s="1133"/>
      <c r="K358" s="1133"/>
      <c r="L358" s="916"/>
      <c r="M358" s="916"/>
    </row>
    <row r="359" spans="1:13" s="103" customFormat="1" ht="15.75" hidden="1" customHeight="1" outlineLevel="1">
      <c r="A359" s="916"/>
      <c r="B359" s="1123"/>
      <c r="C359" s="1127"/>
      <c r="D359" s="1125"/>
      <c r="E359" s="1125"/>
      <c r="F359" s="1130"/>
      <c r="G359" s="95"/>
      <c r="H359" s="90"/>
      <c r="I359" s="1125"/>
      <c r="J359" s="1134"/>
      <c r="K359" s="1134"/>
      <c r="L359" s="916"/>
      <c r="M359" s="916"/>
    </row>
    <row r="360" spans="1:13" s="103" customFormat="1" ht="15.75" hidden="1" customHeight="1" outlineLevel="1">
      <c r="A360" s="916"/>
      <c r="B360" s="1124"/>
      <c r="C360" s="1128"/>
      <c r="D360" s="1126"/>
      <c r="E360" s="1126"/>
      <c r="F360" s="1132"/>
      <c r="G360" s="100"/>
      <c r="H360" s="98"/>
      <c r="I360" s="1126"/>
      <c r="J360" s="1135"/>
      <c r="K360" s="1135"/>
      <c r="L360" s="916"/>
      <c r="M360" s="916"/>
    </row>
    <row r="361" spans="1:13" s="103" customFormat="1" ht="15.75" hidden="1" customHeight="1" outlineLevel="1">
      <c r="A361" s="916"/>
      <c r="B361" s="1123">
        <v>117</v>
      </c>
      <c r="C361" s="1127"/>
      <c r="D361" s="1125"/>
      <c r="E361" s="1125" t="s">
        <v>18</v>
      </c>
      <c r="F361" s="1130" t="str">
        <f>VLOOKUP(E361,$N$13:$O$17,2,0)</f>
        <v>-</v>
      </c>
      <c r="G361" s="92"/>
      <c r="H361" s="90"/>
      <c r="I361" s="1125"/>
      <c r="J361" s="1133"/>
      <c r="K361" s="1133"/>
      <c r="L361" s="916"/>
      <c r="M361" s="916"/>
    </row>
    <row r="362" spans="1:13" s="103" customFormat="1" ht="15.75" hidden="1" customHeight="1" outlineLevel="1">
      <c r="A362" s="916"/>
      <c r="B362" s="1123"/>
      <c r="C362" s="1127"/>
      <c r="D362" s="1125"/>
      <c r="E362" s="1125"/>
      <c r="F362" s="1130"/>
      <c r="G362" s="95"/>
      <c r="H362" s="90"/>
      <c r="I362" s="1125"/>
      <c r="J362" s="1134"/>
      <c r="K362" s="1134"/>
      <c r="L362" s="916"/>
      <c r="M362" s="916"/>
    </row>
    <row r="363" spans="1:13" s="103" customFormat="1" ht="15.75" hidden="1" customHeight="1" outlineLevel="1">
      <c r="A363" s="916"/>
      <c r="B363" s="1124"/>
      <c r="C363" s="1128"/>
      <c r="D363" s="1126"/>
      <c r="E363" s="1126"/>
      <c r="F363" s="1132"/>
      <c r="G363" s="100"/>
      <c r="H363" s="98"/>
      <c r="I363" s="1126"/>
      <c r="J363" s="1135"/>
      <c r="K363" s="1135"/>
      <c r="L363" s="916"/>
      <c r="M363" s="916"/>
    </row>
    <row r="364" spans="1:13" s="103" customFormat="1" ht="15.75" hidden="1" customHeight="1" outlineLevel="1">
      <c r="A364" s="916"/>
      <c r="B364" s="1123">
        <v>118</v>
      </c>
      <c r="C364" s="1127"/>
      <c r="D364" s="1125"/>
      <c r="E364" s="1125" t="s">
        <v>18</v>
      </c>
      <c r="F364" s="1130" t="str">
        <f>VLOOKUP(E364,$N$13:$O$17,2,0)</f>
        <v>-</v>
      </c>
      <c r="G364" s="92"/>
      <c r="H364" s="90"/>
      <c r="I364" s="1125"/>
      <c r="J364" s="1133"/>
      <c r="K364" s="1133"/>
      <c r="L364" s="916"/>
      <c r="M364" s="916"/>
    </row>
    <row r="365" spans="1:13" s="103" customFormat="1" ht="15.75" hidden="1" customHeight="1" outlineLevel="1">
      <c r="A365" s="916"/>
      <c r="B365" s="1123"/>
      <c r="C365" s="1127"/>
      <c r="D365" s="1125"/>
      <c r="E365" s="1125"/>
      <c r="F365" s="1130"/>
      <c r="G365" s="95"/>
      <c r="H365" s="90"/>
      <c r="I365" s="1125"/>
      <c r="J365" s="1134"/>
      <c r="K365" s="1134"/>
      <c r="L365" s="916"/>
      <c r="M365" s="916"/>
    </row>
    <row r="366" spans="1:13" s="103" customFormat="1" ht="15.75" hidden="1" customHeight="1" outlineLevel="1">
      <c r="A366" s="916"/>
      <c r="B366" s="1124"/>
      <c r="C366" s="1128"/>
      <c r="D366" s="1126"/>
      <c r="E366" s="1126"/>
      <c r="F366" s="1132"/>
      <c r="G366" s="100"/>
      <c r="H366" s="98"/>
      <c r="I366" s="1126"/>
      <c r="J366" s="1135"/>
      <c r="K366" s="1135"/>
      <c r="L366" s="916"/>
      <c r="M366" s="916"/>
    </row>
    <row r="367" spans="1:13" s="103" customFormat="1" ht="15.75" hidden="1" customHeight="1" outlineLevel="1">
      <c r="A367" s="916"/>
      <c r="B367" s="1123">
        <v>119</v>
      </c>
      <c r="C367" s="1127"/>
      <c r="D367" s="1125"/>
      <c r="E367" s="1125" t="s">
        <v>18</v>
      </c>
      <c r="F367" s="1130" t="str">
        <f>VLOOKUP(E367,$N$13:$O$17,2,0)</f>
        <v>-</v>
      </c>
      <c r="G367" s="92"/>
      <c r="H367" s="90"/>
      <c r="I367" s="1125"/>
      <c r="J367" s="1133"/>
      <c r="K367" s="1133"/>
      <c r="L367" s="916"/>
      <c r="M367" s="916"/>
    </row>
    <row r="368" spans="1:13" s="103" customFormat="1" ht="15.75" hidden="1" customHeight="1" outlineLevel="1">
      <c r="A368" s="916"/>
      <c r="B368" s="1123"/>
      <c r="C368" s="1127"/>
      <c r="D368" s="1125"/>
      <c r="E368" s="1125"/>
      <c r="F368" s="1130"/>
      <c r="G368" s="95"/>
      <c r="H368" s="90"/>
      <c r="I368" s="1125"/>
      <c r="J368" s="1134"/>
      <c r="K368" s="1134"/>
      <c r="L368" s="916"/>
      <c r="M368" s="916"/>
    </row>
    <row r="369" spans="1:13" s="103" customFormat="1" ht="15.75" hidden="1" customHeight="1" outlineLevel="1">
      <c r="A369" s="916"/>
      <c r="B369" s="1124"/>
      <c r="C369" s="1128"/>
      <c r="D369" s="1126"/>
      <c r="E369" s="1126"/>
      <c r="F369" s="1132"/>
      <c r="G369" s="100"/>
      <c r="H369" s="98"/>
      <c r="I369" s="1126"/>
      <c r="J369" s="1135"/>
      <c r="K369" s="1135"/>
      <c r="L369" s="916"/>
      <c r="M369" s="916"/>
    </row>
    <row r="370" spans="1:13" s="103" customFormat="1" ht="15.75" hidden="1" customHeight="1" outlineLevel="1">
      <c r="A370" s="916"/>
      <c r="B370" s="1123">
        <v>120</v>
      </c>
      <c r="C370" s="1127"/>
      <c r="D370" s="1125"/>
      <c r="E370" s="1125" t="s">
        <v>18</v>
      </c>
      <c r="F370" s="1130" t="str">
        <f>VLOOKUP(E370,$N$13:$O$17,2,0)</f>
        <v>-</v>
      </c>
      <c r="G370" s="92"/>
      <c r="H370" s="90"/>
      <c r="I370" s="1125"/>
      <c r="J370" s="1133"/>
      <c r="K370" s="1133"/>
      <c r="L370" s="916"/>
      <c r="M370" s="916"/>
    </row>
    <row r="371" spans="1:13" s="103" customFormat="1" ht="15.75" hidden="1" customHeight="1" outlineLevel="1">
      <c r="A371" s="916"/>
      <c r="B371" s="1123"/>
      <c r="C371" s="1127"/>
      <c r="D371" s="1125"/>
      <c r="E371" s="1125"/>
      <c r="F371" s="1130"/>
      <c r="G371" s="95"/>
      <c r="H371" s="90"/>
      <c r="I371" s="1125"/>
      <c r="J371" s="1134"/>
      <c r="K371" s="1134"/>
      <c r="L371" s="916"/>
      <c r="M371" s="916"/>
    </row>
    <row r="372" spans="1:13" s="103" customFormat="1" ht="15.75" hidden="1" customHeight="1" outlineLevel="1">
      <c r="A372" s="916"/>
      <c r="B372" s="1124"/>
      <c r="C372" s="1128"/>
      <c r="D372" s="1126"/>
      <c r="E372" s="1126"/>
      <c r="F372" s="1132"/>
      <c r="G372" s="100"/>
      <c r="H372" s="98"/>
      <c r="I372" s="1126"/>
      <c r="J372" s="1135"/>
      <c r="K372" s="1135"/>
      <c r="L372" s="916"/>
      <c r="M372" s="916"/>
    </row>
    <row r="373" spans="1:13" s="103" customFormat="1" ht="15.75" hidden="1" customHeight="1" outlineLevel="1">
      <c r="A373" s="916"/>
      <c r="B373" s="1123">
        <v>121</v>
      </c>
      <c r="C373" s="1127"/>
      <c r="D373" s="1125"/>
      <c r="E373" s="1125" t="s">
        <v>18</v>
      </c>
      <c r="F373" s="1130" t="str">
        <f>VLOOKUP(E373,$N$13:$O$17,2,0)</f>
        <v>-</v>
      </c>
      <c r="G373" s="92"/>
      <c r="H373" s="90"/>
      <c r="I373" s="1125"/>
      <c r="J373" s="1133"/>
      <c r="K373" s="1133"/>
      <c r="L373" s="916"/>
      <c r="M373" s="916"/>
    </row>
    <row r="374" spans="1:13" s="103" customFormat="1" ht="15.75" hidden="1" customHeight="1" outlineLevel="1">
      <c r="A374" s="916"/>
      <c r="B374" s="1123"/>
      <c r="C374" s="1127"/>
      <c r="D374" s="1125"/>
      <c r="E374" s="1125"/>
      <c r="F374" s="1130"/>
      <c r="G374" s="95"/>
      <c r="H374" s="90"/>
      <c r="I374" s="1125"/>
      <c r="J374" s="1134"/>
      <c r="K374" s="1134"/>
      <c r="L374" s="916"/>
      <c r="M374" s="916"/>
    </row>
    <row r="375" spans="1:13" s="103" customFormat="1" ht="15.75" hidden="1" customHeight="1" outlineLevel="1">
      <c r="A375" s="916"/>
      <c r="B375" s="1124"/>
      <c r="C375" s="1128"/>
      <c r="D375" s="1126"/>
      <c r="E375" s="1126"/>
      <c r="F375" s="1132"/>
      <c r="G375" s="100"/>
      <c r="H375" s="98"/>
      <c r="I375" s="1126"/>
      <c r="J375" s="1135"/>
      <c r="K375" s="1135"/>
      <c r="L375" s="916"/>
      <c r="M375" s="916"/>
    </row>
    <row r="376" spans="1:13" s="103" customFormat="1" ht="15.75" hidden="1" customHeight="1" outlineLevel="1">
      <c r="A376" s="916"/>
      <c r="B376" s="1123">
        <v>122</v>
      </c>
      <c r="C376" s="1127"/>
      <c r="D376" s="1125"/>
      <c r="E376" s="1125" t="s">
        <v>18</v>
      </c>
      <c r="F376" s="1130" t="str">
        <f>VLOOKUP(E376,$N$13:$O$17,2,0)</f>
        <v>-</v>
      </c>
      <c r="G376" s="92"/>
      <c r="H376" s="90"/>
      <c r="I376" s="1125"/>
      <c r="J376" s="1133"/>
      <c r="K376" s="1133"/>
      <c r="L376" s="916"/>
      <c r="M376" s="916"/>
    </row>
    <row r="377" spans="1:13" s="103" customFormat="1" ht="15.75" hidden="1" customHeight="1" outlineLevel="1">
      <c r="A377" s="916"/>
      <c r="B377" s="1123"/>
      <c r="C377" s="1127"/>
      <c r="D377" s="1125"/>
      <c r="E377" s="1125"/>
      <c r="F377" s="1130"/>
      <c r="G377" s="95"/>
      <c r="H377" s="90"/>
      <c r="I377" s="1125"/>
      <c r="J377" s="1134"/>
      <c r="K377" s="1134"/>
      <c r="L377" s="916"/>
      <c r="M377" s="916"/>
    </row>
    <row r="378" spans="1:13" s="103" customFormat="1" ht="15.75" hidden="1" customHeight="1" outlineLevel="1">
      <c r="A378" s="916"/>
      <c r="B378" s="1124"/>
      <c r="C378" s="1128"/>
      <c r="D378" s="1126"/>
      <c r="E378" s="1126"/>
      <c r="F378" s="1132"/>
      <c r="G378" s="100"/>
      <c r="H378" s="98"/>
      <c r="I378" s="1126"/>
      <c r="J378" s="1135"/>
      <c r="K378" s="1135"/>
      <c r="L378" s="916"/>
      <c r="M378" s="916"/>
    </row>
    <row r="379" spans="1:13" s="103" customFormat="1" ht="15.75" hidden="1" customHeight="1" outlineLevel="1">
      <c r="A379" s="916"/>
      <c r="B379" s="1123">
        <v>123</v>
      </c>
      <c r="C379" s="1127"/>
      <c r="D379" s="1125"/>
      <c r="E379" s="1125" t="s">
        <v>18</v>
      </c>
      <c r="F379" s="1130" t="str">
        <f>VLOOKUP(E379,$N$13:$O$17,2,0)</f>
        <v>-</v>
      </c>
      <c r="G379" s="92"/>
      <c r="H379" s="90"/>
      <c r="I379" s="1125"/>
      <c r="J379" s="1133"/>
      <c r="K379" s="1133"/>
      <c r="L379" s="916"/>
      <c r="M379" s="916"/>
    </row>
    <row r="380" spans="1:13" s="103" customFormat="1" ht="15.75" hidden="1" customHeight="1" outlineLevel="1">
      <c r="A380" s="916"/>
      <c r="B380" s="1123"/>
      <c r="C380" s="1127"/>
      <c r="D380" s="1125"/>
      <c r="E380" s="1125"/>
      <c r="F380" s="1130"/>
      <c r="G380" s="95"/>
      <c r="H380" s="90"/>
      <c r="I380" s="1125"/>
      <c r="J380" s="1134"/>
      <c r="K380" s="1134"/>
      <c r="L380" s="916"/>
      <c r="M380" s="916"/>
    </row>
    <row r="381" spans="1:13" s="103" customFormat="1" ht="15.75" hidden="1" customHeight="1" outlineLevel="1">
      <c r="A381" s="916"/>
      <c r="B381" s="1124"/>
      <c r="C381" s="1128"/>
      <c r="D381" s="1126"/>
      <c r="E381" s="1126"/>
      <c r="F381" s="1132"/>
      <c r="G381" s="100"/>
      <c r="H381" s="98"/>
      <c r="I381" s="1126"/>
      <c r="J381" s="1135"/>
      <c r="K381" s="1135"/>
      <c r="L381" s="916"/>
      <c r="M381" s="916"/>
    </row>
    <row r="382" spans="1:13" s="103" customFormat="1" ht="15.75" hidden="1" customHeight="1" outlineLevel="1">
      <c r="A382" s="916"/>
      <c r="B382" s="1123">
        <v>124</v>
      </c>
      <c r="C382" s="1127"/>
      <c r="D382" s="1125"/>
      <c r="E382" s="1125" t="s">
        <v>18</v>
      </c>
      <c r="F382" s="1130" t="str">
        <f>VLOOKUP(E382,$N$13:$O$17,2,0)</f>
        <v>-</v>
      </c>
      <c r="G382" s="92"/>
      <c r="H382" s="90"/>
      <c r="I382" s="1125"/>
      <c r="J382" s="1133"/>
      <c r="K382" s="1133"/>
      <c r="L382" s="916"/>
      <c r="M382" s="916"/>
    </row>
    <row r="383" spans="1:13" s="103" customFormat="1" ht="15.75" hidden="1" customHeight="1" outlineLevel="1">
      <c r="A383" s="916"/>
      <c r="B383" s="1123"/>
      <c r="C383" s="1127"/>
      <c r="D383" s="1125"/>
      <c r="E383" s="1125"/>
      <c r="F383" s="1130"/>
      <c r="G383" s="95"/>
      <c r="H383" s="90"/>
      <c r="I383" s="1125"/>
      <c r="J383" s="1134"/>
      <c r="K383" s="1134"/>
      <c r="L383" s="916"/>
      <c r="M383" s="916"/>
    </row>
    <row r="384" spans="1:13" s="103" customFormat="1" ht="15.75" hidden="1" customHeight="1" outlineLevel="1">
      <c r="A384" s="916"/>
      <c r="B384" s="1124"/>
      <c r="C384" s="1128"/>
      <c r="D384" s="1126"/>
      <c r="E384" s="1126"/>
      <c r="F384" s="1132"/>
      <c r="G384" s="100"/>
      <c r="H384" s="98"/>
      <c r="I384" s="1126"/>
      <c r="J384" s="1135"/>
      <c r="K384" s="1135"/>
      <c r="L384" s="916"/>
      <c r="M384" s="916"/>
    </row>
    <row r="385" spans="1:13" s="103" customFormat="1" ht="15.75" hidden="1" customHeight="1" outlineLevel="1">
      <c r="A385" s="916"/>
      <c r="B385" s="1123">
        <v>125</v>
      </c>
      <c r="C385" s="1127"/>
      <c r="D385" s="1125"/>
      <c r="E385" s="1125" t="s">
        <v>18</v>
      </c>
      <c r="F385" s="1130" t="str">
        <f>VLOOKUP(E385,$N$13:$O$17,2,0)</f>
        <v>-</v>
      </c>
      <c r="G385" s="92"/>
      <c r="H385" s="90"/>
      <c r="I385" s="1125"/>
      <c r="J385" s="1133"/>
      <c r="K385" s="1133"/>
      <c r="L385" s="916"/>
      <c r="M385" s="916"/>
    </row>
    <row r="386" spans="1:13" s="103" customFormat="1" ht="15.75" hidden="1" customHeight="1" outlineLevel="1">
      <c r="A386" s="916"/>
      <c r="B386" s="1123"/>
      <c r="C386" s="1127"/>
      <c r="D386" s="1125"/>
      <c r="E386" s="1125"/>
      <c r="F386" s="1130"/>
      <c r="G386" s="95"/>
      <c r="H386" s="90"/>
      <c r="I386" s="1125"/>
      <c r="J386" s="1134"/>
      <c r="K386" s="1134"/>
      <c r="L386" s="916"/>
      <c r="M386" s="916"/>
    </row>
    <row r="387" spans="1:13" s="103" customFormat="1" ht="15.75" hidden="1" customHeight="1" outlineLevel="1">
      <c r="A387" s="916"/>
      <c r="B387" s="1124"/>
      <c r="C387" s="1128"/>
      <c r="D387" s="1126"/>
      <c r="E387" s="1126"/>
      <c r="F387" s="1132"/>
      <c r="G387" s="100"/>
      <c r="H387" s="98"/>
      <c r="I387" s="1126"/>
      <c r="J387" s="1135"/>
      <c r="K387" s="1135"/>
      <c r="L387" s="916"/>
      <c r="M387" s="916"/>
    </row>
    <row r="388" spans="1:13" s="103" customFormat="1" ht="15.75" hidden="1" customHeight="1" outlineLevel="1">
      <c r="A388" s="916"/>
      <c r="B388" s="1123">
        <v>126</v>
      </c>
      <c r="C388" s="1127"/>
      <c r="D388" s="1125"/>
      <c r="E388" s="1125" t="s">
        <v>18</v>
      </c>
      <c r="F388" s="1130" t="str">
        <f>VLOOKUP(E388,$N$13:$O$17,2,0)</f>
        <v>-</v>
      </c>
      <c r="G388" s="92"/>
      <c r="H388" s="90"/>
      <c r="I388" s="1125"/>
      <c r="J388" s="1133"/>
      <c r="K388" s="1133"/>
      <c r="L388" s="916"/>
      <c r="M388" s="916"/>
    </row>
    <row r="389" spans="1:13" s="103" customFormat="1" ht="15.75" hidden="1" customHeight="1" outlineLevel="1">
      <c r="A389" s="916"/>
      <c r="B389" s="1123"/>
      <c r="C389" s="1127"/>
      <c r="D389" s="1125"/>
      <c r="E389" s="1125"/>
      <c r="F389" s="1130"/>
      <c r="G389" s="95"/>
      <c r="H389" s="90"/>
      <c r="I389" s="1125"/>
      <c r="J389" s="1134"/>
      <c r="K389" s="1134"/>
      <c r="L389" s="916"/>
      <c r="M389" s="916"/>
    </row>
    <row r="390" spans="1:13" s="103" customFormat="1" ht="15.75" hidden="1" customHeight="1" outlineLevel="1">
      <c r="A390" s="916"/>
      <c r="B390" s="1124"/>
      <c r="C390" s="1128"/>
      <c r="D390" s="1126"/>
      <c r="E390" s="1126"/>
      <c r="F390" s="1132"/>
      <c r="G390" s="100"/>
      <c r="H390" s="98"/>
      <c r="I390" s="1126"/>
      <c r="J390" s="1135"/>
      <c r="K390" s="1135"/>
      <c r="L390" s="916"/>
      <c r="M390" s="916"/>
    </row>
    <row r="391" spans="1:13" s="103" customFormat="1" ht="15.75" hidden="1" customHeight="1" outlineLevel="1">
      <c r="A391" s="916"/>
      <c r="B391" s="1123">
        <v>127</v>
      </c>
      <c r="C391" s="1127"/>
      <c r="D391" s="1125"/>
      <c r="E391" s="1125" t="s">
        <v>18</v>
      </c>
      <c r="F391" s="1130" t="str">
        <f>VLOOKUP(E391,$N$13:$O$17,2,0)</f>
        <v>-</v>
      </c>
      <c r="G391" s="92"/>
      <c r="H391" s="90"/>
      <c r="I391" s="1125"/>
      <c r="J391" s="1133"/>
      <c r="K391" s="1133"/>
      <c r="L391" s="916"/>
      <c r="M391" s="916"/>
    </row>
    <row r="392" spans="1:13" s="103" customFormat="1" ht="15.75" hidden="1" customHeight="1" outlineLevel="1">
      <c r="A392" s="916"/>
      <c r="B392" s="1123"/>
      <c r="C392" s="1127"/>
      <c r="D392" s="1125"/>
      <c r="E392" s="1125"/>
      <c r="F392" s="1130"/>
      <c r="G392" s="95"/>
      <c r="H392" s="90"/>
      <c r="I392" s="1125"/>
      <c r="J392" s="1134"/>
      <c r="K392" s="1134"/>
      <c r="L392" s="916"/>
      <c r="M392" s="916"/>
    </row>
    <row r="393" spans="1:13" s="103" customFormat="1" ht="15.75" hidden="1" customHeight="1" outlineLevel="1">
      <c r="A393" s="916"/>
      <c r="B393" s="1124"/>
      <c r="C393" s="1128"/>
      <c r="D393" s="1126"/>
      <c r="E393" s="1126"/>
      <c r="F393" s="1132"/>
      <c r="G393" s="100"/>
      <c r="H393" s="98"/>
      <c r="I393" s="1126"/>
      <c r="J393" s="1135"/>
      <c r="K393" s="1135"/>
      <c r="L393" s="916"/>
      <c r="M393" s="916"/>
    </row>
    <row r="394" spans="1:13" s="103" customFormat="1" ht="15.75" hidden="1" customHeight="1" outlineLevel="1">
      <c r="A394" s="916"/>
      <c r="B394" s="1123">
        <v>128</v>
      </c>
      <c r="C394" s="1127"/>
      <c r="D394" s="1125"/>
      <c r="E394" s="1125" t="s">
        <v>18</v>
      </c>
      <c r="F394" s="1130" t="str">
        <f>VLOOKUP(E394,$N$13:$O$17,2,0)</f>
        <v>-</v>
      </c>
      <c r="G394" s="92"/>
      <c r="H394" s="90"/>
      <c r="I394" s="1125"/>
      <c r="J394" s="1133"/>
      <c r="K394" s="1133"/>
      <c r="L394" s="916"/>
      <c r="M394" s="916"/>
    </row>
    <row r="395" spans="1:13" s="103" customFormat="1" ht="15.75" hidden="1" customHeight="1" outlineLevel="1">
      <c r="A395" s="916"/>
      <c r="B395" s="1123"/>
      <c r="C395" s="1127"/>
      <c r="D395" s="1125"/>
      <c r="E395" s="1125"/>
      <c r="F395" s="1130"/>
      <c r="G395" s="95"/>
      <c r="H395" s="90"/>
      <c r="I395" s="1125"/>
      <c r="J395" s="1134"/>
      <c r="K395" s="1134"/>
      <c r="L395" s="916"/>
      <c r="M395" s="916"/>
    </row>
    <row r="396" spans="1:13" s="103" customFormat="1" ht="15.75" hidden="1" customHeight="1" outlineLevel="1">
      <c r="A396" s="916"/>
      <c r="B396" s="1124"/>
      <c r="C396" s="1128"/>
      <c r="D396" s="1126"/>
      <c r="E396" s="1126"/>
      <c r="F396" s="1132"/>
      <c r="G396" s="100"/>
      <c r="H396" s="98"/>
      <c r="I396" s="1126"/>
      <c r="J396" s="1135"/>
      <c r="K396" s="1135"/>
      <c r="L396" s="916"/>
      <c r="M396" s="916"/>
    </row>
    <row r="397" spans="1:13" s="103" customFormat="1" ht="15.75" hidden="1" customHeight="1" outlineLevel="1">
      <c r="A397" s="916"/>
      <c r="B397" s="1123">
        <v>129</v>
      </c>
      <c r="C397" s="1127"/>
      <c r="D397" s="1125"/>
      <c r="E397" s="1125" t="s">
        <v>18</v>
      </c>
      <c r="F397" s="1130" t="str">
        <f>VLOOKUP(E397,$N$13:$O$17,2,0)</f>
        <v>-</v>
      </c>
      <c r="G397" s="92"/>
      <c r="H397" s="90"/>
      <c r="I397" s="1125"/>
      <c r="J397" s="1133"/>
      <c r="K397" s="1133"/>
      <c r="L397" s="916"/>
      <c r="M397" s="916"/>
    </row>
    <row r="398" spans="1:13" s="103" customFormat="1" ht="15.75" hidden="1" customHeight="1" outlineLevel="1">
      <c r="A398" s="916"/>
      <c r="B398" s="1123"/>
      <c r="C398" s="1127"/>
      <c r="D398" s="1125"/>
      <c r="E398" s="1125"/>
      <c r="F398" s="1130"/>
      <c r="G398" s="95"/>
      <c r="H398" s="90"/>
      <c r="I398" s="1125"/>
      <c r="J398" s="1134"/>
      <c r="K398" s="1134"/>
      <c r="L398" s="916"/>
      <c r="M398" s="916"/>
    </row>
    <row r="399" spans="1:13" s="103" customFormat="1" ht="15.75" hidden="1" customHeight="1" outlineLevel="1">
      <c r="A399" s="916"/>
      <c r="B399" s="1124"/>
      <c r="C399" s="1128"/>
      <c r="D399" s="1126"/>
      <c r="E399" s="1126"/>
      <c r="F399" s="1132"/>
      <c r="G399" s="100"/>
      <c r="H399" s="98"/>
      <c r="I399" s="1126"/>
      <c r="J399" s="1135"/>
      <c r="K399" s="1135"/>
      <c r="L399" s="916"/>
      <c r="M399" s="916"/>
    </row>
    <row r="400" spans="1:13" s="103" customFormat="1" ht="15.75" hidden="1" customHeight="1" outlineLevel="1">
      <c r="A400" s="916"/>
      <c r="B400" s="1123">
        <v>130</v>
      </c>
      <c r="C400" s="1127"/>
      <c r="D400" s="1125"/>
      <c r="E400" s="1125" t="s">
        <v>18</v>
      </c>
      <c r="F400" s="1130" t="str">
        <f>VLOOKUP(E400,$N$13:$O$17,2,0)</f>
        <v>-</v>
      </c>
      <c r="G400" s="92"/>
      <c r="H400" s="90"/>
      <c r="I400" s="1125"/>
      <c r="J400" s="1133"/>
      <c r="K400" s="1133"/>
      <c r="L400" s="916"/>
      <c r="M400" s="916"/>
    </row>
    <row r="401" spans="1:13" s="103" customFormat="1" ht="15.75" hidden="1" customHeight="1" outlineLevel="1">
      <c r="A401" s="916"/>
      <c r="B401" s="1123"/>
      <c r="C401" s="1127"/>
      <c r="D401" s="1125"/>
      <c r="E401" s="1125"/>
      <c r="F401" s="1130"/>
      <c r="G401" s="95"/>
      <c r="H401" s="90"/>
      <c r="I401" s="1125"/>
      <c r="J401" s="1134"/>
      <c r="K401" s="1134"/>
      <c r="L401" s="916"/>
      <c r="M401" s="916"/>
    </row>
    <row r="402" spans="1:13" s="103" customFormat="1" ht="15.75" hidden="1" customHeight="1" outlineLevel="1">
      <c r="A402" s="916"/>
      <c r="B402" s="1124"/>
      <c r="C402" s="1128"/>
      <c r="D402" s="1126"/>
      <c r="E402" s="1126"/>
      <c r="F402" s="1132"/>
      <c r="G402" s="100"/>
      <c r="H402" s="98"/>
      <c r="I402" s="1126"/>
      <c r="J402" s="1135"/>
      <c r="K402" s="1135"/>
      <c r="L402" s="916"/>
      <c r="M402" s="916"/>
    </row>
    <row r="403" spans="1:13" s="103" customFormat="1" ht="15.75" hidden="1" customHeight="1" outlineLevel="1">
      <c r="A403" s="916"/>
      <c r="B403" s="1123">
        <v>131</v>
      </c>
      <c r="C403" s="1127"/>
      <c r="D403" s="1125"/>
      <c r="E403" s="1125" t="s">
        <v>18</v>
      </c>
      <c r="F403" s="1130" t="str">
        <f>VLOOKUP(E403,$N$13:$O$17,2,0)</f>
        <v>-</v>
      </c>
      <c r="G403" s="92"/>
      <c r="H403" s="90"/>
      <c r="I403" s="1125"/>
      <c r="J403" s="1133"/>
      <c r="K403" s="1133"/>
      <c r="L403" s="916"/>
      <c r="M403" s="916"/>
    </row>
    <row r="404" spans="1:13" s="103" customFormat="1" ht="15.75" hidden="1" customHeight="1" outlineLevel="1">
      <c r="A404" s="916"/>
      <c r="B404" s="1123"/>
      <c r="C404" s="1127"/>
      <c r="D404" s="1125"/>
      <c r="E404" s="1125"/>
      <c r="F404" s="1130"/>
      <c r="G404" s="95"/>
      <c r="H404" s="90"/>
      <c r="I404" s="1125"/>
      <c r="J404" s="1134"/>
      <c r="K404" s="1134"/>
      <c r="L404" s="916"/>
      <c r="M404" s="916"/>
    </row>
    <row r="405" spans="1:13" s="103" customFormat="1" ht="15.75" hidden="1" customHeight="1" outlineLevel="1">
      <c r="A405" s="916"/>
      <c r="B405" s="1124"/>
      <c r="C405" s="1128"/>
      <c r="D405" s="1126"/>
      <c r="E405" s="1126"/>
      <c r="F405" s="1132"/>
      <c r="G405" s="100"/>
      <c r="H405" s="98"/>
      <c r="I405" s="1126"/>
      <c r="J405" s="1135"/>
      <c r="K405" s="1135"/>
      <c r="L405" s="916"/>
      <c r="M405" s="916"/>
    </row>
    <row r="406" spans="1:13" s="103" customFormat="1" ht="15.75" hidden="1" customHeight="1" outlineLevel="1">
      <c r="A406" s="916"/>
      <c r="B406" s="1123">
        <v>132</v>
      </c>
      <c r="C406" s="1127"/>
      <c r="D406" s="1125"/>
      <c r="E406" s="1125" t="s">
        <v>18</v>
      </c>
      <c r="F406" s="1130" t="str">
        <f>VLOOKUP(E406,$N$13:$O$17,2,0)</f>
        <v>-</v>
      </c>
      <c r="G406" s="92"/>
      <c r="H406" s="90"/>
      <c r="I406" s="1125"/>
      <c r="J406" s="1133"/>
      <c r="K406" s="1133"/>
      <c r="L406" s="916"/>
      <c r="M406" s="916"/>
    </row>
    <row r="407" spans="1:13" s="103" customFormat="1" ht="15.75" hidden="1" customHeight="1" outlineLevel="1">
      <c r="A407" s="916"/>
      <c r="B407" s="1123"/>
      <c r="C407" s="1127"/>
      <c r="D407" s="1125"/>
      <c r="E407" s="1125"/>
      <c r="F407" s="1130"/>
      <c r="G407" s="95"/>
      <c r="H407" s="90"/>
      <c r="I407" s="1125"/>
      <c r="J407" s="1134"/>
      <c r="K407" s="1134"/>
      <c r="L407" s="916"/>
      <c r="M407" s="916"/>
    </row>
    <row r="408" spans="1:13" s="103" customFormat="1" ht="15.75" hidden="1" customHeight="1" outlineLevel="1">
      <c r="A408" s="916"/>
      <c r="B408" s="1124"/>
      <c r="C408" s="1128"/>
      <c r="D408" s="1126"/>
      <c r="E408" s="1126"/>
      <c r="F408" s="1132"/>
      <c r="G408" s="100"/>
      <c r="H408" s="98"/>
      <c r="I408" s="1126"/>
      <c r="J408" s="1135"/>
      <c r="K408" s="1135"/>
      <c r="L408" s="916"/>
      <c r="M408" s="916"/>
    </row>
    <row r="409" spans="1:13" s="103" customFormat="1" ht="15.75" hidden="1" customHeight="1" outlineLevel="1">
      <c r="A409" s="916"/>
      <c r="B409" s="1123">
        <v>133</v>
      </c>
      <c r="C409" s="1127"/>
      <c r="D409" s="1125"/>
      <c r="E409" s="1125" t="s">
        <v>18</v>
      </c>
      <c r="F409" s="1130" t="str">
        <f>VLOOKUP(E409,$N$13:$O$17,2,0)</f>
        <v>-</v>
      </c>
      <c r="G409" s="92"/>
      <c r="H409" s="90"/>
      <c r="I409" s="1125"/>
      <c r="J409" s="1133"/>
      <c r="K409" s="1133"/>
      <c r="L409" s="916"/>
      <c r="M409" s="916"/>
    </row>
    <row r="410" spans="1:13" s="103" customFormat="1" ht="15.75" hidden="1" customHeight="1" outlineLevel="1">
      <c r="A410" s="916"/>
      <c r="B410" s="1123"/>
      <c r="C410" s="1127"/>
      <c r="D410" s="1125"/>
      <c r="E410" s="1125"/>
      <c r="F410" s="1130"/>
      <c r="G410" s="95"/>
      <c r="H410" s="90"/>
      <c r="I410" s="1125"/>
      <c r="J410" s="1134"/>
      <c r="K410" s="1134"/>
      <c r="L410" s="916"/>
      <c r="M410" s="916"/>
    </row>
    <row r="411" spans="1:13" s="103" customFormat="1" ht="15.75" hidden="1" customHeight="1" outlineLevel="1">
      <c r="A411" s="916"/>
      <c r="B411" s="1124"/>
      <c r="C411" s="1128"/>
      <c r="D411" s="1126"/>
      <c r="E411" s="1126"/>
      <c r="F411" s="1132"/>
      <c r="G411" s="100"/>
      <c r="H411" s="98"/>
      <c r="I411" s="1126"/>
      <c r="J411" s="1135"/>
      <c r="K411" s="1135"/>
      <c r="L411" s="916"/>
      <c r="M411" s="916"/>
    </row>
    <row r="412" spans="1:13" s="103" customFormat="1" ht="15.75" hidden="1" customHeight="1" outlineLevel="1">
      <c r="A412" s="916"/>
      <c r="B412" s="1123">
        <v>134</v>
      </c>
      <c r="C412" s="1127"/>
      <c r="D412" s="1125"/>
      <c r="E412" s="1125" t="s">
        <v>18</v>
      </c>
      <c r="F412" s="1130" t="str">
        <f>VLOOKUP(E412,$N$13:$O$17,2,0)</f>
        <v>-</v>
      </c>
      <c r="G412" s="92"/>
      <c r="H412" s="90"/>
      <c r="I412" s="1125"/>
      <c r="J412" s="1133"/>
      <c r="K412" s="1133"/>
      <c r="L412" s="916"/>
      <c r="M412" s="916"/>
    </row>
    <row r="413" spans="1:13" s="103" customFormat="1" ht="15.75" hidden="1" customHeight="1" outlineLevel="1">
      <c r="A413" s="916"/>
      <c r="B413" s="1123"/>
      <c r="C413" s="1127"/>
      <c r="D413" s="1125"/>
      <c r="E413" s="1125"/>
      <c r="F413" s="1130"/>
      <c r="G413" s="95"/>
      <c r="H413" s="90"/>
      <c r="I413" s="1125"/>
      <c r="J413" s="1134"/>
      <c r="K413" s="1134"/>
      <c r="L413" s="916"/>
      <c r="M413" s="916"/>
    </row>
    <row r="414" spans="1:13" s="103" customFormat="1" ht="15.75" hidden="1" customHeight="1" outlineLevel="1">
      <c r="A414" s="916"/>
      <c r="B414" s="1124"/>
      <c r="C414" s="1128"/>
      <c r="D414" s="1126"/>
      <c r="E414" s="1126"/>
      <c r="F414" s="1132"/>
      <c r="G414" s="100"/>
      <c r="H414" s="98"/>
      <c r="I414" s="1126"/>
      <c r="J414" s="1135"/>
      <c r="K414" s="1135"/>
      <c r="L414" s="916"/>
      <c r="M414" s="916"/>
    </row>
    <row r="415" spans="1:13" s="103" customFormat="1" ht="15.75" hidden="1" customHeight="1" outlineLevel="1">
      <c r="A415" s="916"/>
      <c r="B415" s="1123">
        <v>135</v>
      </c>
      <c r="C415" s="1127"/>
      <c r="D415" s="1125"/>
      <c r="E415" s="1125" t="s">
        <v>18</v>
      </c>
      <c r="F415" s="1130" t="str">
        <f>VLOOKUP(E415,$N$13:$O$17,2,0)</f>
        <v>-</v>
      </c>
      <c r="G415" s="92"/>
      <c r="H415" s="90"/>
      <c r="I415" s="1125"/>
      <c r="J415" s="1133"/>
      <c r="K415" s="1133"/>
      <c r="L415" s="916"/>
      <c r="M415" s="916"/>
    </row>
    <row r="416" spans="1:13" s="103" customFormat="1" ht="15.75" hidden="1" customHeight="1" outlineLevel="1">
      <c r="A416" s="916"/>
      <c r="B416" s="1123"/>
      <c r="C416" s="1127"/>
      <c r="D416" s="1125"/>
      <c r="E416" s="1125"/>
      <c r="F416" s="1130"/>
      <c r="G416" s="95"/>
      <c r="H416" s="90"/>
      <c r="I416" s="1125"/>
      <c r="J416" s="1134"/>
      <c r="K416" s="1134"/>
      <c r="L416" s="916"/>
      <c r="M416" s="916"/>
    </row>
    <row r="417" spans="1:13" s="103" customFormat="1" ht="15.75" hidden="1" customHeight="1" outlineLevel="1">
      <c r="A417" s="916"/>
      <c r="B417" s="1124"/>
      <c r="C417" s="1128"/>
      <c r="D417" s="1126"/>
      <c r="E417" s="1126"/>
      <c r="F417" s="1132"/>
      <c r="G417" s="100"/>
      <c r="H417" s="98"/>
      <c r="I417" s="1126"/>
      <c r="J417" s="1135"/>
      <c r="K417" s="1135"/>
      <c r="L417" s="916"/>
      <c r="M417" s="916"/>
    </row>
    <row r="418" spans="1:13" s="103" customFormat="1" ht="15.75" hidden="1" customHeight="1" outlineLevel="1">
      <c r="A418" s="916"/>
      <c r="B418" s="1123">
        <v>136</v>
      </c>
      <c r="C418" s="1127"/>
      <c r="D418" s="1125"/>
      <c r="E418" s="1125" t="s">
        <v>18</v>
      </c>
      <c r="F418" s="1130" t="str">
        <f>VLOOKUP(E418,$N$13:$O$17,2,0)</f>
        <v>-</v>
      </c>
      <c r="G418" s="92"/>
      <c r="H418" s="90"/>
      <c r="I418" s="1125"/>
      <c r="J418" s="1133"/>
      <c r="K418" s="1133"/>
      <c r="L418" s="916"/>
      <c r="M418" s="916"/>
    </row>
    <row r="419" spans="1:13" s="103" customFormat="1" ht="15.75" hidden="1" customHeight="1" outlineLevel="1">
      <c r="A419" s="916"/>
      <c r="B419" s="1123"/>
      <c r="C419" s="1127"/>
      <c r="D419" s="1125"/>
      <c r="E419" s="1125"/>
      <c r="F419" s="1130"/>
      <c r="G419" s="95"/>
      <c r="H419" s="90"/>
      <c r="I419" s="1125"/>
      <c r="J419" s="1134"/>
      <c r="K419" s="1134"/>
      <c r="L419" s="916"/>
      <c r="M419" s="916"/>
    </row>
    <row r="420" spans="1:13" s="103" customFormat="1" ht="15.75" hidden="1" customHeight="1" outlineLevel="1">
      <c r="A420" s="916"/>
      <c r="B420" s="1124"/>
      <c r="C420" s="1128"/>
      <c r="D420" s="1126"/>
      <c r="E420" s="1126"/>
      <c r="F420" s="1132"/>
      <c r="G420" s="100"/>
      <c r="H420" s="98"/>
      <c r="I420" s="1126"/>
      <c r="J420" s="1135"/>
      <c r="K420" s="1135"/>
      <c r="L420" s="916"/>
      <c r="M420" s="916"/>
    </row>
    <row r="421" spans="1:13" s="103" customFormat="1" ht="15.75" hidden="1" customHeight="1" outlineLevel="1">
      <c r="A421" s="916"/>
      <c r="B421" s="1123">
        <v>137</v>
      </c>
      <c r="C421" s="1127"/>
      <c r="D421" s="1125"/>
      <c r="E421" s="1125" t="s">
        <v>18</v>
      </c>
      <c r="F421" s="1130" t="str">
        <f>VLOOKUP(E421,$N$13:$O$17,2,0)</f>
        <v>-</v>
      </c>
      <c r="G421" s="92"/>
      <c r="H421" s="90"/>
      <c r="I421" s="1125"/>
      <c r="J421" s="1133"/>
      <c r="K421" s="1133"/>
      <c r="L421" s="916"/>
      <c r="M421" s="916"/>
    </row>
    <row r="422" spans="1:13" s="103" customFormat="1" ht="15.75" hidden="1" customHeight="1" outlineLevel="1">
      <c r="A422" s="916"/>
      <c r="B422" s="1123"/>
      <c r="C422" s="1127"/>
      <c r="D422" s="1125"/>
      <c r="E422" s="1125"/>
      <c r="F422" s="1130"/>
      <c r="G422" s="95"/>
      <c r="H422" s="90"/>
      <c r="I422" s="1125"/>
      <c r="J422" s="1134"/>
      <c r="K422" s="1134"/>
      <c r="L422" s="916"/>
      <c r="M422" s="916"/>
    </row>
    <row r="423" spans="1:13" s="103" customFormat="1" ht="15.75" hidden="1" customHeight="1" outlineLevel="1">
      <c r="A423" s="916"/>
      <c r="B423" s="1124"/>
      <c r="C423" s="1128"/>
      <c r="D423" s="1126"/>
      <c r="E423" s="1126"/>
      <c r="F423" s="1132"/>
      <c r="G423" s="100"/>
      <c r="H423" s="98"/>
      <c r="I423" s="1126"/>
      <c r="J423" s="1135"/>
      <c r="K423" s="1135"/>
      <c r="L423" s="916"/>
      <c r="M423" s="916"/>
    </row>
    <row r="424" spans="1:13" s="103" customFormat="1" ht="15.75" hidden="1" customHeight="1" outlineLevel="1">
      <c r="A424" s="916"/>
      <c r="B424" s="1123">
        <v>138</v>
      </c>
      <c r="C424" s="1127"/>
      <c r="D424" s="1125"/>
      <c r="E424" s="1125" t="s">
        <v>18</v>
      </c>
      <c r="F424" s="1130" t="str">
        <f>VLOOKUP(E424,$N$13:$O$17,2,0)</f>
        <v>-</v>
      </c>
      <c r="G424" s="92"/>
      <c r="H424" s="90"/>
      <c r="I424" s="1125"/>
      <c r="J424" s="1133"/>
      <c r="K424" s="1133"/>
      <c r="L424" s="916"/>
      <c r="M424" s="916"/>
    </row>
    <row r="425" spans="1:13" s="103" customFormat="1" ht="15.75" hidden="1" customHeight="1" outlineLevel="1">
      <c r="A425" s="916"/>
      <c r="B425" s="1123"/>
      <c r="C425" s="1127"/>
      <c r="D425" s="1125"/>
      <c r="E425" s="1125"/>
      <c r="F425" s="1130"/>
      <c r="G425" s="95"/>
      <c r="H425" s="90"/>
      <c r="I425" s="1125"/>
      <c r="J425" s="1134"/>
      <c r="K425" s="1134"/>
      <c r="L425" s="916"/>
      <c r="M425" s="916"/>
    </row>
    <row r="426" spans="1:13" s="103" customFormat="1" ht="15.75" hidden="1" customHeight="1" outlineLevel="1">
      <c r="A426" s="916"/>
      <c r="B426" s="1124"/>
      <c r="C426" s="1128"/>
      <c r="D426" s="1126"/>
      <c r="E426" s="1126"/>
      <c r="F426" s="1132"/>
      <c r="G426" s="100"/>
      <c r="H426" s="98"/>
      <c r="I426" s="1126"/>
      <c r="J426" s="1135"/>
      <c r="K426" s="1135"/>
      <c r="L426" s="916"/>
      <c r="M426" s="916"/>
    </row>
    <row r="427" spans="1:13" s="103" customFormat="1" ht="15.75" hidden="1" customHeight="1" outlineLevel="1">
      <c r="A427" s="916"/>
      <c r="B427" s="1123">
        <v>139</v>
      </c>
      <c r="C427" s="1127"/>
      <c r="D427" s="1125"/>
      <c r="E427" s="1125" t="s">
        <v>18</v>
      </c>
      <c r="F427" s="1130" t="str">
        <f>VLOOKUP(E427,$N$13:$O$17,2,0)</f>
        <v>-</v>
      </c>
      <c r="G427" s="92"/>
      <c r="H427" s="90"/>
      <c r="I427" s="1125"/>
      <c r="J427" s="1133"/>
      <c r="K427" s="1133"/>
      <c r="L427" s="916"/>
      <c r="M427" s="916"/>
    </row>
    <row r="428" spans="1:13" s="103" customFormat="1" ht="15.75" hidden="1" customHeight="1" outlineLevel="1">
      <c r="A428" s="916"/>
      <c r="B428" s="1123"/>
      <c r="C428" s="1127"/>
      <c r="D428" s="1125"/>
      <c r="E428" s="1125"/>
      <c r="F428" s="1130"/>
      <c r="G428" s="95"/>
      <c r="H428" s="90"/>
      <c r="I428" s="1125"/>
      <c r="J428" s="1134"/>
      <c r="K428" s="1134"/>
      <c r="L428" s="916"/>
      <c r="M428" s="916"/>
    </row>
    <row r="429" spans="1:13" s="103" customFormat="1" ht="15.75" hidden="1" customHeight="1" outlineLevel="1">
      <c r="A429" s="916"/>
      <c r="B429" s="1124"/>
      <c r="C429" s="1128"/>
      <c r="D429" s="1126"/>
      <c r="E429" s="1126"/>
      <c r="F429" s="1132"/>
      <c r="G429" s="100"/>
      <c r="H429" s="98"/>
      <c r="I429" s="1126"/>
      <c r="J429" s="1135"/>
      <c r="K429" s="1135"/>
      <c r="L429" s="916"/>
      <c r="M429" s="916"/>
    </row>
    <row r="430" spans="1:13" s="103" customFormat="1" ht="15.75" hidden="1" customHeight="1" outlineLevel="1">
      <c r="A430" s="916"/>
      <c r="B430" s="1123">
        <v>140</v>
      </c>
      <c r="C430" s="1127"/>
      <c r="D430" s="1125"/>
      <c r="E430" s="1125" t="s">
        <v>18</v>
      </c>
      <c r="F430" s="1130" t="str">
        <f>VLOOKUP(E430,$N$13:$O$17,2,0)</f>
        <v>-</v>
      </c>
      <c r="G430" s="92"/>
      <c r="H430" s="90"/>
      <c r="I430" s="1125"/>
      <c r="J430" s="1133"/>
      <c r="K430" s="1133"/>
      <c r="L430" s="916"/>
      <c r="M430" s="916"/>
    </row>
    <row r="431" spans="1:13" s="103" customFormat="1" ht="15.75" hidden="1" customHeight="1" outlineLevel="1">
      <c r="A431" s="916"/>
      <c r="B431" s="1123"/>
      <c r="C431" s="1127"/>
      <c r="D431" s="1125"/>
      <c r="E431" s="1125"/>
      <c r="F431" s="1130"/>
      <c r="G431" s="95"/>
      <c r="H431" s="90"/>
      <c r="I431" s="1125"/>
      <c r="J431" s="1134"/>
      <c r="K431" s="1134"/>
      <c r="L431" s="916"/>
      <c r="M431" s="916"/>
    </row>
    <row r="432" spans="1:13" s="103" customFormat="1" ht="15.75" hidden="1" customHeight="1" outlineLevel="1">
      <c r="A432" s="916"/>
      <c r="B432" s="1124"/>
      <c r="C432" s="1128"/>
      <c r="D432" s="1126"/>
      <c r="E432" s="1126"/>
      <c r="F432" s="1132"/>
      <c r="G432" s="100"/>
      <c r="H432" s="98"/>
      <c r="I432" s="1126"/>
      <c r="J432" s="1135"/>
      <c r="K432" s="1135"/>
      <c r="L432" s="916"/>
      <c r="M432" s="916"/>
    </row>
    <row r="433" spans="1:13" s="103" customFormat="1" ht="15.75" hidden="1" customHeight="1" outlineLevel="1">
      <c r="A433" s="916"/>
      <c r="B433" s="1123">
        <v>141</v>
      </c>
      <c r="C433" s="1127"/>
      <c r="D433" s="1125"/>
      <c r="E433" s="1125" t="s">
        <v>18</v>
      </c>
      <c r="F433" s="1130" t="str">
        <f>VLOOKUP(E433,$N$13:$O$17,2,0)</f>
        <v>-</v>
      </c>
      <c r="G433" s="92"/>
      <c r="H433" s="90"/>
      <c r="I433" s="1125"/>
      <c r="J433" s="1133"/>
      <c r="K433" s="1133"/>
      <c r="L433" s="916"/>
      <c r="M433" s="916"/>
    </row>
    <row r="434" spans="1:13" s="103" customFormat="1" ht="15.75" hidden="1" customHeight="1" outlineLevel="1">
      <c r="A434" s="916"/>
      <c r="B434" s="1123"/>
      <c r="C434" s="1127"/>
      <c r="D434" s="1125"/>
      <c r="E434" s="1125"/>
      <c r="F434" s="1130"/>
      <c r="G434" s="95"/>
      <c r="H434" s="90"/>
      <c r="I434" s="1125"/>
      <c r="J434" s="1134"/>
      <c r="K434" s="1134"/>
      <c r="L434" s="916"/>
      <c r="M434" s="916"/>
    </row>
    <row r="435" spans="1:13" s="103" customFormat="1" ht="15.75" hidden="1" customHeight="1" outlineLevel="1">
      <c r="A435" s="916"/>
      <c r="B435" s="1124"/>
      <c r="C435" s="1128"/>
      <c r="D435" s="1126"/>
      <c r="E435" s="1126"/>
      <c r="F435" s="1132"/>
      <c r="G435" s="100"/>
      <c r="H435" s="98"/>
      <c r="I435" s="1126"/>
      <c r="J435" s="1135"/>
      <c r="K435" s="1135"/>
      <c r="L435" s="916"/>
      <c r="M435" s="916"/>
    </row>
    <row r="436" spans="1:13" s="103" customFormat="1" ht="15.75" hidden="1" customHeight="1" outlineLevel="1">
      <c r="A436" s="916"/>
      <c r="B436" s="1123">
        <v>142</v>
      </c>
      <c r="C436" s="1127"/>
      <c r="D436" s="1125"/>
      <c r="E436" s="1125" t="s">
        <v>18</v>
      </c>
      <c r="F436" s="1130" t="str">
        <f>VLOOKUP(E436,$N$13:$O$17,2,0)</f>
        <v>-</v>
      </c>
      <c r="G436" s="92"/>
      <c r="H436" s="90"/>
      <c r="I436" s="1125"/>
      <c r="J436" s="1133"/>
      <c r="K436" s="1133"/>
      <c r="L436" s="916"/>
      <c r="M436" s="916"/>
    </row>
    <row r="437" spans="1:13" s="103" customFormat="1" ht="15.75" hidden="1" customHeight="1" outlineLevel="1">
      <c r="A437" s="916"/>
      <c r="B437" s="1123"/>
      <c r="C437" s="1127"/>
      <c r="D437" s="1125"/>
      <c r="E437" s="1125"/>
      <c r="F437" s="1130"/>
      <c r="G437" s="95"/>
      <c r="H437" s="90"/>
      <c r="I437" s="1125"/>
      <c r="J437" s="1134"/>
      <c r="K437" s="1134"/>
      <c r="L437" s="916"/>
      <c r="M437" s="916"/>
    </row>
    <row r="438" spans="1:13" s="103" customFormat="1" ht="15.75" hidden="1" customHeight="1" outlineLevel="1">
      <c r="A438" s="916"/>
      <c r="B438" s="1124"/>
      <c r="C438" s="1128"/>
      <c r="D438" s="1126"/>
      <c r="E438" s="1126"/>
      <c r="F438" s="1132"/>
      <c r="G438" s="100"/>
      <c r="H438" s="98"/>
      <c r="I438" s="1126"/>
      <c r="J438" s="1135"/>
      <c r="K438" s="1135"/>
      <c r="L438" s="916"/>
      <c r="M438" s="916"/>
    </row>
    <row r="439" spans="1:13" s="103" customFormat="1" ht="15.75" hidden="1" customHeight="1" outlineLevel="1">
      <c r="A439" s="916"/>
      <c r="B439" s="1123">
        <v>143</v>
      </c>
      <c r="C439" s="1127"/>
      <c r="D439" s="1125"/>
      <c r="E439" s="1125" t="s">
        <v>18</v>
      </c>
      <c r="F439" s="1130" t="str">
        <f>VLOOKUP(E439,$N$13:$O$17,2,0)</f>
        <v>-</v>
      </c>
      <c r="G439" s="92"/>
      <c r="H439" s="90"/>
      <c r="I439" s="1125"/>
      <c r="J439" s="1133"/>
      <c r="K439" s="1133"/>
      <c r="L439" s="916"/>
      <c r="M439" s="916"/>
    </row>
    <row r="440" spans="1:13" s="103" customFormat="1" ht="15.75" hidden="1" customHeight="1" outlineLevel="1">
      <c r="A440" s="916"/>
      <c r="B440" s="1123"/>
      <c r="C440" s="1127"/>
      <c r="D440" s="1125"/>
      <c r="E440" s="1125"/>
      <c r="F440" s="1130"/>
      <c r="G440" s="95"/>
      <c r="H440" s="90"/>
      <c r="I440" s="1125"/>
      <c r="J440" s="1134"/>
      <c r="K440" s="1134"/>
      <c r="L440" s="916"/>
      <c r="M440" s="916"/>
    </row>
    <row r="441" spans="1:13" s="103" customFormat="1" ht="15.75" hidden="1" customHeight="1" outlineLevel="1">
      <c r="A441" s="916"/>
      <c r="B441" s="1124"/>
      <c r="C441" s="1128"/>
      <c r="D441" s="1126"/>
      <c r="E441" s="1126"/>
      <c r="F441" s="1132"/>
      <c r="G441" s="100"/>
      <c r="H441" s="98"/>
      <c r="I441" s="1126"/>
      <c r="J441" s="1135"/>
      <c r="K441" s="1135"/>
      <c r="L441" s="916"/>
      <c r="M441" s="916"/>
    </row>
    <row r="442" spans="1:13" s="103" customFormat="1" ht="15.75" hidden="1" customHeight="1" outlineLevel="1">
      <c r="A442" s="916"/>
      <c r="B442" s="1123">
        <v>144</v>
      </c>
      <c r="C442" s="1127"/>
      <c r="D442" s="1125"/>
      <c r="E442" s="1125" t="s">
        <v>18</v>
      </c>
      <c r="F442" s="1130" t="str">
        <f>VLOOKUP(E442,$N$13:$O$17,2,0)</f>
        <v>-</v>
      </c>
      <c r="G442" s="92"/>
      <c r="H442" s="90"/>
      <c r="I442" s="1125"/>
      <c r="J442" s="1133"/>
      <c r="K442" s="1133"/>
      <c r="L442" s="916"/>
      <c r="M442" s="916"/>
    </row>
    <row r="443" spans="1:13" s="103" customFormat="1" ht="15.75" hidden="1" customHeight="1" outlineLevel="1">
      <c r="A443" s="916"/>
      <c r="B443" s="1123"/>
      <c r="C443" s="1127"/>
      <c r="D443" s="1125"/>
      <c r="E443" s="1125"/>
      <c r="F443" s="1130"/>
      <c r="G443" s="95"/>
      <c r="H443" s="90"/>
      <c r="I443" s="1125"/>
      <c r="J443" s="1134"/>
      <c r="K443" s="1134"/>
      <c r="L443" s="916"/>
      <c r="M443" s="916"/>
    </row>
    <row r="444" spans="1:13" s="103" customFormat="1" ht="15.75" hidden="1" customHeight="1" outlineLevel="1">
      <c r="A444" s="916"/>
      <c r="B444" s="1124"/>
      <c r="C444" s="1128"/>
      <c r="D444" s="1126"/>
      <c r="E444" s="1126"/>
      <c r="F444" s="1132"/>
      <c r="G444" s="100"/>
      <c r="H444" s="98"/>
      <c r="I444" s="1126"/>
      <c r="J444" s="1135"/>
      <c r="K444" s="1135"/>
      <c r="L444" s="916"/>
      <c r="M444" s="916"/>
    </row>
    <row r="445" spans="1:13" s="103" customFormat="1" ht="15.75" hidden="1" customHeight="1" outlineLevel="1">
      <c r="A445" s="916"/>
      <c r="B445" s="1123">
        <v>145</v>
      </c>
      <c r="C445" s="1127"/>
      <c r="D445" s="1125"/>
      <c r="E445" s="1125" t="s">
        <v>18</v>
      </c>
      <c r="F445" s="1130" t="str">
        <f>VLOOKUP(E445,$N$13:$O$17,2,0)</f>
        <v>-</v>
      </c>
      <c r="G445" s="92"/>
      <c r="H445" s="90"/>
      <c r="I445" s="1125"/>
      <c r="J445" s="1133"/>
      <c r="K445" s="1133"/>
      <c r="L445" s="916"/>
      <c r="M445" s="916"/>
    </row>
    <row r="446" spans="1:13" s="103" customFormat="1" ht="15.75" hidden="1" customHeight="1" outlineLevel="1">
      <c r="A446" s="916"/>
      <c r="B446" s="1123"/>
      <c r="C446" s="1127"/>
      <c r="D446" s="1125"/>
      <c r="E446" s="1125"/>
      <c r="F446" s="1130"/>
      <c r="G446" s="95"/>
      <c r="H446" s="90"/>
      <c r="I446" s="1125"/>
      <c r="J446" s="1134"/>
      <c r="K446" s="1134"/>
      <c r="L446" s="916"/>
      <c r="M446" s="916"/>
    </row>
    <row r="447" spans="1:13" s="103" customFormat="1" ht="15.75" hidden="1" customHeight="1" outlineLevel="1">
      <c r="A447" s="916"/>
      <c r="B447" s="1124"/>
      <c r="C447" s="1128"/>
      <c r="D447" s="1126"/>
      <c r="E447" s="1126"/>
      <c r="F447" s="1132"/>
      <c r="G447" s="100"/>
      <c r="H447" s="98"/>
      <c r="I447" s="1126"/>
      <c r="J447" s="1135"/>
      <c r="K447" s="1135"/>
      <c r="L447" s="916"/>
      <c r="M447" s="916"/>
    </row>
    <row r="448" spans="1:13" s="103" customFormat="1" ht="15.75" hidden="1" customHeight="1" outlineLevel="1">
      <c r="A448" s="916"/>
      <c r="B448" s="1123">
        <v>146</v>
      </c>
      <c r="C448" s="1127"/>
      <c r="D448" s="1125"/>
      <c r="E448" s="1125" t="s">
        <v>18</v>
      </c>
      <c r="F448" s="1130" t="str">
        <f>VLOOKUP(E448,$N$13:$O$17,2,0)</f>
        <v>-</v>
      </c>
      <c r="G448" s="92"/>
      <c r="H448" s="90"/>
      <c r="I448" s="1125"/>
      <c r="J448" s="1133"/>
      <c r="K448" s="1133"/>
      <c r="L448" s="916"/>
      <c r="M448" s="916"/>
    </row>
    <row r="449" spans="1:13" s="103" customFormat="1" ht="15.75" hidden="1" customHeight="1" outlineLevel="1">
      <c r="A449" s="916"/>
      <c r="B449" s="1123"/>
      <c r="C449" s="1127"/>
      <c r="D449" s="1125"/>
      <c r="E449" s="1125"/>
      <c r="F449" s="1130"/>
      <c r="G449" s="95"/>
      <c r="H449" s="90"/>
      <c r="I449" s="1125"/>
      <c r="J449" s="1134"/>
      <c r="K449" s="1134"/>
      <c r="L449" s="916"/>
      <c r="M449" s="916"/>
    </row>
    <row r="450" spans="1:13" s="103" customFormat="1" ht="15.75" hidden="1" customHeight="1" outlineLevel="1">
      <c r="A450" s="916"/>
      <c r="B450" s="1124"/>
      <c r="C450" s="1128"/>
      <c r="D450" s="1126"/>
      <c r="E450" s="1126"/>
      <c r="F450" s="1132"/>
      <c r="G450" s="100"/>
      <c r="H450" s="98"/>
      <c r="I450" s="1126"/>
      <c r="J450" s="1135"/>
      <c r="K450" s="1135"/>
      <c r="L450" s="916"/>
      <c r="M450" s="916"/>
    </row>
    <row r="451" spans="1:13" s="103" customFormat="1" ht="15.75" hidden="1" customHeight="1" outlineLevel="1">
      <c r="A451" s="916"/>
      <c r="B451" s="1123">
        <v>147</v>
      </c>
      <c r="C451" s="1127"/>
      <c r="D451" s="1125"/>
      <c r="E451" s="1125" t="s">
        <v>18</v>
      </c>
      <c r="F451" s="1130" t="str">
        <f>VLOOKUP(E451,$N$13:$O$17,2,0)</f>
        <v>-</v>
      </c>
      <c r="G451" s="92"/>
      <c r="H451" s="90"/>
      <c r="I451" s="1125"/>
      <c r="J451" s="1133"/>
      <c r="K451" s="1133"/>
      <c r="L451" s="916"/>
      <c r="M451" s="916"/>
    </row>
    <row r="452" spans="1:13" s="103" customFormat="1" ht="15.75" hidden="1" customHeight="1" outlineLevel="1">
      <c r="A452" s="916"/>
      <c r="B452" s="1123"/>
      <c r="C452" s="1127"/>
      <c r="D452" s="1125"/>
      <c r="E452" s="1125"/>
      <c r="F452" s="1130"/>
      <c r="G452" s="95"/>
      <c r="H452" s="90"/>
      <c r="I452" s="1125"/>
      <c r="J452" s="1134"/>
      <c r="K452" s="1134"/>
      <c r="L452" s="916"/>
      <c r="M452" s="916"/>
    </row>
    <row r="453" spans="1:13" s="103" customFormat="1" ht="15.75" hidden="1" customHeight="1" outlineLevel="1">
      <c r="A453" s="916"/>
      <c r="B453" s="1124"/>
      <c r="C453" s="1128"/>
      <c r="D453" s="1126"/>
      <c r="E453" s="1126"/>
      <c r="F453" s="1132"/>
      <c r="G453" s="100"/>
      <c r="H453" s="98"/>
      <c r="I453" s="1126"/>
      <c r="J453" s="1135"/>
      <c r="K453" s="1135"/>
      <c r="L453" s="916"/>
      <c r="M453" s="916"/>
    </row>
    <row r="454" spans="1:13" s="103" customFormat="1" ht="15.75" hidden="1" customHeight="1" outlineLevel="1">
      <c r="A454" s="916"/>
      <c r="B454" s="1123">
        <v>148</v>
      </c>
      <c r="C454" s="1127"/>
      <c r="D454" s="1125"/>
      <c r="E454" s="1125" t="s">
        <v>18</v>
      </c>
      <c r="F454" s="1130" t="str">
        <f>VLOOKUP(E454,$N$13:$O$17,2,0)</f>
        <v>-</v>
      </c>
      <c r="G454" s="92"/>
      <c r="H454" s="90"/>
      <c r="I454" s="1125"/>
      <c r="J454" s="1133"/>
      <c r="K454" s="1133"/>
      <c r="L454" s="916"/>
      <c r="M454" s="916"/>
    </row>
    <row r="455" spans="1:13" s="103" customFormat="1" ht="15.75" hidden="1" customHeight="1" outlineLevel="1">
      <c r="A455" s="916"/>
      <c r="B455" s="1123"/>
      <c r="C455" s="1127"/>
      <c r="D455" s="1125"/>
      <c r="E455" s="1125"/>
      <c r="F455" s="1130"/>
      <c r="G455" s="95"/>
      <c r="H455" s="90"/>
      <c r="I455" s="1125"/>
      <c r="J455" s="1134"/>
      <c r="K455" s="1134"/>
      <c r="L455" s="916"/>
      <c r="M455" s="916"/>
    </row>
    <row r="456" spans="1:13" s="103" customFormat="1" ht="15.75" hidden="1" customHeight="1" outlineLevel="1">
      <c r="A456" s="916"/>
      <c r="B456" s="1124"/>
      <c r="C456" s="1128"/>
      <c r="D456" s="1126"/>
      <c r="E456" s="1126"/>
      <c r="F456" s="1132"/>
      <c r="G456" s="100"/>
      <c r="H456" s="98"/>
      <c r="I456" s="1126"/>
      <c r="J456" s="1135"/>
      <c r="K456" s="1135"/>
      <c r="L456" s="916"/>
      <c r="M456" s="916"/>
    </row>
    <row r="457" spans="1:13" s="103" customFormat="1" ht="15.75" hidden="1" customHeight="1" outlineLevel="1">
      <c r="A457" s="916"/>
      <c r="B457" s="1123">
        <v>149</v>
      </c>
      <c r="C457" s="1127"/>
      <c r="D457" s="1125"/>
      <c r="E457" s="1125" t="s">
        <v>18</v>
      </c>
      <c r="F457" s="1130" t="str">
        <f>VLOOKUP(E457,$N$13:$O$17,2,0)</f>
        <v>-</v>
      </c>
      <c r="G457" s="92"/>
      <c r="H457" s="90"/>
      <c r="I457" s="1125"/>
      <c r="J457" s="1133"/>
      <c r="K457" s="1133"/>
      <c r="L457" s="916"/>
      <c r="M457" s="916"/>
    </row>
    <row r="458" spans="1:13" s="103" customFormat="1" ht="15.75" hidden="1" customHeight="1" outlineLevel="1">
      <c r="A458" s="916"/>
      <c r="B458" s="1123"/>
      <c r="C458" s="1127"/>
      <c r="D458" s="1125"/>
      <c r="E458" s="1125"/>
      <c r="F458" s="1130"/>
      <c r="G458" s="95"/>
      <c r="H458" s="90"/>
      <c r="I458" s="1125"/>
      <c r="J458" s="1134"/>
      <c r="K458" s="1134"/>
      <c r="L458" s="916"/>
      <c r="M458" s="916"/>
    </row>
    <row r="459" spans="1:13" s="103" customFormat="1" ht="15.75" hidden="1" customHeight="1" outlineLevel="1">
      <c r="A459" s="916"/>
      <c r="B459" s="1124"/>
      <c r="C459" s="1128"/>
      <c r="D459" s="1126"/>
      <c r="E459" s="1126"/>
      <c r="F459" s="1132"/>
      <c r="G459" s="100"/>
      <c r="H459" s="98"/>
      <c r="I459" s="1126"/>
      <c r="J459" s="1135"/>
      <c r="K459" s="1135"/>
      <c r="L459" s="916"/>
      <c r="M459" s="916"/>
    </row>
    <row r="460" spans="1:13" s="103" customFormat="1" ht="15.75" hidden="1" customHeight="1" outlineLevel="1">
      <c r="A460" s="916"/>
      <c r="B460" s="1123">
        <v>150</v>
      </c>
      <c r="C460" s="1127"/>
      <c r="D460" s="1125"/>
      <c r="E460" s="1125" t="s">
        <v>18</v>
      </c>
      <c r="F460" s="1130" t="str">
        <f>VLOOKUP(E460,$N$13:$O$17,2,0)</f>
        <v>-</v>
      </c>
      <c r="G460" s="92"/>
      <c r="H460" s="90"/>
      <c r="I460" s="1125"/>
      <c r="J460" s="1133"/>
      <c r="K460" s="1133"/>
      <c r="L460" s="916"/>
      <c r="M460" s="916"/>
    </row>
    <row r="461" spans="1:13" s="103" customFormat="1" ht="15.75" hidden="1" customHeight="1" outlineLevel="1">
      <c r="A461" s="916"/>
      <c r="B461" s="1123"/>
      <c r="C461" s="1127"/>
      <c r="D461" s="1125"/>
      <c r="E461" s="1125"/>
      <c r="F461" s="1130"/>
      <c r="G461" s="95"/>
      <c r="H461" s="90"/>
      <c r="I461" s="1125"/>
      <c r="J461" s="1134"/>
      <c r="K461" s="1134"/>
      <c r="L461" s="916"/>
      <c r="M461" s="916"/>
    </row>
    <row r="462" spans="1:13" s="103" customFormat="1" ht="15.75" hidden="1" customHeight="1" outlineLevel="1">
      <c r="A462" s="916"/>
      <c r="B462" s="1124"/>
      <c r="C462" s="1128"/>
      <c r="D462" s="1126"/>
      <c r="E462" s="1126"/>
      <c r="F462" s="1132"/>
      <c r="G462" s="100"/>
      <c r="H462" s="98"/>
      <c r="I462" s="1126"/>
      <c r="J462" s="1135"/>
      <c r="K462" s="1135"/>
      <c r="L462" s="916"/>
      <c r="M462" s="916"/>
    </row>
    <row r="463" spans="1:13" s="103" customFormat="1" ht="15.75" hidden="1" customHeight="1" outlineLevel="1">
      <c r="A463" s="916"/>
      <c r="B463" s="1123">
        <v>151</v>
      </c>
      <c r="C463" s="1127"/>
      <c r="D463" s="1125"/>
      <c r="E463" s="1125" t="s">
        <v>18</v>
      </c>
      <c r="F463" s="1130" t="str">
        <f>VLOOKUP(E463,$N$13:$O$17,2,0)</f>
        <v>-</v>
      </c>
      <c r="G463" s="92"/>
      <c r="H463" s="90"/>
      <c r="I463" s="1125"/>
      <c r="J463" s="1133"/>
      <c r="K463" s="1133"/>
      <c r="L463" s="916"/>
      <c r="M463" s="916"/>
    </row>
    <row r="464" spans="1:13" s="103" customFormat="1" ht="15.75" hidden="1" customHeight="1" outlineLevel="1">
      <c r="A464" s="916"/>
      <c r="B464" s="1123"/>
      <c r="C464" s="1127"/>
      <c r="D464" s="1125"/>
      <c r="E464" s="1125"/>
      <c r="F464" s="1130"/>
      <c r="G464" s="95"/>
      <c r="H464" s="90"/>
      <c r="I464" s="1125"/>
      <c r="J464" s="1134"/>
      <c r="K464" s="1134"/>
      <c r="L464" s="916"/>
      <c r="M464" s="916"/>
    </row>
    <row r="465" spans="1:13" s="103" customFormat="1" ht="15.75" hidden="1" customHeight="1" outlineLevel="1">
      <c r="A465" s="916"/>
      <c r="B465" s="1124"/>
      <c r="C465" s="1128"/>
      <c r="D465" s="1126"/>
      <c r="E465" s="1126"/>
      <c r="F465" s="1132"/>
      <c r="G465" s="100"/>
      <c r="H465" s="98"/>
      <c r="I465" s="1126"/>
      <c r="J465" s="1135"/>
      <c r="K465" s="1135"/>
      <c r="L465" s="916"/>
      <c r="M465" s="916"/>
    </row>
    <row r="466" spans="1:13" s="103" customFormat="1" ht="15.75" hidden="1" customHeight="1" outlineLevel="1">
      <c r="A466" s="916"/>
      <c r="B466" s="1123">
        <v>152</v>
      </c>
      <c r="C466" s="1127"/>
      <c r="D466" s="1125"/>
      <c r="E466" s="1125" t="s">
        <v>18</v>
      </c>
      <c r="F466" s="1130" t="str">
        <f>VLOOKUP(E466,$N$13:$O$17,2,0)</f>
        <v>-</v>
      </c>
      <c r="G466" s="92"/>
      <c r="H466" s="90"/>
      <c r="I466" s="1125"/>
      <c r="J466" s="1133"/>
      <c r="K466" s="1133"/>
      <c r="L466" s="916"/>
      <c r="M466" s="916"/>
    </row>
    <row r="467" spans="1:13" s="103" customFormat="1" ht="15.75" hidden="1" customHeight="1" outlineLevel="1">
      <c r="A467" s="916"/>
      <c r="B467" s="1123"/>
      <c r="C467" s="1127"/>
      <c r="D467" s="1125"/>
      <c r="E467" s="1125"/>
      <c r="F467" s="1130"/>
      <c r="G467" s="95"/>
      <c r="H467" s="90"/>
      <c r="I467" s="1125"/>
      <c r="J467" s="1134"/>
      <c r="K467" s="1134"/>
      <c r="L467" s="916"/>
      <c r="M467" s="916"/>
    </row>
    <row r="468" spans="1:13" s="103" customFormat="1" ht="15.75" hidden="1" customHeight="1" outlineLevel="1">
      <c r="A468" s="916"/>
      <c r="B468" s="1124"/>
      <c r="C468" s="1128"/>
      <c r="D468" s="1126"/>
      <c r="E468" s="1126"/>
      <c r="F468" s="1132"/>
      <c r="G468" s="100"/>
      <c r="H468" s="98"/>
      <c r="I468" s="1126"/>
      <c r="J468" s="1135"/>
      <c r="K468" s="1135"/>
      <c r="L468" s="916"/>
      <c r="M468" s="916"/>
    </row>
    <row r="469" spans="1:13" s="103" customFormat="1" ht="15.75" hidden="1" customHeight="1" outlineLevel="1">
      <c r="A469" s="916"/>
      <c r="B469" s="1123">
        <v>153</v>
      </c>
      <c r="C469" s="1127"/>
      <c r="D469" s="1125"/>
      <c r="E469" s="1125" t="s">
        <v>18</v>
      </c>
      <c r="F469" s="1130" t="str">
        <f>VLOOKUP(E469,$N$13:$O$17,2,0)</f>
        <v>-</v>
      </c>
      <c r="G469" s="92"/>
      <c r="H469" s="90"/>
      <c r="I469" s="1125"/>
      <c r="J469" s="1133"/>
      <c r="K469" s="1133"/>
      <c r="L469" s="916"/>
      <c r="M469" s="916"/>
    </row>
    <row r="470" spans="1:13" s="103" customFormat="1" ht="15.75" hidden="1" customHeight="1" outlineLevel="1">
      <c r="A470" s="916"/>
      <c r="B470" s="1123"/>
      <c r="C470" s="1127"/>
      <c r="D470" s="1125"/>
      <c r="E470" s="1125"/>
      <c r="F470" s="1130"/>
      <c r="G470" s="95"/>
      <c r="H470" s="90"/>
      <c r="I470" s="1125"/>
      <c r="J470" s="1134"/>
      <c r="K470" s="1134"/>
      <c r="L470" s="916"/>
      <c r="M470" s="916"/>
    </row>
    <row r="471" spans="1:13" s="103" customFormat="1" ht="15.75" hidden="1" customHeight="1" outlineLevel="1">
      <c r="A471" s="916"/>
      <c r="B471" s="1124"/>
      <c r="C471" s="1128"/>
      <c r="D471" s="1126"/>
      <c r="E471" s="1126"/>
      <c r="F471" s="1132"/>
      <c r="G471" s="100"/>
      <c r="H471" s="98"/>
      <c r="I471" s="1126"/>
      <c r="J471" s="1135"/>
      <c r="K471" s="1135"/>
      <c r="L471" s="916"/>
      <c r="M471" s="916"/>
    </row>
    <row r="472" spans="1:13" s="103" customFormat="1" ht="15.75" hidden="1" customHeight="1" outlineLevel="1">
      <c r="A472" s="916"/>
      <c r="B472" s="1123">
        <v>154</v>
      </c>
      <c r="C472" s="1127"/>
      <c r="D472" s="1125"/>
      <c r="E472" s="1125" t="s">
        <v>18</v>
      </c>
      <c r="F472" s="1130" t="str">
        <f>VLOOKUP(E472,$N$13:$O$17,2,0)</f>
        <v>-</v>
      </c>
      <c r="G472" s="92"/>
      <c r="H472" s="90"/>
      <c r="I472" s="1125"/>
      <c r="J472" s="1133"/>
      <c r="K472" s="1133"/>
      <c r="L472" s="916"/>
      <c r="M472" s="916"/>
    </row>
    <row r="473" spans="1:13" s="103" customFormat="1" ht="15.75" hidden="1" customHeight="1" outlineLevel="1">
      <c r="A473" s="916"/>
      <c r="B473" s="1123"/>
      <c r="C473" s="1127"/>
      <c r="D473" s="1125"/>
      <c r="E473" s="1125"/>
      <c r="F473" s="1130"/>
      <c r="G473" s="95"/>
      <c r="H473" s="90"/>
      <c r="I473" s="1125"/>
      <c r="J473" s="1134"/>
      <c r="K473" s="1134"/>
      <c r="L473" s="916"/>
      <c r="M473" s="916"/>
    </row>
    <row r="474" spans="1:13" s="103" customFormat="1" ht="15.75" hidden="1" customHeight="1" outlineLevel="1">
      <c r="A474" s="916"/>
      <c r="B474" s="1124"/>
      <c r="C474" s="1128"/>
      <c r="D474" s="1126"/>
      <c r="E474" s="1126"/>
      <c r="F474" s="1132"/>
      <c r="G474" s="100"/>
      <c r="H474" s="98"/>
      <c r="I474" s="1126"/>
      <c r="J474" s="1135"/>
      <c r="K474" s="1135"/>
      <c r="L474" s="916"/>
      <c r="M474" s="916"/>
    </row>
    <row r="475" spans="1:13" s="103" customFormat="1" ht="15.75" hidden="1" customHeight="1" outlineLevel="1">
      <c r="A475" s="916"/>
      <c r="B475" s="1123">
        <v>155</v>
      </c>
      <c r="C475" s="1127"/>
      <c r="D475" s="1125"/>
      <c r="E475" s="1125" t="s">
        <v>18</v>
      </c>
      <c r="F475" s="1130" t="str">
        <f>VLOOKUP(E475,$N$13:$O$17,2,0)</f>
        <v>-</v>
      </c>
      <c r="G475" s="92"/>
      <c r="H475" s="90"/>
      <c r="I475" s="1125"/>
      <c r="J475" s="1133"/>
      <c r="K475" s="1133"/>
      <c r="L475" s="916"/>
      <c r="M475" s="916"/>
    </row>
    <row r="476" spans="1:13" s="103" customFormat="1" ht="15.75" hidden="1" customHeight="1" outlineLevel="1">
      <c r="A476" s="916"/>
      <c r="B476" s="1123"/>
      <c r="C476" s="1127"/>
      <c r="D476" s="1125"/>
      <c r="E476" s="1125"/>
      <c r="F476" s="1130"/>
      <c r="G476" s="95"/>
      <c r="H476" s="90"/>
      <c r="I476" s="1125"/>
      <c r="J476" s="1134"/>
      <c r="K476" s="1134"/>
      <c r="L476" s="916"/>
      <c r="M476" s="916"/>
    </row>
    <row r="477" spans="1:13" s="103" customFormat="1" ht="15.75" hidden="1" customHeight="1" outlineLevel="1">
      <c r="A477" s="916"/>
      <c r="B477" s="1124"/>
      <c r="C477" s="1128"/>
      <c r="D477" s="1126"/>
      <c r="E477" s="1126"/>
      <c r="F477" s="1132"/>
      <c r="G477" s="100"/>
      <c r="H477" s="98"/>
      <c r="I477" s="1126"/>
      <c r="J477" s="1135"/>
      <c r="K477" s="1135"/>
      <c r="L477" s="916"/>
      <c r="M477" s="916"/>
    </row>
    <row r="478" spans="1:13" s="103" customFormat="1" ht="15.75" hidden="1" customHeight="1" outlineLevel="1">
      <c r="A478" s="916"/>
      <c r="B478" s="1123">
        <v>156</v>
      </c>
      <c r="C478" s="1127"/>
      <c r="D478" s="1125"/>
      <c r="E478" s="1125" t="s">
        <v>18</v>
      </c>
      <c r="F478" s="1130" t="str">
        <f>VLOOKUP(E478,$N$13:$O$17,2,0)</f>
        <v>-</v>
      </c>
      <c r="G478" s="92"/>
      <c r="H478" s="90"/>
      <c r="I478" s="1125"/>
      <c r="J478" s="1133"/>
      <c r="K478" s="1133"/>
      <c r="L478" s="916"/>
      <c r="M478" s="916"/>
    </row>
    <row r="479" spans="1:13" s="103" customFormat="1" ht="15.75" hidden="1" customHeight="1" outlineLevel="1">
      <c r="A479" s="916"/>
      <c r="B479" s="1123"/>
      <c r="C479" s="1127"/>
      <c r="D479" s="1125"/>
      <c r="E479" s="1125"/>
      <c r="F479" s="1130"/>
      <c r="G479" s="95"/>
      <c r="H479" s="90"/>
      <c r="I479" s="1125"/>
      <c r="J479" s="1134"/>
      <c r="K479" s="1134"/>
      <c r="L479" s="916"/>
      <c r="M479" s="916"/>
    </row>
    <row r="480" spans="1:13" s="103" customFormat="1" ht="15.75" hidden="1" customHeight="1" outlineLevel="1">
      <c r="A480" s="916"/>
      <c r="B480" s="1124"/>
      <c r="C480" s="1128"/>
      <c r="D480" s="1126"/>
      <c r="E480" s="1126"/>
      <c r="F480" s="1132"/>
      <c r="G480" s="100"/>
      <c r="H480" s="98"/>
      <c r="I480" s="1126"/>
      <c r="J480" s="1135"/>
      <c r="K480" s="1135"/>
      <c r="L480" s="916"/>
      <c r="M480" s="916"/>
    </row>
    <row r="481" spans="1:13" s="103" customFormat="1" ht="15.75" hidden="1" customHeight="1" outlineLevel="1">
      <c r="A481" s="916"/>
      <c r="B481" s="1123">
        <v>157</v>
      </c>
      <c r="C481" s="1127"/>
      <c r="D481" s="1125"/>
      <c r="E481" s="1125" t="s">
        <v>18</v>
      </c>
      <c r="F481" s="1130" t="str">
        <f>VLOOKUP(E481,$N$13:$O$17,2,0)</f>
        <v>-</v>
      </c>
      <c r="G481" s="92"/>
      <c r="H481" s="90"/>
      <c r="I481" s="1125"/>
      <c r="J481" s="1133"/>
      <c r="K481" s="1133"/>
      <c r="L481" s="916"/>
      <c r="M481" s="916"/>
    </row>
    <row r="482" spans="1:13" s="103" customFormat="1" ht="15.75" hidden="1" customHeight="1" outlineLevel="1">
      <c r="A482" s="916"/>
      <c r="B482" s="1123"/>
      <c r="C482" s="1127"/>
      <c r="D482" s="1125"/>
      <c r="E482" s="1125"/>
      <c r="F482" s="1130"/>
      <c r="G482" s="95"/>
      <c r="H482" s="90"/>
      <c r="I482" s="1125"/>
      <c r="J482" s="1134"/>
      <c r="K482" s="1134"/>
      <c r="L482" s="916"/>
      <c r="M482" s="916"/>
    </row>
    <row r="483" spans="1:13" s="103" customFormat="1" ht="15.75" hidden="1" customHeight="1" outlineLevel="1">
      <c r="A483" s="916"/>
      <c r="B483" s="1124"/>
      <c r="C483" s="1128"/>
      <c r="D483" s="1126"/>
      <c r="E483" s="1126"/>
      <c r="F483" s="1132"/>
      <c r="G483" s="100"/>
      <c r="H483" s="98"/>
      <c r="I483" s="1126"/>
      <c r="J483" s="1135"/>
      <c r="K483" s="1135"/>
      <c r="L483" s="916"/>
      <c r="M483" s="916"/>
    </row>
    <row r="484" spans="1:13" s="103" customFormat="1" ht="15.75" hidden="1" customHeight="1" outlineLevel="1">
      <c r="A484" s="916"/>
      <c r="B484" s="1123">
        <v>158</v>
      </c>
      <c r="C484" s="1127"/>
      <c r="D484" s="1125"/>
      <c r="E484" s="1125" t="s">
        <v>18</v>
      </c>
      <c r="F484" s="1130" t="str">
        <f>VLOOKUP(E484,$N$13:$O$17,2,0)</f>
        <v>-</v>
      </c>
      <c r="G484" s="92"/>
      <c r="H484" s="90"/>
      <c r="I484" s="1125"/>
      <c r="J484" s="1133"/>
      <c r="K484" s="1133"/>
      <c r="L484" s="916"/>
      <c r="M484" s="916"/>
    </row>
    <row r="485" spans="1:13" s="103" customFormat="1" ht="15.75" hidden="1" customHeight="1" outlineLevel="1">
      <c r="A485" s="916"/>
      <c r="B485" s="1123"/>
      <c r="C485" s="1127"/>
      <c r="D485" s="1125"/>
      <c r="E485" s="1125"/>
      <c r="F485" s="1130"/>
      <c r="G485" s="95"/>
      <c r="H485" s="90"/>
      <c r="I485" s="1125"/>
      <c r="J485" s="1134"/>
      <c r="K485" s="1134"/>
      <c r="L485" s="916"/>
      <c r="M485" s="916"/>
    </row>
    <row r="486" spans="1:13" s="103" customFormat="1" ht="15.75" hidden="1" customHeight="1" outlineLevel="1">
      <c r="A486" s="916"/>
      <c r="B486" s="1124"/>
      <c r="C486" s="1128"/>
      <c r="D486" s="1126"/>
      <c r="E486" s="1126"/>
      <c r="F486" s="1132"/>
      <c r="G486" s="100"/>
      <c r="H486" s="98"/>
      <c r="I486" s="1126"/>
      <c r="J486" s="1135"/>
      <c r="K486" s="1135"/>
      <c r="L486" s="916"/>
      <c r="M486" s="916"/>
    </row>
    <row r="487" spans="1:13" s="103" customFormat="1" ht="15.75" hidden="1" customHeight="1" outlineLevel="1">
      <c r="A487" s="916"/>
      <c r="B487" s="1123">
        <v>159</v>
      </c>
      <c r="C487" s="1127"/>
      <c r="D487" s="1125"/>
      <c r="E487" s="1125" t="s">
        <v>18</v>
      </c>
      <c r="F487" s="1130" t="str">
        <f>VLOOKUP(E487,$N$13:$O$17,2,0)</f>
        <v>-</v>
      </c>
      <c r="G487" s="92"/>
      <c r="H487" s="90"/>
      <c r="I487" s="1125"/>
      <c r="J487" s="1133"/>
      <c r="K487" s="1133"/>
      <c r="L487" s="916"/>
      <c r="M487" s="916"/>
    </row>
    <row r="488" spans="1:13" s="103" customFormat="1" ht="15.75" hidden="1" customHeight="1" outlineLevel="1">
      <c r="A488" s="916"/>
      <c r="B488" s="1123"/>
      <c r="C488" s="1127"/>
      <c r="D488" s="1125"/>
      <c r="E488" s="1125"/>
      <c r="F488" s="1130"/>
      <c r="G488" s="95"/>
      <c r="H488" s="90"/>
      <c r="I488" s="1125"/>
      <c r="J488" s="1134"/>
      <c r="K488" s="1134"/>
      <c r="L488" s="916"/>
      <c r="M488" s="916"/>
    </row>
    <row r="489" spans="1:13" s="103" customFormat="1" ht="15.75" hidden="1" customHeight="1" outlineLevel="1">
      <c r="A489" s="916"/>
      <c r="B489" s="1124"/>
      <c r="C489" s="1128"/>
      <c r="D489" s="1126"/>
      <c r="E489" s="1126"/>
      <c r="F489" s="1132"/>
      <c r="G489" s="100"/>
      <c r="H489" s="98"/>
      <c r="I489" s="1126"/>
      <c r="J489" s="1135"/>
      <c r="K489" s="1135"/>
      <c r="L489" s="916"/>
      <c r="M489" s="916"/>
    </row>
    <row r="490" spans="1:13" s="103" customFormat="1" ht="15.75" hidden="1" customHeight="1" outlineLevel="1">
      <c r="A490" s="916"/>
      <c r="B490" s="1123">
        <v>160</v>
      </c>
      <c r="C490" s="1127"/>
      <c r="D490" s="1125"/>
      <c r="E490" s="1125" t="s">
        <v>18</v>
      </c>
      <c r="F490" s="1130" t="str">
        <f>VLOOKUP(E490,$N$13:$O$17,2,0)</f>
        <v>-</v>
      </c>
      <c r="G490" s="92"/>
      <c r="H490" s="90"/>
      <c r="I490" s="1125"/>
      <c r="J490" s="1133"/>
      <c r="K490" s="1133"/>
      <c r="L490" s="916"/>
      <c r="M490" s="916"/>
    </row>
    <row r="491" spans="1:13" s="103" customFormat="1" ht="15.75" hidden="1" customHeight="1" outlineLevel="1">
      <c r="A491" s="916"/>
      <c r="B491" s="1123"/>
      <c r="C491" s="1127"/>
      <c r="D491" s="1125"/>
      <c r="E491" s="1125"/>
      <c r="F491" s="1130"/>
      <c r="G491" s="95"/>
      <c r="H491" s="90"/>
      <c r="I491" s="1125"/>
      <c r="J491" s="1134"/>
      <c r="K491" s="1134"/>
      <c r="L491" s="916"/>
      <c r="M491" s="916"/>
    </row>
    <row r="492" spans="1:13" s="103" customFormat="1" ht="15.75" hidden="1" customHeight="1" outlineLevel="1">
      <c r="A492" s="916"/>
      <c r="B492" s="1124"/>
      <c r="C492" s="1128"/>
      <c r="D492" s="1126"/>
      <c r="E492" s="1126"/>
      <c r="F492" s="1132"/>
      <c r="G492" s="100"/>
      <c r="H492" s="98"/>
      <c r="I492" s="1126"/>
      <c r="J492" s="1135"/>
      <c r="K492" s="1135"/>
      <c r="L492" s="916"/>
      <c r="M492" s="916"/>
    </row>
    <row r="493" spans="1:13" s="103" customFormat="1" ht="15.75" hidden="1" customHeight="1" outlineLevel="1">
      <c r="A493" s="916"/>
      <c r="B493" s="1123">
        <v>161</v>
      </c>
      <c r="C493" s="1127"/>
      <c r="D493" s="1125"/>
      <c r="E493" s="1125" t="s">
        <v>18</v>
      </c>
      <c r="F493" s="1130" t="str">
        <f>VLOOKUP(E493,$N$13:$O$17,2,0)</f>
        <v>-</v>
      </c>
      <c r="G493" s="92"/>
      <c r="H493" s="90"/>
      <c r="I493" s="1125"/>
      <c r="J493" s="1133"/>
      <c r="K493" s="1133"/>
      <c r="L493" s="916"/>
      <c r="M493" s="916"/>
    </row>
    <row r="494" spans="1:13" s="103" customFormat="1" ht="15.75" hidden="1" customHeight="1" outlineLevel="1">
      <c r="A494" s="916"/>
      <c r="B494" s="1123"/>
      <c r="C494" s="1127"/>
      <c r="D494" s="1125"/>
      <c r="E494" s="1125"/>
      <c r="F494" s="1130"/>
      <c r="G494" s="95"/>
      <c r="H494" s="90"/>
      <c r="I494" s="1125"/>
      <c r="J494" s="1134"/>
      <c r="K494" s="1134"/>
      <c r="L494" s="916"/>
      <c r="M494" s="916"/>
    </row>
    <row r="495" spans="1:13" s="103" customFormat="1" ht="15.75" hidden="1" customHeight="1" outlineLevel="1">
      <c r="A495" s="916"/>
      <c r="B495" s="1124"/>
      <c r="C495" s="1128"/>
      <c r="D495" s="1126"/>
      <c r="E495" s="1126"/>
      <c r="F495" s="1132"/>
      <c r="G495" s="100"/>
      <c r="H495" s="98"/>
      <c r="I495" s="1126"/>
      <c r="J495" s="1135"/>
      <c r="K495" s="1135"/>
      <c r="L495" s="916"/>
      <c r="M495" s="916"/>
    </row>
    <row r="496" spans="1:13" s="103" customFormat="1" ht="15.75" hidden="1" customHeight="1" outlineLevel="1">
      <c r="A496" s="916"/>
      <c r="B496" s="1123">
        <v>162</v>
      </c>
      <c r="C496" s="1127"/>
      <c r="D496" s="1125"/>
      <c r="E496" s="1125" t="s">
        <v>18</v>
      </c>
      <c r="F496" s="1130" t="str">
        <f>VLOOKUP(E496,$N$13:$O$17,2,0)</f>
        <v>-</v>
      </c>
      <c r="G496" s="92"/>
      <c r="H496" s="90"/>
      <c r="I496" s="1125"/>
      <c r="J496" s="1133"/>
      <c r="K496" s="1133"/>
      <c r="L496" s="916"/>
      <c r="M496" s="916"/>
    </row>
    <row r="497" spans="1:13" s="103" customFormat="1" ht="15.75" hidden="1" customHeight="1" outlineLevel="1">
      <c r="A497" s="916"/>
      <c r="B497" s="1123"/>
      <c r="C497" s="1127"/>
      <c r="D497" s="1125"/>
      <c r="E497" s="1125"/>
      <c r="F497" s="1130"/>
      <c r="G497" s="95"/>
      <c r="H497" s="90"/>
      <c r="I497" s="1125"/>
      <c r="J497" s="1134"/>
      <c r="K497" s="1134"/>
      <c r="L497" s="916"/>
      <c r="M497" s="916"/>
    </row>
    <row r="498" spans="1:13" s="103" customFormat="1" ht="15.75" hidden="1" customHeight="1" outlineLevel="1">
      <c r="A498" s="916"/>
      <c r="B498" s="1124"/>
      <c r="C498" s="1128"/>
      <c r="D498" s="1126"/>
      <c r="E498" s="1126"/>
      <c r="F498" s="1132"/>
      <c r="G498" s="100"/>
      <c r="H498" s="98"/>
      <c r="I498" s="1126"/>
      <c r="J498" s="1135"/>
      <c r="K498" s="1135"/>
      <c r="L498" s="916"/>
      <c r="M498" s="916"/>
    </row>
    <row r="499" spans="1:13" s="103" customFormat="1" ht="15.75" hidden="1" customHeight="1" outlineLevel="1">
      <c r="A499" s="916"/>
      <c r="B499" s="1123">
        <v>163</v>
      </c>
      <c r="C499" s="1127"/>
      <c r="D499" s="1125"/>
      <c r="E499" s="1125" t="s">
        <v>18</v>
      </c>
      <c r="F499" s="1130" t="str">
        <f>VLOOKUP(E499,$N$13:$O$17,2,0)</f>
        <v>-</v>
      </c>
      <c r="G499" s="92"/>
      <c r="H499" s="90"/>
      <c r="I499" s="1125"/>
      <c r="J499" s="1133"/>
      <c r="K499" s="1133"/>
      <c r="L499" s="916"/>
      <c r="M499" s="916"/>
    </row>
    <row r="500" spans="1:13" s="103" customFormat="1" ht="15.75" hidden="1" customHeight="1" outlineLevel="1">
      <c r="A500" s="916"/>
      <c r="B500" s="1123"/>
      <c r="C500" s="1127"/>
      <c r="D500" s="1125"/>
      <c r="E500" s="1125"/>
      <c r="F500" s="1130"/>
      <c r="G500" s="95"/>
      <c r="H500" s="90"/>
      <c r="I500" s="1125"/>
      <c r="J500" s="1134"/>
      <c r="K500" s="1134"/>
      <c r="L500" s="916"/>
      <c r="M500" s="916"/>
    </row>
    <row r="501" spans="1:13" s="103" customFormat="1" ht="15.75" hidden="1" customHeight="1" outlineLevel="1">
      <c r="A501" s="916"/>
      <c r="B501" s="1124"/>
      <c r="C501" s="1128"/>
      <c r="D501" s="1126"/>
      <c r="E501" s="1126"/>
      <c r="F501" s="1132"/>
      <c r="G501" s="100"/>
      <c r="H501" s="98"/>
      <c r="I501" s="1126"/>
      <c r="J501" s="1135"/>
      <c r="K501" s="1135"/>
      <c r="L501" s="916"/>
      <c r="M501" s="916"/>
    </row>
    <row r="502" spans="1:13" s="103" customFormat="1" ht="15.75" hidden="1" customHeight="1" outlineLevel="1">
      <c r="A502" s="916"/>
      <c r="B502" s="1123">
        <v>164</v>
      </c>
      <c r="C502" s="1127"/>
      <c r="D502" s="1125"/>
      <c r="E502" s="1125" t="s">
        <v>18</v>
      </c>
      <c r="F502" s="1130" t="str">
        <f>VLOOKUP(E502,$N$13:$O$17,2,0)</f>
        <v>-</v>
      </c>
      <c r="G502" s="92"/>
      <c r="H502" s="90"/>
      <c r="I502" s="1125"/>
      <c r="J502" s="1133"/>
      <c r="K502" s="1133"/>
      <c r="L502" s="916"/>
      <c r="M502" s="916"/>
    </row>
    <row r="503" spans="1:13" s="103" customFormat="1" ht="15.75" hidden="1" customHeight="1" outlineLevel="1">
      <c r="A503" s="916"/>
      <c r="B503" s="1123"/>
      <c r="C503" s="1127"/>
      <c r="D503" s="1125"/>
      <c r="E503" s="1125"/>
      <c r="F503" s="1130"/>
      <c r="G503" s="95"/>
      <c r="H503" s="90"/>
      <c r="I503" s="1125"/>
      <c r="J503" s="1134"/>
      <c r="K503" s="1134"/>
      <c r="L503" s="916"/>
      <c r="M503" s="916"/>
    </row>
    <row r="504" spans="1:13" s="103" customFormat="1" ht="15.75" hidden="1" customHeight="1" outlineLevel="1">
      <c r="A504" s="916"/>
      <c r="B504" s="1124"/>
      <c r="C504" s="1128"/>
      <c r="D504" s="1126"/>
      <c r="E504" s="1126"/>
      <c r="F504" s="1132"/>
      <c r="G504" s="100"/>
      <c r="H504" s="98"/>
      <c r="I504" s="1126"/>
      <c r="J504" s="1135"/>
      <c r="K504" s="1135"/>
      <c r="L504" s="916"/>
      <c r="M504" s="916"/>
    </row>
    <row r="505" spans="1:13" s="103" customFormat="1" ht="15.75" hidden="1" customHeight="1" outlineLevel="1">
      <c r="A505" s="916"/>
      <c r="B505" s="1123">
        <v>165</v>
      </c>
      <c r="C505" s="1127"/>
      <c r="D505" s="1125"/>
      <c r="E505" s="1125" t="s">
        <v>18</v>
      </c>
      <c r="F505" s="1130" t="str">
        <f>VLOOKUP(E505,$N$13:$O$17,2,0)</f>
        <v>-</v>
      </c>
      <c r="G505" s="92"/>
      <c r="H505" s="90"/>
      <c r="I505" s="1125"/>
      <c r="J505" s="1133"/>
      <c r="K505" s="1133"/>
      <c r="L505" s="916"/>
      <c r="M505" s="916"/>
    </row>
    <row r="506" spans="1:13" s="103" customFormat="1" ht="15.75" hidden="1" customHeight="1" outlineLevel="1">
      <c r="A506" s="916"/>
      <c r="B506" s="1123"/>
      <c r="C506" s="1127"/>
      <c r="D506" s="1125"/>
      <c r="E506" s="1125"/>
      <c r="F506" s="1130"/>
      <c r="G506" s="95"/>
      <c r="H506" s="90"/>
      <c r="I506" s="1125"/>
      <c r="J506" s="1134"/>
      <c r="K506" s="1134"/>
      <c r="L506" s="916"/>
      <c r="M506" s="916"/>
    </row>
    <row r="507" spans="1:13" s="103" customFormat="1" ht="15.75" hidden="1" customHeight="1" outlineLevel="1">
      <c r="A507" s="916"/>
      <c r="B507" s="1124"/>
      <c r="C507" s="1128"/>
      <c r="D507" s="1126"/>
      <c r="E507" s="1126"/>
      <c r="F507" s="1132"/>
      <c r="G507" s="100"/>
      <c r="H507" s="98"/>
      <c r="I507" s="1126"/>
      <c r="J507" s="1135"/>
      <c r="K507" s="1135"/>
      <c r="L507" s="916"/>
      <c r="M507" s="916"/>
    </row>
    <row r="508" spans="1:13" s="103" customFormat="1" ht="15.75" hidden="1" customHeight="1" outlineLevel="1">
      <c r="A508" s="916"/>
      <c r="B508" s="1123">
        <v>166</v>
      </c>
      <c r="C508" s="1127"/>
      <c r="D508" s="1125"/>
      <c r="E508" s="1125" t="s">
        <v>18</v>
      </c>
      <c r="F508" s="1130" t="str">
        <f>VLOOKUP(E508,$N$13:$O$17,2,0)</f>
        <v>-</v>
      </c>
      <c r="G508" s="92"/>
      <c r="H508" s="90"/>
      <c r="I508" s="1125"/>
      <c r="J508" s="1133"/>
      <c r="K508" s="1133"/>
      <c r="L508" s="916"/>
      <c r="M508" s="916"/>
    </row>
    <row r="509" spans="1:13" s="103" customFormat="1" ht="15.75" hidden="1" customHeight="1" outlineLevel="1">
      <c r="A509" s="916"/>
      <c r="B509" s="1123"/>
      <c r="C509" s="1127"/>
      <c r="D509" s="1125"/>
      <c r="E509" s="1125"/>
      <c r="F509" s="1130"/>
      <c r="G509" s="95"/>
      <c r="H509" s="90"/>
      <c r="I509" s="1125"/>
      <c r="J509" s="1134"/>
      <c r="K509" s="1134"/>
      <c r="L509" s="916"/>
      <c r="M509" s="916"/>
    </row>
    <row r="510" spans="1:13" s="103" customFormat="1" ht="15.75" hidden="1" customHeight="1" outlineLevel="1">
      <c r="A510" s="916"/>
      <c r="B510" s="1124"/>
      <c r="C510" s="1128"/>
      <c r="D510" s="1126"/>
      <c r="E510" s="1126"/>
      <c r="F510" s="1132"/>
      <c r="G510" s="100"/>
      <c r="H510" s="98"/>
      <c r="I510" s="1126"/>
      <c r="J510" s="1135"/>
      <c r="K510" s="1135"/>
      <c r="L510" s="916"/>
      <c r="M510" s="916"/>
    </row>
    <row r="511" spans="1:13" s="103" customFormat="1" ht="15.75" hidden="1" customHeight="1" outlineLevel="1">
      <c r="A511" s="916"/>
      <c r="B511" s="1123">
        <v>167</v>
      </c>
      <c r="C511" s="1127"/>
      <c r="D511" s="1125"/>
      <c r="E511" s="1125" t="s">
        <v>18</v>
      </c>
      <c r="F511" s="1130" t="str">
        <f>VLOOKUP(E511,$N$13:$O$17,2,0)</f>
        <v>-</v>
      </c>
      <c r="G511" s="92"/>
      <c r="H511" s="90"/>
      <c r="I511" s="1125"/>
      <c r="J511" s="1133"/>
      <c r="K511" s="1133"/>
      <c r="L511" s="916"/>
      <c r="M511" s="916"/>
    </row>
    <row r="512" spans="1:13" s="103" customFormat="1" ht="15.75" hidden="1" customHeight="1" outlineLevel="1">
      <c r="A512" s="916"/>
      <c r="B512" s="1123"/>
      <c r="C512" s="1127"/>
      <c r="D512" s="1125"/>
      <c r="E512" s="1125"/>
      <c r="F512" s="1130"/>
      <c r="G512" s="95"/>
      <c r="H512" s="90"/>
      <c r="I512" s="1125"/>
      <c r="J512" s="1134"/>
      <c r="K512" s="1134"/>
      <c r="L512" s="916"/>
      <c r="M512" s="916"/>
    </row>
    <row r="513" spans="1:13" s="103" customFormat="1" ht="15.75" hidden="1" customHeight="1" outlineLevel="1">
      <c r="A513" s="916"/>
      <c r="B513" s="1124"/>
      <c r="C513" s="1128"/>
      <c r="D513" s="1126"/>
      <c r="E513" s="1126"/>
      <c r="F513" s="1132"/>
      <c r="G513" s="100"/>
      <c r="H513" s="98"/>
      <c r="I513" s="1126"/>
      <c r="J513" s="1135"/>
      <c r="K513" s="1135"/>
      <c r="L513" s="916"/>
      <c r="M513" s="916"/>
    </row>
    <row r="514" spans="1:13" s="103" customFormat="1" ht="15.75" hidden="1" customHeight="1" outlineLevel="1">
      <c r="A514" s="916"/>
      <c r="B514" s="1123">
        <v>168</v>
      </c>
      <c r="C514" s="1127"/>
      <c r="D514" s="1125"/>
      <c r="E514" s="1125" t="s">
        <v>18</v>
      </c>
      <c r="F514" s="1130" t="str">
        <f>VLOOKUP(E514,$N$13:$O$17,2,0)</f>
        <v>-</v>
      </c>
      <c r="G514" s="92"/>
      <c r="H514" s="90"/>
      <c r="I514" s="1125"/>
      <c r="J514" s="1133"/>
      <c r="K514" s="1133"/>
      <c r="L514" s="916"/>
      <c r="M514" s="916"/>
    </row>
    <row r="515" spans="1:13" s="103" customFormat="1" ht="15.75" hidden="1" customHeight="1" outlineLevel="1">
      <c r="A515" s="916"/>
      <c r="B515" s="1123"/>
      <c r="C515" s="1127"/>
      <c r="D515" s="1125"/>
      <c r="E515" s="1125"/>
      <c r="F515" s="1130"/>
      <c r="G515" s="95"/>
      <c r="H515" s="90"/>
      <c r="I515" s="1125"/>
      <c r="J515" s="1134"/>
      <c r="K515" s="1134"/>
      <c r="L515" s="916"/>
      <c r="M515" s="916"/>
    </row>
    <row r="516" spans="1:13" s="103" customFormat="1" ht="15.75" hidden="1" customHeight="1" outlineLevel="1">
      <c r="A516" s="916"/>
      <c r="B516" s="1124"/>
      <c r="C516" s="1128"/>
      <c r="D516" s="1126"/>
      <c r="E516" s="1126"/>
      <c r="F516" s="1132"/>
      <c r="G516" s="100"/>
      <c r="H516" s="98"/>
      <c r="I516" s="1126"/>
      <c r="J516" s="1135"/>
      <c r="K516" s="1135"/>
      <c r="L516" s="916"/>
      <c r="M516" s="916"/>
    </row>
    <row r="517" spans="1:13" s="103" customFormat="1" ht="15.75" hidden="1" customHeight="1" outlineLevel="1">
      <c r="A517" s="916"/>
      <c r="B517" s="1123">
        <v>169</v>
      </c>
      <c r="C517" s="1127"/>
      <c r="D517" s="1125"/>
      <c r="E517" s="1125" t="s">
        <v>18</v>
      </c>
      <c r="F517" s="1130" t="str">
        <f>VLOOKUP(E517,$N$13:$O$17,2,0)</f>
        <v>-</v>
      </c>
      <c r="G517" s="92"/>
      <c r="H517" s="90"/>
      <c r="I517" s="1125"/>
      <c r="J517" s="1133"/>
      <c r="K517" s="1133"/>
      <c r="L517" s="916"/>
      <c r="M517" s="916"/>
    </row>
    <row r="518" spans="1:13" s="103" customFormat="1" ht="15.75" hidden="1" customHeight="1" outlineLevel="1">
      <c r="A518" s="916"/>
      <c r="B518" s="1123"/>
      <c r="C518" s="1127"/>
      <c r="D518" s="1125"/>
      <c r="E518" s="1125"/>
      <c r="F518" s="1130"/>
      <c r="G518" s="95"/>
      <c r="H518" s="90"/>
      <c r="I518" s="1125"/>
      <c r="J518" s="1134"/>
      <c r="K518" s="1134"/>
      <c r="L518" s="916"/>
      <c r="M518" s="916"/>
    </row>
    <row r="519" spans="1:13" s="103" customFormat="1" ht="15.75" hidden="1" customHeight="1" outlineLevel="1">
      <c r="A519" s="916"/>
      <c r="B519" s="1124"/>
      <c r="C519" s="1128"/>
      <c r="D519" s="1126"/>
      <c r="E519" s="1126"/>
      <c r="F519" s="1132"/>
      <c r="G519" s="100"/>
      <c r="H519" s="98"/>
      <c r="I519" s="1126"/>
      <c r="J519" s="1135"/>
      <c r="K519" s="1135"/>
      <c r="L519" s="916"/>
      <c r="M519" s="916"/>
    </row>
    <row r="520" spans="1:13" s="103" customFormat="1" ht="15.75" hidden="1" customHeight="1" outlineLevel="1">
      <c r="A520" s="916"/>
      <c r="B520" s="1123">
        <v>170</v>
      </c>
      <c r="C520" s="1127"/>
      <c r="D520" s="1125"/>
      <c r="E520" s="1125" t="s">
        <v>18</v>
      </c>
      <c r="F520" s="1130" t="str">
        <f>VLOOKUP(E520,$N$13:$O$17,2,0)</f>
        <v>-</v>
      </c>
      <c r="G520" s="92"/>
      <c r="H520" s="90"/>
      <c r="I520" s="1125"/>
      <c r="J520" s="1133"/>
      <c r="K520" s="1133"/>
      <c r="L520" s="916"/>
      <c r="M520" s="916"/>
    </row>
    <row r="521" spans="1:13" s="103" customFormat="1" ht="15.75" hidden="1" customHeight="1" outlineLevel="1">
      <c r="A521" s="916"/>
      <c r="B521" s="1123"/>
      <c r="C521" s="1127"/>
      <c r="D521" s="1125"/>
      <c r="E521" s="1125"/>
      <c r="F521" s="1130"/>
      <c r="G521" s="95"/>
      <c r="H521" s="90"/>
      <c r="I521" s="1125"/>
      <c r="J521" s="1134"/>
      <c r="K521" s="1134"/>
      <c r="L521" s="916"/>
      <c r="M521" s="916"/>
    </row>
    <row r="522" spans="1:13" s="103" customFormat="1" ht="15.75" hidden="1" customHeight="1" outlineLevel="1">
      <c r="A522" s="916"/>
      <c r="B522" s="1124"/>
      <c r="C522" s="1128"/>
      <c r="D522" s="1126"/>
      <c r="E522" s="1126"/>
      <c r="F522" s="1132"/>
      <c r="G522" s="100"/>
      <c r="H522" s="98"/>
      <c r="I522" s="1126"/>
      <c r="J522" s="1135"/>
      <c r="K522" s="1135"/>
      <c r="L522" s="916"/>
      <c r="M522" s="916"/>
    </row>
    <row r="523" spans="1:13" s="103" customFormat="1" ht="15.75" hidden="1" customHeight="1" outlineLevel="1">
      <c r="A523" s="916"/>
      <c r="B523" s="1123">
        <v>171</v>
      </c>
      <c r="C523" s="1127"/>
      <c r="D523" s="1125"/>
      <c r="E523" s="1125" t="s">
        <v>18</v>
      </c>
      <c r="F523" s="1130" t="str">
        <f>VLOOKUP(E523,$N$13:$O$17,2,0)</f>
        <v>-</v>
      </c>
      <c r="G523" s="92"/>
      <c r="H523" s="90"/>
      <c r="I523" s="1125"/>
      <c r="J523" s="1133"/>
      <c r="K523" s="1133"/>
      <c r="L523" s="916"/>
      <c r="M523" s="916"/>
    </row>
    <row r="524" spans="1:13" s="103" customFormat="1" ht="15.75" hidden="1" customHeight="1" outlineLevel="1">
      <c r="A524" s="916"/>
      <c r="B524" s="1123"/>
      <c r="C524" s="1127"/>
      <c r="D524" s="1125"/>
      <c r="E524" s="1125"/>
      <c r="F524" s="1130"/>
      <c r="G524" s="95"/>
      <c r="H524" s="90"/>
      <c r="I524" s="1125"/>
      <c r="J524" s="1134"/>
      <c r="K524" s="1134"/>
      <c r="L524" s="916"/>
      <c r="M524" s="916"/>
    </row>
    <row r="525" spans="1:13" s="103" customFormat="1" ht="15.75" hidden="1" customHeight="1" outlineLevel="1">
      <c r="A525" s="916"/>
      <c r="B525" s="1124"/>
      <c r="C525" s="1128"/>
      <c r="D525" s="1126"/>
      <c r="E525" s="1126"/>
      <c r="F525" s="1132"/>
      <c r="G525" s="100"/>
      <c r="H525" s="98"/>
      <c r="I525" s="1126"/>
      <c r="J525" s="1135"/>
      <c r="K525" s="1135"/>
      <c r="L525" s="916"/>
      <c r="M525" s="916"/>
    </row>
    <row r="526" spans="1:13" s="103" customFormat="1" ht="15.75" hidden="1" customHeight="1" outlineLevel="1">
      <c r="A526" s="916"/>
      <c r="B526" s="1123">
        <v>172</v>
      </c>
      <c r="C526" s="1127"/>
      <c r="D526" s="1125"/>
      <c r="E526" s="1125" t="s">
        <v>18</v>
      </c>
      <c r="F526" s="1130" t="str">
        <f>VLOOKUP(E526,$N$13:$O$17,2,0)</f>
        <v>-</v>
      </c>
      <c r="G526" s="92"/>
      <c r="H526" s="90"/>
      <c r="I526" s="1125"/>
      <c r="J526" s="1133"/>
      <c r="K526" s="1133"/>
      <c r="L526" s="916"/>
      <c r="M526" s="916"/>
    </row>
    <row r="527" spans="1:13" s="103" customFormat="1" ht="15.75" hidden="1" customHeight="1" outlineLevel="1">
      <c r="A527" s="916"/>
      <c r="B527" s="1123"/>
      <c r="C527" s="1127"/>
      <c r="D527" s="1125"/>
      <c r="E527" s="1125"/>
      <c r="F527" s="1130"/>
      <c r="G527" s="95"/>
      <c r="H527" s="90"/>
      <c r="I527" s="1125"/>
      <c r="J527" s="1134"/>
      <c r="K527" s="1134"/>
      <c r="L527" s="916"/>
      <c r="M527" s="916"/>
    </row>
    <row r="528" spans="1:13" s="103" customFormat="1" ht="15.75" hidden="1" customHeight="1" outlineLevel="1">
      <c r="A528" s="916"/>
      <c r="B528" s="1124"/>
      <c r="C528" s="1128"/>
      <c r="D528" s="1126"/>
      <c r="E528" s="1126"/>
      <c r="F528" s="1132"/>
      <c r="G528" s="100"/>
      <c r="H528" s="98"/>
      <c r="I528" s="1126"/>
      <c r="J528" s="1135"/>
      <c r="K528" s="1135"/>
      <c r="L528" s="916"/>
      <c r="M528" s="916"/>
    </row>
    <row r="529" spans="1:13" s="103" customFormat="1" ht="15.75" hidden="1" customHeight="1" outlineLevel="1">
      <c r="A529" s="916"/>
      <c r="B529" s="1123">
        <v>173</v>
      </c>
      <c r="C529" s="1127"/>
      <c r="D529" s="1125"/>
      <c r="E529" s="1125" t="s">
        <v>18</v>
      </c>
      <c r="F529" s="1130" t="str">
        <f>VLOOKUP(E529,$N$13:$O$17,2,0)</f>
        <v>-</v>
      </c>
      <c r="G529" s="92"/>
      <c r="H529" s="90"/>
      <c r="I529" s="1125"/>
      <c r="J529" s="1133"/>
      <c r="K529" s="1133"/>
      <c r="L529" s="916"/>
      <c r="M529" s="916"/>
    </row>
    <row r="530" spans="1:13" s="103" customFormat="1" ht="15.75" hidden="1" customHeight="1" outlineLevel="1">
      <c r="A530" s="916"/>
      <c r="B530" s="1123"/>
      <c r="C530" s="1127"/>
      <c r="D530" s="1125"/>
      <c r="E530" s="1125"/>
      <c r="F530" s="1130"/>
      <c r="G530" s="95"/>
      <c r="H530" s="90"/>
      <c r="I530" s="1125"/>
      <c r="J530" s="1134"/>
      <c r="K530" s="1134"/>
      <c r="L530" s="916"/>
      <c r="M530" s="916"/>
    </row>
    <row r="531" spans="1:13" s="103" customFormat="1" ht="15.75" hidden="1" customHeight="1" outlineLevel="1">
      <c r="A531" s="916"/>
      <c r="B531" s="1124"/>
      <c r="C531" s="1128"/>
      <c r="D531" s="1126"/>
      <c r="E531" s="1126"/>
      <c r="F531" s="1132"/>
      <c r="G531" s="100"/>
      <c r="H531" s="98"/>
      <c r="I531" s="1126"/>
      <c r="J531" s="1135"/>
      <c r="K531" s="1135"/>
      <c r="L531" s="916"/>
      <c r="M531" s="916"/>
    </row>
    <row r="532" spans="1:13" s="103" customFormat="1" ht="15.75" hidden="1" customHeight="1" outlineLevel="1">
      <c r="A532" s="916"/>
      <c r="B532" s="1123">
        <v>174</v>
      </c>
      <c r="C532" s="1127"/>
      <c r="D532" s="1125"/>
      <c r="E532" s="1125" t="s">
        <v>18</v>
      </c>
      <c r="F532" s="1130" t="str">
        <f>VLOOKUP(E532,$N$13:$O$17,2,0)</f>
        <v>-</v>
      </c>
      <c r="G532" s="92"/>
      <c r="H532" s="90"/>
      <c r="I532" s="1125"/>
      <c r="J532" s="1133"/>
      <c r="K532" s="1133"/>
      <c r="L532" s="916"/>
      <c r="M532" s="916"/>
    </row>
    <row r="533" spans="1:13" s="103" customFormat="1" ht="15.75" hidden="1" customHeight="1" outlineLevel="1">
      <c r="A533" s="916"/>
      <c r="B533" s="1123"/>
      <c r="C533" s="1127"/>
      <c r="D533" s="1125"/>
      <c r="E533" s="1125"/>
      <c r="F533" s="1130"/>
      <c r="G533" s="95"/>
      <c r="H533" s="90"/>
      <c r="I533" s="1125"/>
      <c r="J533" s="1134"/>
      <c r="K533" s="1134"/>
      <c r="L533" s="916"/>
      <c r="M533" s="916"/>
    </row>
    <row r="534" spans="1:13" s="103" customFormat="1" ht="15.75" hidden="1" customHeight="1" outlineLevel="1">
      <c r="A534" s="916"/>
      <c r="B534" s="1124"/>
      <c r="C534" s="1128"/>
      <c r="D534" s="1126"/>
      <c r="E534" s="1126"/>
      <c r="F534" s="1132"/>
      <c r="G534" s="100"/>
      <c r="H534" s="98"/>
      <c r="I534" s="1126"/>
      <c r="J534" s="1135"/>
      <c r="K534" s="1135"/>
      <c r="L534" s="916"/>
      <c r="M534" s="916"/>
    </row>
    <row r="535" spans="1:13" s="103" customFormat="1" ht="15.75" hidden="1" customHeight="1" outlineLevel="1">
      <c r="A535" s="916"/>
      <c r="B535" s="1123">
        <v>175</v>
      </c>
      <c r="C535" s="1127"/>
      <c r="D535" s="1125"/>
      <c r="E535" s="1125" t="s">
        <v>18</v>
      </c>
      <c r="F535" s="1130" t="str">
        <f>VLOOKUP(E535,$N$13:$O$17,2,0)</f>
        <v>-</v>
      </c>
      <c r="G535" s="92"/>
      <c r="H535" s="90"/>
      <c r="I535" s="1125"/>
      <c r="J535" s="1133"/>
      <c r="K535" s="1133"/>
      <c r="L535" s="916"/>
      <c r="M535" s="916"/>
    </row>
    <row r="536" spans="1:13" s="103" customFormat="1" ht="15.75" hidden="1" customHeight="1" outlineLevel="1">
      <c r="A536" s="916"/>
      <c r="B536" s="1123"/>
      <c r="C536" s="1127"/>
      <c r="D536" s="1125"/>
      <c r="E536" s="1125"/>
      <c r="F536" s="1130"/>
      <c r="G536" s="95"/>
      <c r="H536" s="90"/>
      <c r="I536" s="1125"/>
      <c r="J536" s="1134"/>
      <c r="K536" s="1134"/>
      <c r="L536" s="916"/>
      <c r="M536" s="916"/>
    </row>
    <row r="537" spans="1:13" s="103" customFormat="1" ht="15.75" hidden="1" customHeight="1" outlineLevel="1">
      <c r="A537" s="916"/>
      <c r="B537" s="1124"/>
      <c r="C537" s="1128"/>
      <c r="D537" s="1126"/>
      <c r="E537" s="1126"/>
      <c r="F537" s="1132"/>
      <c r="G537" s="100"/>
      <c r="H537" s="98"/>
      <c r="I537" s="1126"/>
      <c r="J537" s="1135"/>
      <c r="K537" s="1135"/>
      <c r="L537" s="916"/>
      <c r="M537" s="916"/>
    </row>
    <row r="538" spans="1:13" s="103" customFormat="1" ht="15.75" hidden="1" customHeight="1" outlineLevel="1">
      <c r="A538" s="916"/>
      <c r="B538" s="1123">
        <v>176</v>
      </c>
      <c r="C538" s="1127"/>
      <c r="D538" s="1125"/>
      <c r="E538" s="1125" t="s">
        <v>18</v>
      </c>
      <c r="F538" s="1130" t="str">
        <f>VLOOKUP(E538,$N$13:$O$17,2,0)</f>
        <v>-</v>
      </c>
      <c r="G538" s="92"/>
      <c r="H538" s="90"/>
      <c r="I538" s="1125"/>
      <c r="J538" s="1133"/>
      <c r="K538" s="1133"/>
      <c r="L538" s="916"/>
      <c r="M538" s="916"/>
    </row>
    <row r="539" spans="1:13" s="103" customFormat="1" ht="15.75" hidden="1" customHeight="1" outlineLevel="1">
      <c r="A539" s="916"/>
      <c r="B539" s="1123"/>
      <c r="C539" s="1127"/>
      <c r="D539" s="1125"/>
      <c r="E539" s="1125"/>
      <c r="F539" s="1130"/>
      <c r="G539" s="95"/>
      <c r="H539" s="90"/>
      <c r="I539" s="1125"/>
      <c r="J539" s="1134"/>
      <c r="K539" s="1134"/>
      <c r="L539" s="916"/>
      <c r="M539" s="916"/>
    </row>
    <row r="540" spans="1:13" s="103" customFormat="1" ht="15.75" hidden="1" customHeight="1" outlineLevel="1">
      <c r="A540" s="916"/>
      <c r="B540" s="1124"/>
      <c r="C540" s="1128"/>
      <c r="D540" s="1126"/>
      <c r="E540" s="1126"/>
      <c r="F540" s="1132"/>
      <c r="G540" s="100"/>
      <c r="H540" s="98"/>
      <c r="I540" s="1126"/>
      <c r="J540" s="1135"/>
      <c r="K540" s="1135"/>
      <c r="L540" s="916"/>
      <c r="M540" s="916"/>
    </row>
    <row r="541" spans="1:13" s="103" customFormat="1" ht="15.75" hidden="1" customHeight="1" outlineLevel="1">
      <c r="A541" s="916"/>
      <c r="B541" s="1123">
        <v>177</v>
      </c>
      <c r="C541" s="1127"/>
      <c r="D541" s="1125"/>
      <c r="E541" s="1125" t="s">
        <v>18</v>
      </c>
      <c r="F541" s="1130" t="str">
        <f>VLOOKUP(E541,$N$13:$O$17,2,0)</f>
        <v>-</v>
      </c>
      <c r="G541" s="92"/>
      <c r="H541" s="90"/>
      <c r="I541" s="1125"/>
      <c r="J541" s="1133"/>
      <c r="K541" s="1133"/>
      <c r="L541" s="916"/>
      <c r="M541" s="916"/>
    </row>
    <row r="542" spans="1:13" s="103" customFormat="1" ht="15.75" hidden="1" customHeight="1" outlineLevel="1">
      <c r="A542" s="916"/>
      <c r="B542" s="1123"/>
      <c r="C542" s="1127"/>
      <c r="D542" s="1125"/>
      <c r="E542" s="1125"/>
      <c r="F542" s="1130"/>
      <c r="G542" s="95"/>
      <c r="H542" s="90"/>
      <c r="I542" s="1125"/>
      <c r="J542" s="1134"/>
      <c r="K542" s="1134"/>
      <c r="L542" s="916"/>
      <c r="M542" s="916"/>
    </row>
    <row r="543" spans="1:13" s="103" customFormat="1" ht="15.75" hidden="1" customHeight="1" outlineLevel="1">
      <c r="A543" s="916"/>
      <c r="B543" s="1124"/>
      <c r="C543" s="1128"/>
      <c r="D543" s="1126"/>
      <c r="E543" s="1126"/>
      <c r="F543" s="1132"/>
      <c r="G543" s="100"/>
      <c r="H543" s="98"/>
      <c r="I543" s="1126"/>
      <c r="J543" s="1135"/>
      <c r="K543" s="1135"/>
      <c r="L543" s="916"/>
      <c r="M543" s="916"/>
    </row>
    <row r="544" spans="1:13" s="103" customFormat="1" ht="15.75" hidden="1" customHeight="1" outlineLevel="1">
      <c r="A544" s="916"/>
      <c r="B544" s="1123">
        <v>178</v>
      </c>
      <c r="C544" s="1127"/>
      <c r="D544" s="1125"/>
      <c r="E544" s="1125" t="s">
        <v>18</v>
      </c>
      <c r="F544" s="1130" t="str">
        <f>VLOOKUP(E544,$N$13:$O$17,2,0)</f>
        <v>-</v>
      </c>
      <c r="G544" s="92"/>
      <c r="H544" s="90"/>
      <c r="I544" s="1125"/>
      <c r="J544" s="1133"/>
      <c r="K544" s="1133"/>
      <c r="L544" s="916"/>
      <c r="M544" s="916"/>
    </row>
    <row r="545" spans="1:13" s="103" customFormat="1" ht="15.75" hidden="1" customHeight="1" outlineLevel="1">
      <c r="A545" s="916"/>
      <c r="B545" s="1123"/>
      <c r="C545" s="1127"/>
      <c r="D545" s="1125"/>
      <c r="E545" s="1125"/>
      <c r="F545" s="1130"/>
      <c r="G545" s="95"/>
      <c r="H545" s="90"/>
      <c r="I545" s="1125"/>
      <c r="J545" s="1134"/>
      <c r="K545" s="1134"/>
      <c r="L545" s="916"/>
      <c r="M545" s="916"/>
    </row>
    <row r="546" spans="1:13" s="103" customFormat="1" ht="15.75" hidden="1" customHeight="1" outlineLevel="1">
      <c r="A546" s="916"/>
      <c r="B546" s="1124"/>
      <c r="C546" s="1128"/>
      <c r="D546" s="1126"/>
      <c r="E546" s="1126"/>
      <c r="F546" s="1132"/>
      <c r="G546" s="100"/>
      <c r="H546" s="98"/>
      <c r="I546" s="1126"/>
      <c r="J546" s="1135"/>
      <c r="K546" s="1135"/>
      <c r="L546" s="916"/>
      <c r="M546" s="916"/>
    </row>
    <row r="547" spans="1:13" s="103" customFormat="1" ht="15.75" hidden="1" customHeight="1" outlineLevel="1">
      <c r="A547" s="916"/>
      <c r="B547" s="1123">
        <v>179</v>
      </c>
      <c r="C547" s="1127"/>
      <c r="D547" s="1125"/>
      <c r="E547" s="1125" t="s">
        <v>18</v>
      </c>
      <c r="F547" s="1130" t="str">
        <f>VLOOKUP(E547,$N$13:$O$17,2,0)</f>
        <v>-</v>
      </c>
      <c r="G547" s="92"/>
      <c r="H547" s="90"/>
      <c r="I547" s="1125"/>
      <c r="J547" s="1133"/>
      <c r="K547" s="1133"/>
      <c r="L547" s="916"/>
      <c r="M547" s="916"/>
    </row>
    <row r="548" spans="1:13" s="103" customFormat="1" ht="15.75" hidden="1" customHeight="1" outlineLevel="1">
      <c r="A548" s="916"/>
      <c r="B548" s="1123"/>
      <c r="C548" s="1127"/>
      <c r="D548" s="1125"/>
      <c r="E548" s="1125"/>
      <c r="F548" s="1130"/>
      <c r="G548" s="95"/>
      <c r="H548" s="90"/>
      <c r="I548" s="1125"/>
      <c r="J548" s="1134"/>
      <c r="K548" s="1134"/>
      <c r="L548" s="916"/>
      <c r="M548" s="916"/>
    </row>
    <row r="549" spans="1:13" s="103" customFormat="1" ht="15.75" hidden="1" customHeight="1" outlineLevel="1">
      <c r="A549" s="916"/>
      <c r="B549" s="1124"/>
      <c r="C549" s="1128"/>
      <c r="D549" s="1126"/>
      <c r="E549" s="1126"/>
      <c r="F549" s="1132"/>
      <c r="G549" s="100"/>
      <c r="H549" s="98"/>
      <c r="I549" s="1126"/>
      <c r="J549" s="1135"/>
      <c r="K549" s="1135"/>
      <c r="L549" s="916"/>
      <c r="M549" s="916"/>
    </row>
    <row r="550" spans="1:13" s="103" customFormat="1" ht="15.75" hidden="1" customHeight="1" outlineLevel="1">
      <c r="A550" s="916"/>
      <c r="B550" s="1123">
        <v>180</v>
      </c>
      <c r="C550" s="1127"/>
      <c r="D550" s="1125"/>
      <c r="E550" s="1125" t="s">
        <v>18</v>
      </c>
      <c r="F550" s="1130" t="str">
        <f>VLOOKUP(E550,$N$13:$O$17,2,0)</f>
        <v>-</v>
      </c>
      <c r="G550" s="92"/>
      <c r="H550" s="90"/>
      <c r="I550" s="1125"/>
      <c r="J550" s="1133"/>
      <c r="K550" s="1133"/>
      <c r="L550" s="916"/>
      <c r="M550" s="916"/>
    </row>
    <row r="551" spans="1:13" s="103" customFormat="1" ht="15.75" hidden="1" customHeight="1" outlineLevel="1">
      <c r="A551" s="916"/>
      <c r="B551" s="1123"/>
      <c r="C551" s="1127"/>
      <c r="D551" s="1125"/>
      <c r="E551" s="1125"/>
      <c r="F551" s="1130"/>
      <c r="G551" s="95"/>
      <c r="H551" s="90"/>
      <c r="I551" s="1125"/>
      <c r="J551" s="1134"/>
      <c r="K551" s="1134"/>
      <c r="L551" s="916"/>
      <c r="M551" s="916"/>
    </row>
    <row r="552" spans="1:13" s="103" customFormat="1" ht="15.75" hidden="1" customHeight="1" outlineLevel="1">
      <c r="A552" s="916"/>
      <c r="B552" s="1124"/>
      <c r="C552" s="1128"/>
      <c r="D552" s="1126"/>
      <c r="E552" s="1126"/>
      <c r="F552" s="1132"/>
      <c r="G552" s="100"/>
      <c r="H552" s="98"/>
      <c r="I552" s="1126"/>
      <c r="J552" s="1135"/>
      <c r="K552" s="1135"/>
      <c r="L552" s="916"/>
      <c r="M552" s="916"/>
    </row>
    <row r="553" spans="1:13" s="103" customFormat="1" ht="15.75" hidden="1" customHeight="1" outlineLevel="1">
      <c r="A553" s="916"/>
      <c r="B553" s="1123">
        <v>181</v>
      </c>
      <c r="C553" s="1127"/>
      <c r="D553" s="1125"/>
      <c r="E553" s="1125" t="s">
        <v>18</v>
      </c>
      <c r="F553" s="1130" t="str">
        <f>VLOOKUP(E553,$N$13:$O$17,2,0)</f>
        <v>-</v>
      </c>
      <c r="G553" s="92"/>
      <c r="H553" s="90"/>
      <c r="I553" s="1125"/>
      <c r="J553" s="1133"/>
      <c r="K553" s="1133"/>
      <c r="L553" s="916"/>
      <c r="M553" s="916"/>
    </row>
    <row r="554" spans="1:13" s="103" customFormat="1" ht="15.75" hidden="1" customHeight="1" outlineLevel="1">
      <c r="A554" s="916"/>
      <c r="B554" s="1123"/>
      <c r="C554" s="1127"/>
      <c r="D554" s="1125"/>
      <c r="E554" s="1125"/>
      <c r="F554" s="1130"/>
      <c r="G554" s="95"/>
      <c r="H554" s="90"/>
      <c r="I554" s="1125"/>
      <c r="J554" s="1134"/>
      <c r="K554" s="1134"/>
      <c r="L554" s="916"/>
      <c r="M554" s="916"/>
    </row>
    <row r="555" spans="1:13" s="103" customFormat="1" ht="15.75" hidden="1" customHeight="1" outlineLevel="1">
      <c r="A555" s="916"/>
      <c r="B555" s="1124"/>
      <c r="C555" s="1128"/>
      <c r="D555" s="1126"/>
      <c r="E555" s="1126"/>
      <c r="F555" s="1132"/>
      <c r="G555" s="100"/>
      <c r="H555" s="98"/>
      <c r="I555" s="1126"/>
      <c r="J555" s="1135"/>
      <c r="K555" s="1135"/>
      <c r="L555" s="916"/>
      <c r="M555" s="916"/>
    </row>
    <row r="556" spans="1:13" s="103" customFormat="1" ht="15.75" hidden="1" customHeight="1" outlineLevel="1">
      <c r="A556" s="916"/>
      <c r="B556" s="1123">
        <v>182</v>
      </c>
      <c r="C556" s="1127"/>
      <c r="D556" s="1125"/>
      <c r="E556" s="1125" t="s">
        <v>18</v>
      </c>
      <c r="F556" s="1130" t="str">
        <f>VLOOKUP(E556,$N$13:$O$17,2,0)</f>
        <v>-</v>
      </c>
      <c r="G556" s="92"/>
      <c r="H556" s="90"/>
      <c r="I556" s="1125"/>
      <c r="J556" s="1133"/>
      <c r="K556" s="1133"/>
      <c r="L556" s="916"/>
      <c r="M556" s="916"/>
    </row>
    <row r="557" spans="1:13" s="103" customFormat="1" ht="15.75" hidden="1" customHeight="1" outlineLevel="1">
      <c r="A557" s="916"/>
      <c r="B557" s="1123"/>
      <c r="C557" s="1127"/>
      <c r="D557" s="1125"/>
      <c r="E557" s="1125"/>
      <c r="F557" s="1130"/>
      <c r="G557" s="95"/>
      <c r="H557" s="90"/>
      <c r="I557" s="1125"/>
      <c r="J557" s="1134"/>
      <c r="K557" s="1134"/>
      <c r="L557" s="916"/>
      <c r="M557" s="916"/>
    </row>
    <row r="558" spans="1:13" s="103" customFormat="1" ht="15.75" hidden="1" customHeight="1" outlineLevel="1">
      <c r="A558" s="916"/>
      <c r="B558" s="1124"/>
      <c r="C558" s="1128"/>
      <c r="D558" s="1126"/>
      <c r="E558" s="1126"/>
      <c r="F558" s="1132"/>
      <c r="G558" s="100"/>
      <c r="H558" s="98"/>
      <c r="I558" s="1126"/>
      <c r="J558" s="1135"/>
      <c r="K558" s="1135"/>
      <c r="L558" s="916"/>
      <c r="M558" s="916"/>
    </row>
    <row r="559" spans="1:13" s="103" customFormat="1" ht="15.75" hidden="1" customHeight="1" outlineLevel="1">
      <c r="A559" s="916"/>
      <c r="B559" s="1123">
        <v>183</v>
      </c>
      <c r="C559" s="1127"/>
      <c r="D559" s="1125"/>
      <c r="E559" s="1125" t="s">
        <v>18</v>
      </c>
      <c r="F559" s="1130" t="str">
        <f>VLOOKUP(E559,$N$13:$O$17,2,0)</f>
        <v>-</v>
      </c>
      <c r="G559" s="92"/>
      <c r="H559" s="90"/>
      <c r="I559" s="1125"/>
      <c r="J559" s="1133"/>
      <c r="K559" s="1133"/>
      <c r="L559" s="916"/>
      <c r="M559" s="916"/>
    </row>
    <row r="560" spans="1:13" s="103" customFormat="1" ht="15.75" hidden="1" customHeight="1" outlineLevel="1">
      <c r="A560" s="916"/>
      <c r="B560" s="1123"/>
      <c r="C560" s="1127"/>
      <c r="D560" s="1125"/>
      <c r="E560" s="1125"/>
      <c r="F560" s="1130"/>
      <c r="G560" s="95"/>
      <c r="H560" s="90"/>
      <c r="I560" s="1125"/>
      <c r="J560" s="1134"/>
      <c r="K560" s="1134"/>
      <c r="L560" s="916"/>
      <c r="M560" s="916"/>
    </row>
    <row r="561" spans="1:13" s="103" customFormat="1" ht="15.75" hidden="1" customHeight="1" outlineLevel="1">
      <c r="A561" s="916"/>
      <c r="B561" s="1124"/>
      <c r="C561" s="1128"/>
      <c r="D561" s="1126"/>
      <c r="E561" s="1126"/>
      <c r="F561" s="1132"/>
      <c r="G561" s="100"/>
      <c r="H561" s="98"/>
      <c r="I561" s="1126"/>
      <c r="J561" s="1135"/>
      <c r="K561" s="1135"/>
      <c r="L561" s="916"/>
      <c r="M561" s="916"/>
    </row>
    <row r="562" spans="1:13" s="103" customFormat="1" ht="15.75" hidden="1" customHeight="1" outlineLevel="1">
      <c r="A562" s="916"/>
      <c r="B562" s="1123">
        <v>184</v>
      </c>
      <c r="C562" s="1127"/>
      <c r="D562" s="1125"/>
      <c r="E562" s="1125" t="s">
        <v>18</v>
      </c>
      <c r="F562" s="1130" t="str">
        <f>VLOOKUP(E562,$N$13:$O$17,2,0)</f>
        <v>-</v>
      </c>
      <c r="G562" s="92"/>
      <c r="H562" s="90"/>
      <c r="I562" s="1125"/>
      <c r="J562" s="1133"/>
      <c r="K562" s="1133"/>
      <c r="L562" s="916"/>
      <c r="M562" s="916"/>
    </row>
    <row r="563" spans="1:13" s="103" customFormat="1" ht="15.75" hidden="1" customHeight="1" outlineLevel="1">
      <c r="A563" s="916"/>
      <c r="B563" s="1123"/>
      <c r="C563" s="1127"/>
      <c r="D563" s="1125"/>
      <c r="E563" s="1125"/>
      <c r="F563" s="1130"/>
      <c r="G563" s="95"/>
      <c r="H563" s="90"/>
      <c r="I563" s="1125"/>
      <c r="J563" s="1134"/>
      <c r="K563" s="1134"/>
      <c r="L563" s="916"/>
      <c r="M563" s="916"/>
    </row>
    <row r="564" spans="1:13" s="103" customFormat="1" ht="15.75" hidden="1" customHeight="1" outlineLevel="1">
      <c r="A564" s="916"/>
      <c r="B564" s="1124"/>
      <c r="C564" s="1128"/>
      <c r="D564" s="1126"/>
      <c r="E564" s="1126"/>
      <c r="F564" s="1132"/>
      <c r="G564" s="100"/>
      <c r="H564" s="98"/>
      <c r="I564" s="1126"/>
      <c r="J564" s="1135"/>
      <c r="K564" s="1135"/>
      <c r="L564" s="916"/>
      <c r="M564" s="916"/>
    </row>
    <row r="565" spans="1:13" s="103" customFormat="1" ht="15.75" hidden="1" customHeight="1" outlineLevel="1">
      <c r="A565" s="916"/>
      <c r="B565" s="1123">
        <v>185</v>
      </c>
      <c r="C565" s="1127"/>
      <c r="D565" s="1125"/>
      <c r="E565" s="1125" t="s">
        <v>18</v>
      </c>
      <c r="F565" s="1130" t="str">
        <f>VLOOKUP(E565,$N$13:$O$17,2,0)</f>
        <v>-</v>
      </c>
      <c r="G565" s="92"/>
      <c r="H565" s="90"/>
      <c r="I565" s="1125"/>
      <c r="J565" s="1133"/>
      <c r="K565" s="1133"/>
      <c r="L565" s="916"/>
      <c r="M565" s="916"/>
    </row>
    <row r="566" spans="1:13" s="103" customFormat="1" ht="15.75" hidden="1" customHeight="1" outlineLevel="1">
      <c r="A566" s="916"/>
      <c r="B566" s="1123"/>
      <c r="C566" s="1127"/>
      <c r="D566" s="1125"/>
      <c r="E566" s="1125"/>
      <c r="F566" s="1130"/>
      <c r="G566" s="95"/>
      <c r="H566" s="90"/>
      <c r="I566" s="1125"/>
      <c r="J566" s="1134"/>
      <c r="K566" s="1134"/>
      <c r="L566" s="916"/>
      <c r="M566" s="916"/>
    </row>
    <row r="567" spans="1:13" s="103" customFormat="1" ht="15.75" hidden="1" customHeight="1" outlineLevel="1">
      <c r="A567" s="916"/>
      <c r="B567" s="1124"/>
      <c r="C567" s="1128"/>
      <c r="D567" s="1126"/>
      <c r="E567" s="1126"/>
      <c r="F567" s="1132"/>
      <c r="G567" s="100"/>
      <c r="H567" s="98"/>
      <c r="I567" s="1126"/>
      <c r="J567" s="1135"/>
      <c r="K567" s="1135"/>
      <c r="L567" s="916"/>
      <c r="M567" s="916"/>
    </row>
    <row r="568" spans="1:13" s="103" customFormat="1" ht="15.75" hidden="1" customHeight="1" outlineLevel="1">
      <c r="A568" s="916"/>
      <c r="B568" s="1123">
        <v>186</v>
      </c>
      <c r="C568" s="1127"/>
      <c r="D568" s="1125"/>
      <c r="E568" s="1125" t="s">
        <v>18</v>
      </c>
      <c r="F568" s="1130" t="str">
        <f>VLOOKUP(E568,$N$13:$O$17,2,0)</f>
        <v>-</v>
      </c>
      <c r="G568" s="92"/>
      <c r="H568" s="90"/>
      <c r="I568" s="1125"/>
      <c r="J568" s="1133"/>
      <c r="K568" s="1133"/>
      <c r="L568" s="916"/>
      <c r="M568" s="916"/>
    </row>
    <row r="569" spans="1:13" s="103" customFormat="1" ht="15.75" hidden="1" customHeight="1" outlineLevel="1">
      <c r="A569" s="916"/>
      <c r="B569" s="1123"/>
      <c r="C569" s="1127"/>
      <c r="D569" s="1125"/>
      <c r="E569" s="1125"/>
      <c r="F569" s="1130"/>
      <c r="G569" s="95"/>
      <c r="H569" s="90"/>
      <c r="I569" s="1125"/>
      <c r="J569" s="1134"/>
      <c r="K569" s="1134"/>
      <c r="L569" s="916"/>
      <c r="M569" s="916"/>
    </row>
    <row r="570" spans="1:13" s="103" customFormat="1" ht="15.75" hidden="1" customHeight="1" outlineLevel="1">
      <c r="A570" s="916"/>
      <c r="B570" s="1124"/>
      <c r="C570" s="1128"/>
      <c r="D570" s="1126"/>
      <c r="E570" s="1126"/>
      <c r="F570" s="1132"/>
      <c r="G570" s="100"/>
      <c r="H570" s="98"/>
      <c r="I570" s="1126"/>
      <c r="J570" s="1135"/>
      <c r="K570" s="1135"/>
      <c r="L570" s="916"/>
      <c r="M570" s="916"/>
    </row>
    <row r="571" spans="1:13" s="103" customFormat="1" ht="15.75" hidden="1" customHeight="1" outlineLevel="1">
      <c r="A571" s="916"/>
      <c r="B571" s="1123">
        <v>187</v>
      </c>
      <c r="C571" s="1127"/>
      <c r="D571" s="1125"/>
      <c r="E571" s="1125" t="s">
        <v>18</v>
      </c>
      <c r="F571" s="1130" t="str">
        <f>VLOOKUP(E571,$N$13:$O$17,2,0)</f>
        <v>-</v>
      </c>
      <c r="G571" s="92"/>
      <c r="H571" s="90"/>
      <c r="I571" s="1125"/>
      <c r="J571" s="1133"/>
      <c r="K571" s="1133"/>
      <c r="L571" s="916"/>
      <c r="M571" s="916"/>
    </row>
    <row r="572" spans="1:13" s="103" customFormat="1" ht="15.75" hidden="1" customHeight="1" outlineLevel="1">
      <c r="A572" s="916"/>
      <c r="B572" s="1123"/>
      <c r="C572" s="1127"/>
      <c r="D572" s="1125"/>
      <c r="E572" s="1125"/>
      <c r="F572" s="1130"/>
      <c r="G572" s="95"/>
      <c r="H572" s="90"/>
      <c r="I572" s="1125"/>
      <c r="J572" s="1134"/>
      <c r="K572" s="1134"/>
      <c r="L572" s="916"/>
      <c r="M572" s="916"/>
    </row>
    <row r="573" spans="1:13" s="103" customFormat="1" ht="15.75" hidden="1" customHeight="1" outlineLevel="1">
      <c r="A573" s="916"/>
      <c r="B573" s="1124"/>
      <c r="C573" s="1128"/>
      <c r="D573" s="1126"/>
      <c r="E573" s="1126"/>
      <c r="F573" s="1132"/>
      <c r="G573" s="100"/>
      <c r="H573" s="98"/>
      <c r="I573" s="1126"/>
      <c r="J573" s="1135"/>
      <c r="K573" s="1135"/>
      <c r="L573" s="916"/>
      <c r="M573" s="916"/>
    </row>
    <row r="574" spans="1:13" s="103" customFormat="1" ht="15.75" hidden="1" customHeight="1" outlineLevel="1">
      <c r="A574" s="916"/>
      <c r="B574" s="1123">
        <v>188</v>
      </c>
      <c r="C574" s="1127"/>
      <c r="D574" s="1125"/>
      <c r="E574" s="1125" t="s">
        <v>18</v>
      </c>
      <c r="F574" s="1130" t="str">
        <f>VLOOKUP(E574,$N$13:$O$17,2,0)</f>
        <v>-</v>
      </c>
      <c r="G574" s="92"/>
      <c r="H574" s="90"/>
      <c r="I574" s="1125"/>
      <c r="J574" s="1133"/>
      <c r="K574" s="1133"/>
      <c r="L574" s="916"/>
      <c r="M574" s="916"/>
    </row>
    <row r="575" spans="1:13" s="103" customFormat="1" ht="15.75" hidden="1" customHeight="1" outlineLevel="1">
      <c r="A575" s="916"/>
      <c r="B575" s="1123"/>
      <c r="C575" s="1127"/>
      <c r="D575" s="1125"/>
      <c r="E575" s="1125"/>
      <c r="F575" s="1130"/>
      <c r="G575" s="95"/>
      <c r="H575" s="90"/>
      <c r="I575" s="1125"/>
      <c r="J575" s="1134"/>
      <c r="K575" s="1134"/>
      <c r="L575" s="916"/>
      <c r="M575" s="916"/>
    </row>
    <row r="576" spans="1:13" s="103" customFormat="1" ht="15.75" hidden="1" customHeight="1" outlineLevel="1">
      <c r="A576" s="916"/>
      <c r="B576" s="1124"/>
      <c r="C576" s="1128"/>
      <c r="D576" s="1126"/>
      <c r="E576" s="1126"/>
      <c r="F576" s="1132"/>
      <c r="G576" s="100"/>
      <c r="H576" s="98"/>
      <c r="I576" s="1126"/>
      <c r="J576" s="1135"/>
      <c r="K576" s="1135"/>
      <c r="L576" s="916"/>
      <c r="M576" s="916"/>
    </row>
    <row r="577" spans="1:13" s="103" customFormat="1" ht="15.75" hidden="1" customHeight="1" outlineLevel="1">
      <c r="A577" s="916"/>
      <c r="B577" s="1123">
        <v>189</v>
      </c>
      <c r="C577" s="1127"/>
      <c r="D577" s="1125"/>
      <c r="E577" s="1125" t="s">
        <v>18</v>
      </c>
      <c r="F577" s="1130" t="str">
        <f>VLOOKUP(E577,$N$13:$O$17,2,0)</f>
        <v>-</v>
      </c>
      <c r="G577" s="92"/>
      <c r="H577" s="90"/>
      <c r="I577" s="1125"/>
      <c r="J577" s="1133"/>
      <c r="K577" s="1133"/>
      <c r="L577" s="916"/>
      <c r="M577" s="916"/>
    </row>
    <row r="578" spans="1:13" s="103" customFormat="1" ht="15.75" hidden="1" customHeight="1" outlineLevel="1">
      <c r="A578" s="916"/>
      <c r="B578" s="1123"/>
      <c r="C578" s="1127"/>
      <c r="D578" s="1125"/>
      <c r="E578" s="1125"/>
      <c r="F578" s="1130"/>
      <c r="G578" s="95"/>
      <c r="H578" s="90"/>
      <c r="I578" s="1125"/>
      <c r="J578" s="1134"/>
      <c r="K578" s="1134"/>
      <c r="L578" s="916"/>
      <c r="M578" s="916"/>
    </row>
    <row r="579" spans="1:13" s="103" customFormat="1" ht="15.75" hidden="1" customHeight="1" outlineLevel="1">
      <c r="A579" s="916"/>
      <c r="B579" s="1124"/>
      <c r="C579" s="1128"/>
      <c r="D579" s="1126"/>
      <c r="E579" s="1126"/>
      <c r="F579" s="1132"/>
      <c r="G579" s="100"/>
      <c r="H579" s="98"/>
      <c r="I579" s="1126"/>
      <c r="J579" s="1135"/>
      <c r="K579" s="1135"/>
      <c r="L579" s="916"/>
      <c r="M579" s="916"/>
    </row>
    <row r="580" spans="1:13" s="103" customFormat="1" ht="15.75" hidden="1" customHeight="1" outlineLevel="1">
      <c r="A580" s="916"/>
      <c r="B580" s="1123">
        <v>190</v>
      </c>
      <c r="C580" s="1127"/>
      <c r="D580" s="1125"/>
      <c r="E580" s="1125" t="s">
        <v>18</v>
      </c>
      <c r="F580" s="1130" t="str">
        <f>VLOOKUP(E580,$N$13:$O$17,2,0)</f>
        <v>-</v>
      </c>
      <c r="G580" s="92"/>
      <c r="H580" s="90"/>
      <c r="I580" s="1125"/>
      <c r="J580" s="1133"/>
      <c r="K580" s="1133"/>
      <c r="L580" s="916"/>
      <c r="M580" s="916"/>
    </row>
    <row r="581" spans="1:13" s="103" customFormat="1" ht="15.75" hidden="1" customHeight="1" outlineLevel="1">
      <c r="A581" s="916"/>
      <c r="B581" s="1123"/>
      <c r="C581" s="1127"/>
      <c r="D581" s="1125"/>
      <c r="E581" s="1125"/>
      <c r="F581" s="1130"/>
      <c r="G581" s="95"/>
      <c r="H581" s="90"/>
      <c r="I581" s="1125"/>
      <c r="J581" s="1134"/>
      <c r="K581" s="1134"/>
      <c r="L581" s="916"/>
      <c r="M581" s="916"/>
    </row>
    <row r="582" spans="1:13" s="103" customFormat="1" ht="15.75" hidden="1" customHeight="1" outlineLevel="1">
      <c r="A582" s="916"/>
      <c r="B582" s="1124"/>
      <c r="C582" s="1128"/>
      <c r="D582" s="1126"/>
      <c r="E582" s="1126"/>
      <c r="F582" s="1132"/>
      <c r="G582" s="100"/>
      <c r="H582" s="98"/>
      <c r="I582" s="1126"/>
      <c r="J582" s="1135"/>
      <c r="K582" s="1135"/>
      <c r="L582" s="916"/>
      <c r="M582" s="916"/>
    </row>
    <row r="583" spans="1:13" s="103" customFormat="1" ht="15.75" hidden="1" customHeight="1" outlineLevel="1">
      <c r="A583" s="916"/>
      <c r="B583" s="1123">
        <v>191</v>
      </c>
      <c r="C583" s="1127"/>
      <c r="D583" s="1125"/>
      <c r="E583" s="1125" t="s">
        <v>18</v>
      </c>
      <c r="F583" s="1130" t="str">
        <f>VLOOKUP(E583,$N$13:$O$17,2,0)</f>
        <v>-</v>
      </c>
      <c r="G583" s="92"/>
      <c r="H583" s="90"/>
      <c r="I583" s="1125"/>
      <c r="J583" s="1133"/>
      <c r="K583" s="1133"/>
      <c r="L583" s="916"/>
      <c r="M583" s="916"/>
    </row>
    <row r="584" spans="1:13" s="103" customFormat="1" ht="15.75" hidden="1" customHeight="1" outlineLevel="1">
      <c r="A584" s="916"/>
      <c r="B584" s="1123"/>
      <c r="C584" s="1127"/>
      <c r="D584" s="1125"/>
      <c r="E584" s="1125"/>
      <c r="F584" s="1130"/>
      <c r="G584" s="95"/>
      <c r="H584" s="90"/>
      <c r="I584" s="1125"/>
      <c r="J584" s="1134"/>
      <c r="K584" s="1134"/>
      <c r="L584" s="916"/>
      <c r="M584" s="916"/>
    </row>
    <row r="585" spans="1:13" s="103" customFormat="1" ht="15.75" hidden="1" customHeight="1" outlineLevel="1">
      <c r="A585" s="916"/>
      <c r="B585" s="1124"/>
      <c r="C585" s="1128"/>
      <c r="D585" s="1126"/>
      <c r="E585" s="1126"/>
      <c r="F585" s="1132"/>
      <c r="G585" s="100"/>
      <c r="H585" s="98"/>
      <c r="I585" s="1126"/>
      <c r="J585" s="1135"/>
      <c r="K585" s="1135"/>
      <c r="L585" s="916"/>
      <c r="M585" s="916"/>
    </row>
    <row r="586" spans="1:13" s="103" customFormat="1" ht="15.75" hidden="1" customHeight="1" outlineLevel="1">
      <c r="A586" s="916"/>
      <c r="B586" s="1123">
        <v>192</v>
      </c>
      <c r="C586" s="1127"/>
      <c r="D586" s="1125"/>
      <c r="E586" s="1125" t="s">
        <v>18</v>
      </c>
      <c r="F586" s="1130" t="str">
        <f>VLOOKUP(E586,$N$13:$O$17,2,0)</f>
        <v>-</v>
      </c>
      <c r="G586" s="92"/>
      <c r="H586" s="90"/>
      <c r="I586" s="1125"/>
      <c r="J586" s="1133"/>
      <c r="K586" s="1133"/>
      <c r="L586" s="916"/>
      <c r="M586" s="916"/>
    </row>
    <row r="587" spans="1:13" s="103" customFormat="1" ht="15.75" hidden="1" customHeight="1" outlineLevel="1">
      <c r="A587" s="916"/>
      <c r="B587" s="1123"/>
      <c r="C587" s="1127"/>
      <c r="D587" s="1125"/>
      <c r="E587" s="1125"/>
      <c r="F587" s="1130"/>
      <c r="G587" s="95"/>
      <c r="H587" s="90"/>
      <c r="I587" s="1125"/>
      <c r="J587" s="1134"/>
      <c r="K587" s="1134"/>
      <c r="L587" s="916"/>
      <c r="M587" s="916"/>
    </row>
    <row r="588" spans="1:13" s="103" customFormat="1" ht="15.75" hidden="1" customHeight="1" outlineLevel="1">
      <c r="A588" s="916"/>
      <c r="B588" s="1124"/>
      <c r="C588" s="1128"/>
      <c r="D588" s="1126"/>
      <c r="E588" s="1126"/>
      <c r="F588" s="1132"/>
      <c r="G588" s="100"/>
      <c r="H588" s="98"/>
      <c r="I588" s="1126"/>
      <c r="J588" s="1135"/>
      <c r="K588" s="1135"/>
      <c r="L588" s="916"/>
      <c r="M588" s="916"/>
    </row>
    <row r="589" spans="1:13" s="103" customFormat="1" ht="15.75" hidden="1" customHeight="1" outlineLevel="1">
      <c r="A589" s="916"/>
      <c r="B589" s="1123">
        <v>193</v>
      </c>
      <c r="C589" s="1127"/>
      <c r="D589" s="1125"/>
      <c r="E589" s="1125" t="s">
        <v>18</v>
      </c>
      <c r="F589" s="1130" t="str">
        <f>VLOOKUP(E589,$N$13:$O$17,2,0)</f>
        <v>-</v>
      </c>
      <c r="G589" s="92"/>
      <c r="H589" s="90"/>
      <c r="I589" s="1125"/>
      <c r="J589" s="1133"/>
      <c r="K589" s="1133"/>
      <c r="L589" s="916"/>
      <c r="M589" s="916"/>
    </row>
    <row r="590" spans="1:13" s="103" customFormat="1" ht="15.75" hidden="1" customHeight="1" outlineLevel="1">
      <c r="A590" s="916"/>
      <c r="B590" s="1123"/>
      <c r="C590" s="1127"/>
      <c r="D590" s="1125"/>
      <c r="E590" s="1125"/>
      <c r="F590" s="1130"/>
      <c r="G590" s="95"/>
      <c r="H590" s="90"/>
      <c r="I590" s="1125"/>
      <c r="J590" s="1134"/>
      <c r="K590" s="1134"/>
      <c r="L590" s="916"/>
      <c r="M590" s="916"/>
    </row>
    <row r="591" spans="1:13" s="103" customFormat="1" ht="15.75" hidden="1" customHeight="1" outlineLevel="1">
      <c r="A591" s="916"/>
      <c r="B591" s="1124"/>
      <c r="C591" s="1128"/>
      <c r="D591" s="1126"/>
      <c r="E591" s="1126"/>
      <c r="F591" s="1132"/>
      <c r="G591" s="100"/>
      <c r="H591" s="98"/>
      <c r="I591" s="1126"/>
      <c r="J591" s="1135"/>
      <c r="K591" s="1135"/>
      <c r="L591" s="916"/>
      <c r="M591" s="916"/>
    </row>
    <row r="592" spans="1:13" s="103" customFormat="1" ht="15.75" hidden="1" customHeight="1" outlineLevel="1">
      <c r="A592" s="916"/>
      <c r="B592" s="1123">
        <v>194</v>
      </c>
      <c r="C592" s="1127"/>
      <c r="D592" s="1125"/>
      <c r="E592" s="1125" t="s">
        <v>18</v>
      </c>
      <c r="F592" s="1130" t="str">
        <f>VLOOKUP(E592,$N$13:$O$17,2,0)</f>
        <v>-</v>
      </c>
      <c r="G592" s="92"/>
      <c r="H592" s="90"/>
      <c r="I592" s="1125"/>
      <c r="J592" s="1133"/>
      <c r="K592" s="1133"/>
      <c r="L592" s="916"/>
      <c r="M592" s="916"/>
    </row>
    <row r="593" spans="1:13" s="103" customFormat="1" ht="15.75" hidden="1" customHeight="1" outlineLevel="1">
      <c r="A593" s="916"/>
      <c r="B593" s="1123"/>
      <c r="C593" s="1127"/>
      <c r="D593" s="1125"/>
      <c r="E593" s="1125"/>
      <c r="F593" s="1130"/>
      <c r="G593" s="95"/>
      <c r="H593" s="90"/>
      <c r="I593" s="1125"/>
      <c r="J593" s="1134"/>
      <c r="K593" s="1134"/>
      <c r="L593" s="916"/>
      <c r="M593" s="916"/>
    </row>
    <row r="594" spans="1:13" s="103" customFormat="1" ht="15.75" hidden="1" customHeight="1" outlineLevel="1">
      <c r="A594" s="916"/>
      <c r="B594" s="1124"/>
      <c r="C594" s="1128"/>
      <c r="D594" s="1126"/>
      <c r="E594" s="1126"/>
      <c r="F594" s="1132"/>
      <c r="G594" s="100"/>
      <c r="H594" s="98"/>
      <c r="I594" s="1126"/>
      <c r="J594" s="1135"/>
      <c r="K594" s="1135"/>
      <c r="L594" s="916"/>
      <c r="M594" s="916"/>
    </row>
    <row r="595" spans="1:13" s="103" customFormat="1" ht="15.75" hidden="1" customHeight="1" outlineLevel="1">
      <c r="A595" s="916"/>
      <c r="B595" s="1123">
        <v>195</v>
      </c>
      <c r="C595" s="1127"/>
      <c r="D595" s="1125"/>
      <c r="E595" s="1125" t="s">
        <v>18</v>
      </c>
      <c r="F595" s="1130" t="str">
        <f>VLOOKUP(E595,$N$13:$O$17,2,0)</f>
        <v>-</v>
      </c>
      <c r="G595" s="92"/>
      <c r="H595" s="90"/>
      <c r="I595" s="1125"/>
      <c r="J595" s="1133"/>
      <c r="K595" s="1133"/>
      <c r="L595" s="916"/>
      <c r="M595" s="916"/>
    </row>
    <row r="596" spans="1:13" s="103" customFormat="1" ht="15.75" hidden="1" customHeight="1" outlineLevel="1">
      <c r="A596" s="916"/>
      <c r="B596" s="1123"/>
      <c r="C596" s="1127"/>
      <c r="D596" s="1125"/>
      <c r="E596" s="1125"/>
      <c r="F596" s="1130"/>
      <c r="G596" s="95"/>
      <c r="H596" s="90"/>
      <c r="I596" s="1125"/>
      <c r="J596" s="1134"/>
      <c r="K596" s="1134"/>
      <c r="L596" s="916"/>
      <c r="M596" s="916"/>
    </row>
    <row r="597" spans="1:13" s="103" customFormat="1" ht="15.75" hidden="1" customHeight="1" outlineLevel="1">
      <c r="A597" s="916"/>
      <c r="B597" s="1124"/>
      <c r="C597" s="1128"/>
      <c r="D597" s="1126"/>
      <c r="E597" s="1126"/>
      <c r="F597" s="1132"/>
      <c r="G597" s="100"/>
      <c r="H597" s="98"/>
      <c r="I597" s="1126"/>
      <c r="J597" s="1135"/>
      <c r="K597" s="1135"/>
      <c r="L597" s="916"/>
      <c r="M597" s="916"/>
    </row>
    <row r="598" spans="1:13" s="103" customFormat="1" ht="15.75" hidden="1" customHeight="1" outlineLevel="1">
      <c r="A598" s="916"/>
      <c r="B598" s="1123">
        <v>196</v>
      </c>
      <c r="C598" s="1127"/>
      <c r="D598" s="1125"/>
      <c r="E598" s="1125" t="s">
        <v>18</v>
      </c>
      <c r="F598" s="1130" t="str">
        <f>VLOOKUP(E598,$N$13:$O$17,2,0)</f>
        <v>-</v>
      </c>
      <c r="G598" s="92"/>
      <c r="H598" s="90"/>
      <c r="I598" s="1125"/>
      <c r="J598" s="1133"/>
      <c r="K598" s="1133"/>
      <c r="L598" s="916"/>
      <c r="M598" s="916"/>
    </row>
    <row r="599" spans="1:13" s="103" customFormat="1" ht="15.75" hidden="1" customHeight="1" outlineLevel="1">
      <c r="A599" s="916"/>
      <c r="B599" s="1123"/>
      <c r="C599" s="1127"/>
      <c r="D599" s="1125"/>
      <c r="E599" s="1125"/>
      <c r="F599" s="1130"/>
      <c r="G599" s="95"/>
      <c r="H599" s="90"/>
      <c r="I599" s="1125"/>
      <c r="J599" s="1134"/>
      <c r="K599" s="1134"/>
      <c r="L599" s="916"/>
      <c r="M599" s="916"/>
    </row>
    <row r="600" spans="1:13" s="103" customFormat="1" ht="15.75" hidden="1" customHeight="1" outlineLevel="1">
      <c r="A600" s="916"/>
      <c r="B600" s="1124"/>
      <c r="C600" s="1128"/>
      <c r="D600" s="1126"/>
      <c r="E600" s="1126"/>
      <c r="F600" s="1132"/>
      <c r="G600" s="100"/>
      <c r="H600" s="98"/>
      <c r="I600" s="1126"/>
      <c r="J600" s="1135"/>
      <c r="K600" s="1135"/>
      <c r="L600" s="916"/>
      <c r="M600" s="916"/>
    </row>
    <row r="601" spans="1:13" s="103" customFormat="1" ht="15.75" hidden="1" customHeight="1" outlineLevel="1">
      <c r="A601" s="916"/>
      <c r="B601" s="1123">
        <v>197</v>
      </c>
      <c r="C601" s="1127"/>
      <c r="D601" s="1125"/>
      <c r="E601" s="1125" t="s">
        <v>18</v>
      </c>
      <c r="F601" s="1130" t="str">
        <f>VLOOKUP(E601,$N$13:$O$17,2,0)</f>
        <v>-</v>
      </c>
      <c r="G601" s="92"/>
      <c r="H601" s="90"/>
      <c r="I601" s="1125"/>
      <c r="J601" s="1133"/>
      <c r="K601" s="1133"/>
      <c r="L601" s="916"/>
      <c r="M601" s="916"/>
    </row>
    <row r="602" spans="1:13" s="103" customFormat="1" ht="15.75" hidden="1" customHeight="1" outlineLevel="1">
      <c r="A602" s="916"/>
      <c r="B602" s="1123"/>
      <c r="C602" s="1127"/>
      <c r="D602" s="1125"/>
      <c r="E602" s="1125"/>
      <c r="F602" s="1130"/>
      <c r="G602" s="95"/>
      <c r="H602" s="90"/>
      <c r="I602" s="1125"/>
      <c r="J602" s="1134"/>
      <c r="K602" s="1134"/>
      <c r="L602" s="916"/>
      <c r="M602" s="916"/>
    </row>
    <row r="603" spans="1:13" s="103" customFormat="1" ht="15.75" hidden="1" customHeight="1" outlineLevel="1">
      <c r="A603" s="916"/>
      <c r="B603" s="1124"/>
      <c r="C603" s="1128"/>
      <c r="D603" s="1126"/>
      <c r="E603" s="1126"/>
      <c r="F603" s="1132"/>
      <c r="G603" s="100"/>
      <c r="H603" s="98"/>
      <c r="I603" s="1126"/>
      <c r="J603" s="1135"/>
      <c r="K603" s="1135"/>
      <c r="L603" s="916"/>
      <c r="M603" s="916"/>
    </row>
    <row r="604" spans="1:13" s="103" customFormat="1" ht="15.75" hidden="1" customHeight="1" outlineLevel="1">
      <c r="A604" s="916"/>
      <c r="B604" s="1123">
        <v>198</v>
      </c>
      <c r="C604" s="1127"/>
      <c r="D604" s="1125"/>
      <c r="E604" s="1125" t="s">
        <v>18</v>
      </c>
      <c r="F604" s="1130" t="str">
        <f>VLOOKUP(E604,$N$13:$O$17,2,0)</f>
        <v>-</v>
      </c>
      <c r="G604" s="92"/>
      <c r="H604" s="90"/>
      <c r="I604" s="1125"/>
      <c r="J604" s="1133"/>
      <c r="K604" s="1133"/>
      <c r="L604" s="916"/>
      <c r="M604" s="916"/>
    </row>
    <row r="605" spans="1:13" s="103" customFormat="1" ht="15.75" hidden="1" customHeight="1" outlineLevel="1">
      <c r="A605" s="916"/>
      <c r="B605" s="1123"/>
      <c r="C605" s="1127"/>
      <c r="D605" s="1125"/>
      <c r="E605" s="1125"/>
      <c r="F605" s="1130"/>
      <c r="G605" s="95"/>
      <c r="H605" s="90"/>
      <c r="I605" s="1125"/>
      <c r="J605" s="1134"/>
      <c r="K605" s="1134"/>
      <c r="L605" s="916"/>
      <c r="M605" s="916"/>
    </row>
    <row r="606" spans="1:13" s="103" customFormat="1" ht="15.75" hidden="1" customHeight="1" outlineLevel="1">
      <c r="A606" s="916"/>
      <c r="B606" s="1124"/>
      <c r="C606" s="1128"/>
      <c r="D606" s="1126"/>
      <c r="E606" s="1126"/>
      <c r="F606" s="1132"/>
      <c r="G606" s="100"/>
      <c r="H606" s="98"/>
      <c r="I606" s="1126"/>
      <c r="J606" s="1135"/>
      <c r="K606" s="1135"/>
      <c r="L606" s="916"/>
      <c r="M606" s="916"/>
    </row>
    <row r="607" spans="1:13" s="103" customFormat="1" ht="15.75" hidden="1" customHeight="1" outlineLevel="1">
      <c r="A607" s="916"/>
      <c r="B607" s="1123">
        <v>199</v>
      </c>
      <c r="C607" s="1127"/>
      <c r="D607" s="1125"/>
      <c r="E607" s="1125" t="s">
        <v>18</v>
      </c>
      <c r="F607" s="1130" t="str">
        <f>VLOOKUP(E607,$N$13:$O$17,2,0)</f>
        <v>-</v>
      </c>
      <c r="G607" s="92"/>
      <c r="H607" s="90"/>
      <c r="I607" s="1125"/>
      <c r="J607" s="1133"/>
      <c r="K607" s="1133"/>
      <c r="L607" s="916"/>
      <c r="M607" s="916"/>
    </row>
    <row r="608" spans="1:13" s="103" customFormat="1" ht="15.75" hidden="1" customHeight="1" outlineLevel="1">
      <c r="A608" s="916"/>
      <c r="B608" s="1123"/>
      <c r="C608" s="1127"/>
      <c r="D608" s="1125"/>
      <c r="E608" s="1125"/>
      <c r="F608" s="1130"/>
      <c r="G608" s="95"/>
      <c r="H608" s="90"/>
      <c r="I608" s="1125"/>
      <c r="J608" s="1134"/>
      <c r="K608" s="1134"/>
      <c r="L608" s="916"/>
      <c r="M608" s="916"/>
    </row>
    <row r="609" spans="1:13" s="103" customFormat="1" ht="15.75" hidden="1" customHeight="1" outlineLevel="1">
      <c r="A609" s="916"/>
      <c r="B609" s="1124"/>
      <c r="C609" s="1128"/>
      <c r="D609" s="1126"/>
      <c r="E609" s="1126"/>
      <c r="F609" s="1132"/>
      <c r="G609" s="100"/>
      <c r="H609" s="98"/>
      <c r="I609" s="1126"/>
      <c r="J609" s="1135"/>
      <c r="K609" s="1135"/>
      <c r="L609" s="916"/>
      <c r="M609" s="916"/>
    </row>
    <row r="610" spans="1:13" s="103" customFormat="1" ht="15.75" hidden="1" customHeight="1" outlineLevel="1">
      <c r="A610" s="916"/>
      <c r="B610" s="1123">
        <v>200</v>
      </c>
      <c r="C610" s="1149" t="e">
        <f>CONCATENATE("Inne ",IF(#REF!=0,0,ROUND(#REF!/#REF!*100,1))," %")</f>
        <v>#REF!</v>
      </c>
      <c r="D610" s="1125"/>
      <c r="E610" s="1125" t="s">
        <v>18</v>
      </c>
      <c r="F610" s="1130" t="str">
        <f>VLOOKUP(E610,$N$13:$O$17,2,0)</f>
        <v>-</v>
      </c>
      <c r="G610" s="92"/>
      <c r="H610" s="90"/>
      <c r="I610" s="1125"/>
      <c r="J610" s="1133"/>
      <c r="K610" s="1133"/>
      <c r="L610" s="916"/>
      <c r="M610" s="916"/>
    </row>
    <row r="611" spans="1:13" s="103" customFormat="1" ht="15.75" hidden="1" customHeight="1" outlineLevel="1">
      <c r="A611" s="916"/>
      <c r="B611" s="1123"/>
      <c r="C611" s="1150"/>
      <c r="D611" s="1125"/>
      <c r="E611" s="1125"/>
      <c r="F611" s="1130"/>
      <c r="G611" s="95"/>
      <c r="H611" s="90"/>
      <c r="I611" s="1125"/>
      <c r="J611" s="1134"/>
      <c r="K611" s="1134"/>
      <c r="L611" s="916"/>
      <c r="M611" s="916"/>
    </row>
    <row r="612" spans="1:13" s="103" customFormat="1" ht="15.75" hidden="1" customHeight="1" outlineLevel="1" thickBot="1">
      <c r="A612" s="916"/>
      <c r="B612" s="1124"/>
      <c r="C612" s="1151"/>
      <c r="D612" s="1126"/>
      <c r="E612" s="1126"/>
      <c r="F612" s="1132"/>
      <c r="G612" s="100"/>
      <c r="H612" s="98"/>
      <c r="I612" s="1126"/>
      <c r="J612" s="1135"/>
      <c r="K612" s="1135"/>
      <c r="L612" s="916"/>
      <c r="M612" s="916"/>
    </row>
    <row r="613" spans="1:13" s="103" customFormat="1" ht="16.5" collapsed="1" thickBot="1">
      <c r="A613" s="916"/>
      <c r="B613" s="916"/>
      <c r="C613" s="916"/>
      <c r="D613" s="918"/>
      <c r="E613" s="916"/>
      <c r="F613" s="919"/>
      <c r="G613" s="920"/>
      <c r="H613" s="918"/>
      <c r="I613" s="71" t="s">
        <v>5</v>
      </c>
      <c r="J613" s="72">
        <f>SUM(J13:J612)</f>
        <v>0</v>
      </c>
      <c r="K613" s="72"/>
      <c r="L613" s="916"/>
      <c r="M613" s="916"/>
    </row>
    <row r="614" spans="1:13" s="106" customFormat="1">
      <c r="A614" s="917"/>
      <c r="B614" s="921"/>
      <c r="C614" s="917"/>
      <c r="D614" s="922"/>
      <c r="E614" s="917"/>
      <c r="F614" s="916"/>
      <c r="G614" s="918"/>
      <c r="H614" s="922"/>
      <c r="I614" s="922"/>
      <c r="J614" s="917"/>
      <c r="K614" s="917"/>
      <c r="L614" s="917"/>
      <c r="M614" s="917"/>
    </row>
    <row r="615" spans="1:13">
      <c r="A615" s="880"/>
      <c r="B615" s="913"/>
      <c r="C615" s="913"/>
      <c r="D615" s="909"/>
      <c r="E615" s="913"/>
      <c r="F615" s="919"/>
      <c r="G615" s="923"/>
      <c r="H615" s="903"/>
      <c r="I615" s="903"/>
      <c r="J615" s="880"/>
      <c r="K615" s="880"/>
      <c r="L615" s="880"/>
      <c r="M615" s="880"/>
    </row>
    <row r="616" spans="1:13">
      <c r="A616" s="880"/>
      <c r="B616" s="880"/>
      <c r="C616" s="880"/>
      <c r="D616" s="922"/>
      <c r="E616" s="916"/>
      <c r="F616" s="919"/>
      <c r="G616" s="923"/>
      <c r="H616" s="903"/>
      <c r="I616" s="903"/>
      <c r="J616" s="880"/>
      <c r="K616" s="880"/>
      <c r="L616" s="880"/>
      <c r="M616" s="880"/>
    </row>
    <row r="617" spans="1:13">
      <c r="F617" s="105"/>
    </row>
    <row r="618" spans="1:13">
      <c r="F618" s="105"/>
    </row>
    <row r="619" spans="1:13">
      <c r="F619" s="105"/>
    </row>
    <row r="620" spans="1:13">
      <c r="F620" s="105"/>
    </row>
    <row r="621" spans="1:13">
      <c r="F621" s="1145"/>
      <c r="G621" s="1146"/>
      <c r="H621" s="1146"/>
      <c r="I621" s="1146"/>
      <c r="J621" s="77"/>
      <c r="K621" s="76"/>
    </row>
    <row r="622" spans="1:13">
      <c r="F622" s="105"/>
    </row>
    <row r="623" spans="1:13">
      <c r="F623" s="105"/>
    </row>
    <row r="624" spans="1:13">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C5:H5"/>
    <mergeCell ref="C6:H6"/>
    <mergeCell ref="K607:K609"/>
    <mergeCell ref="K610:K612"/>
    <mergeCell ref="J604:J606"/>
    <mergeCell ref="J607:J609"/>
    <mergeCell ref="B610:B612"/>
    <mergeCell ref="C610:C612"/>
    <mergeCell ref="D610:D612"/>
    <mergeCell ref="E610:E612"/>
    <mergeCell ref="F610:F612"/>
    <mergeCell ref="D607:D609"/>
    <mergeCell ref="E607:E609"/>
    <mergeCell ref="D595:D597"/>
    <mergeCell ref="E595:E597"/>
    <mergeCell ref="F592:F594"/>
    <mergeCell ref="I592:I594"/>
    <mergeCell ref="B595:B597"/>
    <mergeCell ref="C595:C597"/>
    <mergeCell ref="B592:B594"/>
    <mergeCell ref="C592:C594"/>
    <mergeCell ref="D592:D594"/>
    <mergeCell ref="E592:E594"/>
    <mergeCell ref="F595:F597"/>
    <mergeCell ref="I595:I597"/>
    <mergeCell ref="K595:K597"/>
    <mergeCell ref="J592:J594"/>
    <mergeCell ref="J595:J597"/>
    <mergeCell ref="K592:K594"/>
    <mergeCell ref="B598:B600"/>
    <mergeCell ref="F621:I621"/>
    <mergeCell ref="F607:F609"/>
    <mergeCell ref="H136:H138"/>
    <mergeCell ref="H139:H141"/>
    <mergeCell ref="I610:I612"/>
    <mergeCell ref="I607:I609"/>
    <mergeCell ref="I601:I603"/>
    <mergeCell ref="H34:H36"/>
    <mergeCell ref="K601:K603"/>
    <mergeCell ref="F601:F603"/>
    <mergeCell ref="J601:J603"/>
    <mergeCell ref="B601:B603"/>
    <mergeCell ref="C601:C603"/>
    <mergeCell ref="D601:D603"/>
    <mergeCell ref="E601:E603"/>
    <mergeCell ref="F604:F606"/>
    <mergeCell ref="I604:I606"/>
    <mergeCell ref="B607:B609"/>
    <mergeCell ref="C607:C609"/>
    <mergeCell ref="B604:B606"/>
    <mergeCell ref="C604:C606"/>
    <mergeCell ref="D604:D606"/>
    <mergeCell ref="E604:E606"/>
    <mergeCell ref="B589:B591"/>
    <mergeCell ref="C589:C591"/>
    <mergeCell ref="B586:B588"/>
    <mergeCell ref="C586:C588"/>
    <mergeCell ref="K586:K588"/>
    <mergeCell ref="F589:F591"/>
    <mergeCell ref="I589:I591"/>
    <mergeCell ref="J610:J612"/>
    <mergeCell ref="K604:K606"/>
    <mergeCell ref="J598:J600"/>
    <mergeCell ref="F598:F600"/>
    <mergeCell ref="I598:I600"/>
    <mergeCell ref="K598:K600"/>
    <mergeCell ref="C598:C600"/>
    <mergeCell ref="D598:D600"/>
    <mergeCell ref="E598:E600"/>
    <mergeCell ref="D586:D588"/>
    <mergeCell ref="E586:E588"/>
    <mergeCell ref="D589:D591"/>
    <mergeCell ref="E589:E591"/>
    <mergeCell ref="K589:K591"/>
    <mergeCell ref="J586:J588"/>
    <mergeCell ref="J589:J591"/>
    <mergeCell ref="F586:F588"/>
    <mergeCell ref="I586:I588"/>
    <mergeCell ref="D580:D582"/>
    <mergeCell ref="E580:E582"/>
    <mergeCell ref="D583:D585"/>
    <mergeCell ref="E583:E585"/>
    <mergeCell ref="B583:B585"/>
    <mergeCell ref="C583:C585"/>
    <mergeCell ref="B580:B582"/>
    <mergeCell ref="C580:C582"/>
    <mergeCell ref="K580:K582"/>
    <mergeCell ref="F583:F585"/>
    <mergeCell ref="I583:I585"/>
    <mergeCell ref="K583:K585"/>
    <mergeCell ref="J580:J582"/>
    <mergeCell ref="J583:J585"/>
    <mergeCell ref="F580:F582"/>
    <mergeCell ref="I580:I582"/>
    <mergeCell ref="D574:D576"/>
    <mergeCell ref="E574:E576"/>
    <mergeCell ref="D577:D579"/>
    <mergeCell ref="E577:E579"/>
    <mergeCell ref="B577:B579"/>
    <mergeCell ref="C577:C579"/>
    <mergeCell ref="B574:B576"/>
    <mergeCell ref="C574:C576"/>
    <mergeCell ref="K574:K576"/>
    <mergeCell ref="F577:F579"/>
    <mergeCell ref="I577:I579"/>
    <mergeCell ref="K577:K579"/>
    <mergeCell ref="J574:J576"/>
    <mergeCell ref="J577:J579"/>
    <mergeCell ref="F574:F576"/>
    <mergeCell ref="I574:I576"/>
    <mergeCell ref="D568:D570"/>
    <mergeCell ref="E568:E570"/>
    <mergeCell ref="D571:D573"/>
    <mergeCell ref="E571:E573"/>
    <mergeCell ref="B571:B573"/>
    <mergeCell ref="C571:C573"/>
    <mergeCell ref="B568:B570"/>
    <mergeCell ref="C568:C570"/>
    <mergeCell ref="K568:K570"/>
    <mergeCell ref="F571:F573"/>
    <mergeCell ref="I571:I573"/>
    <mergeCell ref="K571:K573"/>
    <mergeCell ref="J568:J570"/>
    <mergeCell ref="J571:J573"/>
    <mergeCell ref="F568:F570"/>
    <mergeCell ref="I568:I570"/>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H130:H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B133:B135"/>
    <mergeCell ref="C133:C135"/>
    <mergeCell ref="D133:D135"/>
    <mergeCell ref="B130:B132"/>
    <mergeCell ref="C130:C132"/>
    <mergeCell ref="D130:D132"/>
    <mergeCell ref="E133:E135"/>
    <mergeCell ref="E130:E132"/>
    <mergeCell ref="K133:K135"/>
    <mergeCell ref="K130:K132"/>
    <mergeCell ref="F133:F135"/>
    <mergeCell ref="I133:I135"/>
    <mergeCell ref="J130:J132"/>
    <mergeCell ref="J133:J135"/>
    <mergeCell ref="J118:J120"/>
    <mergeCell ref="J121:J123"/>
    <mergeCell ref="K121:K123"/>
    <mergeCell ref="F130:F132"/>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H121:H123"/>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F100:F102"/>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E94:E96"/>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H94:H96"/>
    <mergeCell ref="J85:J87"/>
    <mergeCell ref="K85:K87"/>
    <mergeCell ref="E91:E93"/>
    <mergeCell ref="F88:F90"/>
    <mergeCell ref="I88:I90"/>
    <mergeCell ref="F85:F87"/>
    <mergeCell ref="I85:I87"/>
    <mergeCell ref="H88:H90"/>
    <mergeCell ref="H85:H87"/>
    <mergeCell ref="H91:H93"/>
    <mergeCell ref="F91:F93"/>
    <mergeCell ref="I91:I93"/>
    <mergeCell ref="K88:K90"/>
    <mergeCell ref="J88:J90"/>
    <mergeCell ref="J91:J93"/>
    <mergeCell ref="K91:K93"/>
    <mergeCell ref="K94:K96"/>
    <mergeCell ref="J94:J96"/>
    <mergeCell ref="E82:E84"/>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73:J75"/>
    <mergeCell ref="K73:K75"/>
    <mergeCell ref="F73:F75"/>
    <mergeCell ref="I73:I75"/>
    <mergeCell ref="H76:H78"/>
    <mergeCell ref="H73:H75"/>
    <mergeCell ref="H79:H81"/>
    <mergeCell ref="F79:F81"/>
    <mergeCell ref="I79:I81"/>
    <mergeCell ref="K76:K78"/>
    <mergeCell ref="J76:J78"/>
    <mergeCell ref="J79:J81"/>
    <mergeCell ref="K79:K81"/>
    <mergeCell ref="I82:I84"/>
    <mergeCell ref="K82:K84"/>
    <mergeCell ref="J82:J84"/>
    <mergeCell ref="I76:I78"/>
    <mergeCell ref="H82:H84"/>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F76:F78"/>
    <mergeCell ref="H70:H72"/>
    <mergeCell ref="E67:E69"/>
    <mergeCell ref="H67:H69"/>
    <mergeCell ref="F67:F69"/>
    <mergeCell ref="I67:I69"/>
    <mergeCell ref="K64:K66"/>
    <mergeCell ref="J64:J66"/>
    <mergeCell ref="J67:J69"/>
    <mergeCell ref="K67:K69"/>
    <mergeCell ref="E70:E72"/>
    <mergeCell ref="K70:K72"/>
    <mergeCell ref="J70:J72"/>
    <mergeCell ref="I58:I60"/>
    <mergeCell ref="K58:K60"/>
    <mergeCell ref="J58:J60"/>
    <mergeCell ref="H58:H60"/>
    <mergeCell ref="E58:E60"/>
    <mergeCell ref="J61:J63"/>
    <mergeCell ref="K61:K63"/>
    <mergeCell ref="I64:I66"/>
    <mergeCell ref="I61:I63"/>
    <mergeCell ref="C55:C57"/>
    <mergeCell ref="D55:D57"/>
    <mergeCell ref="J55:J57"/>
    <mergeCell ref="K55:K57"/>
    <mergeCell ref="D52:D54"/>
    <mergeCell ref="E52:E54"/>
    <mergeCell ref="B49:B51"/>
    <mergeCell ref="C49:C51"/>
    <mergeCell ref="D49:D51"/>
    <mergeCell ref="E49:E51"/>
    <mergeCell ref="F52:F54"/>
    <mergeCell ref="F55:F57"/>
    <mergeCell ref="I55:I57"/>
    <mergeCell ref="B55:B57"/>
    <mergeCell ref="B58:B60"/>
    <mergeCell ref="C58:C60"/>
    <mergeCell ref="D58:D60"/>
    <mergeCell ref="E55:E57"/>
    <mergeCell ref="H55:H57"/>
    <mergeCell ref="B64:B66"/>
    <mergeCell ref="C64:C66"/>
    <mergeCell ref="D64:D66"/>
    <mergeCell ref="E64:E66"/>
    <mergeCell ref="E61:E63"/>
    <mergeCell ref="F58:F60"/>
    <mergeCell ref="B61:B63"/>
    <mergeCell ref="C61:C63"/>
    <mergeCell ref="D61:D63"/>
    <mergeCell ref="F64:F66"/>
    <mergeCell ref="F61:F63"/>
    <mergeCell ref="H64:H66"/>
    <mergeCell ref="H61:H63"/>
    <mergeCell ref="K46:K48"/>
    <mergeCell ref="J46:J48"/>
    <mergeCell ref="J49:J51"/>
    <mergeCell ref="K49:K51"/>
    <mergeCell ref="F46:F48"/>
    <mergeCell ref="I46:I48"/>
    <mergeCell ref="I52:I54"/>
    <mergeCell ref="F49:F51"/>
    <mergeCell ref="I49:I51"/>
    <mergeCell ref="H52:H54"/>
    <mergeCell ref="H49:H51"/>
    <mergeCell ref="K52:K54"/>
    <mergeCell ref="J52:J54"/>
    <mergeCell ref="B40:B42"/>
    <mergeCell ref="C40:C42"/>
    <mergeCell ref="D40:D42"/>
    <mergeCell ref="E40:E42"/>
    <mergeCell ref="K40:K42"/>
    <mergeCell ref="J40:J42"/>
    <mergeCell ref="J43:J45"/>
    <mergeCell ref="K43:K45"/>
    <mergeCell ref="F43:F45"/>
    <mergeCell ref="I43:I45"/>
    <mergeCell ref="F40:F42"/>
    <mergeCell ref="I40:I42"/>
    <mergeCell ref="B46:B48"/>
    <mergeCell ref="C46:C48"/>
    <mergeCell ref="D46:D48"/>
    <mergeCell ref="E46:E48"/>
    <mergeCell ref="H46:H48"/>
    <mergeCell ref="B52:B54"/>
    <mergeCell ref="C52:C54"/>
    <mergeCell ref="H31:H33"/>
    <mergeCell ref="H16:H18"/>
    <mergeCell ref="D22:D24"/>
    <mergeCell ref="H43:H45"/>
    <mergeCell ref="H40:H42"/>
    <mergeCell ref="B43:B45"/>
    <mergeCell ref="C43:C45"/>
    <mergeCell ref="D43:D45"/>
    <mergeCell ref="E43:E45"/>
    <mergeCell ref="K34:K36"/>
    <mergeCell ref="J34:J36"/>
    <mergeCell ref="K37:K39"/>
    <mergeCell ref="F37:F39"/>
    <mergeCell ref="I37:I39"/>
    <mergeCell ref="J37:J39"/>
    <mergeCell ref="H37:H39"/>
    <mergeCell ref="B37:B39"/>
    <mergeCell ref="C37:C39"/>
    <mergeCell ref="D37:D39"/>
    <mergeCell ref="E37:E39"/>
    <mergeCell ref="B34:B36"/>
    <mergeCell ref="C34:C36"/>
    <mergeCell ref="D34:D36"/>
    <mergeCell ref="E34:E36"/>
    <mergeCell ref="K28:K30"/>
    <mergeCell ref="F34:F36"/>
    <mergeCell ref="I34:I36"/>
    <mergeCell ref="C28:C30"/>
    <mergeCell ref="I31:I33"/>
    <mergeCell ref="H22:H24"/>
    <mergeCell ref="E28:E30"/>
    <mergeCell ref="J31:J33"/>
    <mergeCell ref="B19:B21"/>
    <mergeCell ref="B22:B24"/>
    <mergeCell ref="B25:B27"/>
    <mergeCell ref="C25:C27"/>
    <mergeCell ref="D25:D27"/>
    <mergeCell ref="D8:D10"/>
    <mergeCell ref="E8:E10"/>
    <mergeCell ref="J16:J18"/>
    <mergeCell ref="K25:K27"/>
    <mergeCell ref="K22:K24"/>
    <mergeCell ref="I16:I18"/>
    <mergeCell ref="E13:E15"/>
    <mergeCell ref="F13:F15"/>
    <mergeCell ref="D13:D15"/>
    <mergeCell ref="D16:D18"/>
    <mergeCell ref="E16:E18"/>
    <mergeCell ref="F16:F18"/>
    <mergeCell ref="I8:I10"/>
    <mergeCell ref="G8:G10"/>
    <mergeCell ref="H8:H10"/>
    <mergeCell ref="I13:I15"/>
    <mergeCell ref="K13:K15"/>
    <mergeCell ref="H13:H15"/>
    <mergeCell ref="F19:F21"/>
    <mergeCell ref="J13:J15"/>
    <mergeCell ref="K8:K10"/>
    <mergeCell ref="E25:E27"/>
    <mergeCell ref="F25:F27"/>
    <mergeCell ref="E22:E24"/>
    <mergeCell ref="I25:I27"/>
    <mergeCell ref="K19:K21"/>
    <mergeCell ref="B28:B30"/>
    <mergeCell ref="D28:D30"/>
    <mergeCell ref="C22:C24"/>
    <mergeCell ref="H25:H27"/>
    <mergeCell ref="H28:H30"/>
    <mergeCell ref="F31:F33"/>
    <mergeCell ref="I19:I21"/>
    <mergeCell ref="F28:F30"/>
    <mergeCell ref="H19:H21"/>
    <mergeCell ref="I28:I30"/>
    <mergeCell ref="J19:J21"/>
    <mergeCell ref="F22:F24"/>
    <mergeCell ref="I22:I24"/>
    <mergeCell ref="B8:B10"/>
    <mergeCell ref="K31:K33"/>
    <mergeCell ref="B31:B33"/>
    <mergeCell ref="C31:C33"/>
    <mergeCell ref="D31:D33"/>
    <mergeCell ref="E31:E33"/>
    <mergeCell ref="J25:J27"/>
    <mergeCell ref="J22:J24"/>
    <mergeCell ref="J28:J30"/>
    <mergeCell ref="C19:C21"/>
    <mergeCell ref="D19:D21"/>
    <mergeCell ref="E19:E21"/>
    <mergeCell ref="B16:B18"/>
    <mergeCell ref="C16:C18"/>
    <mergeCell ref="K16:K18"/>
    <mergeCell ref="C8:C10"/>
    <mergeCell ref="C13:C15"/>
    <mergeCell ref="B13:B15"/>
    <mergeCell ref="F8:F10"/>
  </mergeCells>
  <phoneticPr fontId="2" type="noConversion"/>
  <dataValidations count="1">
    <dataValidation type="list" allowBlank="1" showInputMessage="1" showErrorMessage="1" sqref="E13:E32 E34:E612" xr:uid="{00000000-0002-0000-0C00-000000000000}">
      <formula1>$N$13:$N$17</formula1>
    </dataValidation>
  </dataValidations>
  <hyperlinks>
    <hyperlink ref="C1" location="Spis!B36" display="&gt;&gt; powrót do spisu treści" xr:uid="{00000000-0004-0000-0C00-000000000000}"/>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6">
    <pageSetUpPr fitToPage="1"/>
  </sheetPr>
  <dimension ref="A1:S2067"/>
  <sheetViews>
    <sheetView zoomScale="90" zoomScaleNormal="90" workbookViewId="0">
      <pane ySplit="6" topLeftCell="A7" activePane="bottomLeft" state="frozen"/>
      <selection pane="bottomLeft" activeCell="D2" sqref="D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5.77734375" style="78" customWidth="1"/>
    <col min="13" max="14" width="15.77734375" style="78" hidden="1" customWidth="1"/>
    <col min="15" max="15" width="7.33203125" style="78" hidden="1" customWidth="1"/>
    <col min="16" max="16" width="0" style="78" hidden="1" customWidth="1"/>
    <col min="17" max="16384" width="15.77734375" style="78"/>
  </cols>
  <sheetData>
    <row r="1" spans="1:19">
      <c r="A1" s="898"/>
      <c r="B1" s="898"/>
      <c r="C1" s="925" t="s">
        <v>9</v>
      </c>
      <c r="D1" s="899"/>
      <c r="E1" s="900"/>
      <c r="F1" s="900"/>
      <c r="G1" s="901"/>
      <c r="H1" s="902"/>
      <c r="I1" s="903"/>
      <c r="J1" s="880"/>
      <c r="K1" s="880"/>
      <c r="L1" s="880"/>
      <c r="M1" s="880"/>
    </row>
    <row r="2" spans="1:19" s="109" customFormat="1" ht="24.95" customHeight="1">
      <c r="A2" s="904"/>
      <c r="B2" s="932" t="s">
        <v>17</v>
      </c>
      <c r="C2" s="932"/>
      <c r="D2" s="904"/>
      <c r="E2" s="904"/>
      <c r="F2" s="904"/>
      <c r="G2" s="904"/>
      <c r="H2" s="891"/>
      <c r="I2" s="859"/>
      <c r="J2" s="860"/>
      <c r="K2" s="853"/>
      <c r="L2" s="853"/>
      <c r="M2" s="853"/>
    </row>
    <row r="3" spans="1:19" ht="15" customHeight="1">
      <c r="A3" s="898"/>
      <c r="B3" s="914" t="s">
        <v>13</v>
      </c>
      <c r="C3" s="1147" t="s">
        <v>19</v>
      </c>
      <c r="D3" s="1148"/>
      <c r="E3" s="1148"/>
      <c r="F3" s="1148"/>
      <c r="G3" s="1148"/>
      <c r="H3" s="1118"/>
      <c r="I3" s="905"/>
      <c r="J3" s="906"/>
      <c r="K3" s="906"/>
      <c r="L3" s="880"/>
      <c r="M3" s="880"/>
    </row>
    <row r="4" spans="1:19" ht="15" customHeight="1">
      <c r="A4" s="898"/>
      <c r="B4" s="915" t="s">
        <v>27</v>
      </c>
      <c r="C4" s="1147" t="s">
        <v>177</v>
      </c>
      <c r="D4" s="1148"/>
      <c r="E4" s="1148"/>
      <c r="F4" s="1148"/>
      <c r="G4" s="1148"/>
      <c r="H4" s="1063"/>
      <c r="I4" s="903"/>
      <c r="J4" s="880"/>
      <c r="K4" s="880"/>
      <c r="L4" s="880"/>
      <c r="M4" s="880"/>
    </row>
    <row r="5" spans="1:19" ht="15" customHeight="1">
      <c r="A5" s="880"/>
      <c r="B5" s="897" t="s">
        <v>28</v>
      </c>
      <c r="C5" s="1116" t="s">
        <v>104</v>
      </c>
      <c r="D5" s="1116"/>
      <c r="E5" s="1116"/>
      <c r="F5" s="1116"/>
      <c r="G5" s="1116"/>
      <c r="H5" s="1063"/>
      <c r="I5" s="903"/>
      <c r="J5" s="880"/>
      <c r="K5" s="880"/>
      <c r="L5" s="880"/>
      <c r="M5" s="880"/>
    </row>
    <row r="6" spans="1:19" ht="50.1" customHeight="1">
      <c r="A6" s="880"/>
      <c r="B6" s="897" t="s">
        <v>35</v>
      </c>
      <c r="C6" s="1116" t="s">
        <v>175</v>
      </c>
      <c r="D6" s="1120"/>
      <c r="E6" s="1120"/>
      <c r="F6" s="1120"/>
      <c r="G6" s="1120"/>
      <c r="H6" s="1063"/>
      <c r="I6" s="903"/>
      <c r="J6" s="880"/>
      <c r="K6" s="880"/>
      <c r="L6" s="880"/>
      <c r="M6" s="880"/>
    </row>
    <row r="7" spans="1:19" s="79" customFormat="1" ht="30" customHeight="1" thickBot="1">
      <c r="A7" s="907"/>
      <c r="B7" s="908" t="s">
        <v>248</v>
      </c>
      <c r="C7" s="907"/>
      <c r="D7" s="909"/>
      <c r="E7" s="907"/>
      <c r="F7" s="910"/>
      <c r="G7" s="911"/>
      <c r="H7" s="912"/>
      <c r="I7" s="912"/>
      <c r="J7" s="913"/>
      <c r="K7" s="913"/>
      <c r="L7" s="913"/>
      <c r="M7" s="913"/>
    </row>
    <row r="8" spans="1:19" ht="20.100000000000001" customHeight="1" thickBot="1">
      <c r="A8" s="880"/>
      <c r="B8" s="1136" t="str">
        <f>'Tab.G1.1-4'!$B$8</f>
        <v>LP</v>
      </c>
      <c r="C8" s="1103" t="str">
        <f>Tab.G6!$C$9</f>
        <v>Nazwa projektu inwestycyjnego</v>
      </c>
      <c r="D8" s="1104" t="str">
        <f>Tab.G6!$D$9</f>
        <v>Lokalizacja projektu inwestycyjnego</v>
      </c>
      <c r="E8" s="1103" t="str">
        <f>Tab.G6!$E$9</f>
        <v>Cel realizacji projektu</v>
      </c>
      <c r="F8" s="1103" t="str">
        <f>Tab.G6!$F$9</f>
        <v>Spodziewane efekty, wynikające z realizacji projektu</v>
      </c>
      <c r="G8" s="1104" t="str">
        <f>Tab.G6!$G$9</f>
        <v>Wartość dla poszczególnych spodziewanych efektów</v>
      </c>
      <c r="H8" s="1104" t="str">
        <f>"Rodzaj i zakres powiązania projektu z główną działalnością"</f>
        <v>Rodzaj i zakres powiązania projektu z główną działalnością</v>
      </c>
      <c r="I8" s="1103" t="str">
        <f>Tab.G6!$H$9</f>
        <v>Zakres prac</v>
      </c>
      <c r="J8" s="627" t="str">
        <f>'Tab.G1.1-4'!$E$8</f>
        <v>Wykonanie</v>
      </c>
      <c r="K8" s="1101" t="str">
        <f>Tab.G6!$J$9</f>
        <v>UWAGI</v>
      </c>
      <c r="L8" s="878"/>
      <c r="M8" s="878"/>
      <c r="N8" s="76"/>
      <c r="O8" s="76"/>
      <c r="P8" s="76"/>
      <c r="Q8" s="76"/>
      <c r="R8" s="76"/>
      <c r="S8" s="76"/>
    </row>
    <row r="9" spans="1:19" ht="20.100000000000001" customHeight="1" thickBot="1">
      <c r="A9" s="880"/>
      <c r="B9" s="1137"/>
      <c r="C9" s="1103"/>
      <c r="D9" s="1144"/>
      <c r="E9" s="1103"/>
      <c r="F9" s="1103"/>
      <c r="G9" s="1106"/>
      <c r="H9" s="1106"/>
      <c r="I9" s="1103"/>
      <c r="J9" s="628">
        <f>Rok_ZPR</f>
        <v>2023</v>
      </c>
      <c r="K9" s="1102"/>
      <c r="L9" s="860"/>
      <c r="M9" s="860"/>
      <c r="N9" s="76"/>
      <c r="O9" s="76"/>
      <c r="P9" s="76"/>
      <c r="Q9" s="76"/>
      <c r="R9" s="76"/>
      <c r="S9" s="76"/>
    </row>
    <row r="10" spans="1:19" ht="20.100000000000001" customHeight="1">
      <c r="A10" s="880"/>
      <c r="B10" s="1138"/>
      <c r="C10" s="1104"/>
      <c r="D10" s="1144"/>
      <c r="E10" s="1104"/>
      <c r="F10" s="1104"/>
      <c r="G10" s="1106"/>
      <c r="H10" s="1106"/>
      <c r="I10" s="1104"/>
      <c r="J10" s="628" t="str">
        <f>'Tab.G1.1-4'!$D$11</f>
        <v>[tys. zł]</v>
      </c>
      <c r="K10" s="1102"/>
      <c r="L10" s="891"/>
      <c r="M10" s="891"/>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92"/>
      <c r="N11" s="76"/>
      <c r="O11" s="76"/>
      <c r="P11" s="76"/>
      <c r="Q11" s="76"/>
      <c r="R11" s="76"/>
      <c r="S11" s="76"/>
    </row>
    <row r="12" spans="1:19" s="82" customFormat="1" ht="16.5" thickBot="1">
      <c r="A12" s="900"/>
      <c r="B12" s="87"/>
      <c r="C12" s="110"/>
      <c r="D12" s="88"/>
      <c r="E12" s="87"/>
      <c r="F12" s="87"/>
      <c r="G12" s="88"/>
      <c r="H12" s="88"/>
      <c r="I12" s="88"/>
      <c r="J12" s="89"/>
      <c r="K12" s="89"/>
      <c r="L12" s="892"/>
      <c r="M12" s="892"/>
    </row>
    <row r="13" spans="1:19" s="82" customFormat="1" ht="12.75" customHeight="1">
      <c r="A13" s="900"/>
      <c r="B13" s="1123">
        <v>1</v>
      </c>
      <c r="C13" s="1143"/>
      <c r="D13" s="1125"/>
      <c r="E13" s="1125" t="s">
        <v>18</v>
      </c>
      <c r="F13" s="1130" t="str">
        <f>VLOOKUP(E13,$N$13:$O$17,2,0)</f>
        <v>-</v>
      </c>
      <c r="G13" s="92"/>
      <c r="H13" s="1125"/>
      <c r="I13" s="1125"/>
      <c r="J13" s="1134"/>
      <c r="K13" s="1134"/>
      <c r="L13" s="892"/>
      <c r="M13" s="892"/>
      <c r="N13" s="93" t="s">
        <v>20</v>
      </c>
      <c r="O13" s="94" t="s">
        <v>21</v>
      </c>
    </row>
    <row r="14" spans="1:19" s="82" customFormat="1" ht="12.75" customHeight="1">
      <c r="A14" s="900"/>
      <c r="B14" s="1123"/>
      <c r="C14" s="1127"/>
      <c r="D14" s="1125"/>
      <c r="E14" s="1125"/>
      <c r="F14" s="1130"/>
      <c r="G14" s="95"/>
      <c r="H14" s="1125"/>
      <c r="I14" s="1125"/>
      <c r="J14" s="1134"/>
      <c r="K14" s="1134"/>
      <c r="L14" s="892"/>
      <c r="M14" s="892"/>
      <c r="N14" s="96" t="s">
        <v>22</v>
      </c>
      <c r="O14" s="97" t="s">
        <v>59</v>
      </c>
    </row>
    <row r="15" spans="1:19" s="82" customFormat="1" ht="12.75" customHeight="1">
      <c r="A15" s="900"/>
      <c r="B15" s="1124"/>
      <c r="C15" s="1128"/>
      <c r="D15" s="1126"/>
      <c r="E15" s="1126"/>
      <c r="F15" s="1132"/>
      <c r="G15" s="100"/>
      <c r="H15" s="1126"/>
      <c r="I15" s="1126"/>
      <c r="J15" s="1135"/>
      <c r="K15" s="1135"/>
      <c r="L15" s="892"/>
      <c r="M15" s="892"/>
      <c r="N15" s="96" t="s">
        <v>23</v>
      </c>
      <c r="O15" s="97" t="s">
        <v>24</v>
      </c>
    </row>
    <row r="16" spans="1:19" s="82" customFormat="1" ht="12.75" customHeight="1">
      <c r="A16" s="900"/>
      <c r="B16" s="1123">
        <v>2</v>
      </c>
      <c r="C16" s="1127"/>
      <c r="D16" s="1125"/>
      <c r="E16" s="1125" t="s">
        <v>18</v>
      </c>
      <c r="F16" s="1130" t="str">
        <f>VLOOKUP(E16,$N$13:$O$17,2,0)</f>
        <v>-</v>
      </c>
      <c r="G16" s="92"/>
      <c r="H16" s="1125"/>
      <c r="I16" s="1125"/>
      <c r="J16" s="1133"/>
      <c r="K16" s="1133"/>
      <c r="L16" s="892"/>
      <c r="M16" s="892"/>
      <c r="N16" s="96" t="s">
        <v>25</v>
      </c>
      <c r="O16" s="97" t="s">
        <v>26</v>
      </c>
    </row>
    <row r="17" spans="1:15" s="82" customFormat="1" ht="12.75" customHeight="1" thickBot="1">
      <c r="A17" s="900"/>
      <c r="B17" s="1123"/>
      <c r="C17" s="1127"/>
      <c r="D17" s="1125"/>
      <c r="E17" s="1125"/>
      <c r="F17" s="1130"/>
      <c r="G17" s="95"/>
      <c r="H17" s="1125"/>
      <c r="I17" s="1125"/>
      <c r="J17" s="1134"/>
      <c r="K17" s="1134"/>
      <c r="L17" s="892"/>
      <c r="M17" s="892"/>
      <c r="N17" s="101" t="s">
        <v>18</v>
      </c>
      <c r="O17" s="102" t="s">
        <v>18</v>
      </c>
    </row>
    <row r="18" spans="1:15" s="82" customFormat="1" ht="12.75" customHeight="1">
      <c r="A18" s="900"/>
      <c r="B18" s="1124"/>
      <c r="C18" s="1128"/>
      <c r="D18" s="1126"/>
      <c r="E18" s="1126"/>
      <c r="F18" s="1132"/>
      <c r="G18" s="100"/>
      <c r="H18" s="1126"/>
      <c r="I18" s="1126"/>
      <c r="J18" s="1135"/>
      <c r="K18" s="1135"/>
      <c r="L18" s="892"/>
      <c r="M18" s="892"/>
      <c r="N18" s="103"/>
      <c r="O18" s="104"/>
    </row>
    <row r="19" spans="1:15" s="82" customFormat="1" ht="12.75" customHeight="1">
      <c r="A19" s="900"/>
      <c r="B19" s="1123">
        <v>3</v>
      </c>
      <c r="C19" s="1127"/>
      <c r="D19" s="1125"/>
      <c r="E19" s="1125" t="s">
        <v>18</v>
      </c>
      <c r="F19" s="1130" t="str">
        <f>VLOOKUP(E19,$N$13:$O$17,2,0)</f>
        <v>-</v>
      </c>
      <c r="G19" s="92"/>
      <c r="H19" s="1125"/>
      <c r="I19" s="1125"/>
      <c r="J19" s="1133"/>
      <c r="K19" s="1133"/>
      <c r="L19" s="892"/>
      <c r="M19" s="892"/>
      <c r="N19" s="103"/>
      <c r="O19" s="104"/>
    </row>
    <row r="20" spans="1:15" s="82" customFormat="1" ht="12.75" customHeight="1">
      <c r="A20" s="900"/>
      <c r="B20" s="1123"/>
      <c r="C20" s="1127"/>
      <c r="D20" s="1125"/>
      <c r="E20" s="1125"/>
      <c r="F20" s="1130"/>
      <c r="G20" s="95"/>
      <c r="H20" s="1125"/>
      <c r="I20" s="1125"/>
      <c r="J20" s="1134"/>
      <c r="K20" s="1134"/>
      <c r="L20" s="892"/>
      <c r="M20" s="892"/>
      <c r="N20" s="103"/>
      <c r="O20" s="104"/>
    </row>
    <row r="21" spans="1:15" s="82" customFormat="1" ht="12.75" customHeight="1">
      <c r="A21" s="900"/>
      <c r="B21" s="1124"/>
      <c r="C21" s="1128"/>
      <c r="D21" s="1126"/>
      <c r="E21" s="1126"/>
      <c r="F21" s="1132"/>
      <c r="G21" s="100"/>
      <c r="H21" s="1126"/>
      <c r="I21" s="1126"/>
      <c r="J21" s="1135"/>
      <c r="K21" s="1135"/>
      <c r="L21" s="892"/>
      <c r="M21" s="892"/>
      <c r="N21" s="103"/>
      <c r="O21" s="104"/>
    </row>
    <row r="22" spans="1:15" s="82" customFormat="1" ht="12.75" customHeight="1">
      <c r="A22" s="900"/>
      <c r="B22" s="1123">
        <v>4</v>
      </c>
      <c r="C22" s="1127"/>
      <c r="D22" s="1125"/>
      <c r="E22" s="1125" t="s">
        <v>18</v>
      </c>
      <c r="F22" s="1130" t="str">
        <f>VLOOKUP(E22,$N$13:$O$17,2,0)</f>
        <v>-</v>
      </c>
      <c r="G22" s="92"/>
      <c r="H22" s="1125"/>
      <c r="I22" s="1125"/>
      <c r="J22" s="1133"/>
      <c r="K22" s="1133"/>
      <c r="L22" s="892"/>
      <c r="M22" s="892"/>
      <c r="N22" s="103"/>
      <c r="O22" s="104"/>
    </row>
    <row r="23" spans="1:15" s="82" customFormat="1" ht="12.75" customHeight="1">
      <c r="A23" s="900"/>
      <c r="B23" s="1123"/>
      <c r="C23" s="1127"/>
      <c r="D23" s="1125"/>
      <c r="E23" s="1125"/>
      <c r="F23" s="1130"/>
      <c r="G23" s="95"/>
      <c r="H23" s="1125"/>
      <c r="I23" s="1125"/>
      <c r="J23" s="1134"/>
      <c r="K23" s="1134"/>
      <c r="L23" s="892"/>
      <c r="M23" s="892"/>
      <c r="N23" s="103"/>
      <c r="O23" s="104"/>
    </row>
    <row r="24" spans="1:15" s="82" customFormat="1" ht="12.75" customHeight="1">
      <c r="A24" s="900"/>
      <c r="B24" s="1124"/>
      <c r="C24" s="1128"/>
      <c r="D24" s="1126"/>
      <c r="E24" s="1126"/>
      <c r="F24" s="1132"/>
      <c r="G24" s="100"/>
      <c r="H24" s="1126"/>
      <c r="I24" s="1126"/>
      <c r="J24" s="1135"/>
      <c r="K24" s="1135"/>
      <c r="L24" s="892"/>
      <c r="M24" s="892"/>
      <c r="N24" s="103"/>
      <c r="O24" s="104"/>
    </row>
    <row r="25" spans="1:15" s="82" customFormat="1" ht="12.75" customHeight="1">
      <c r="A25" s="900"/>
      <c r="B25" s="1123">
        <v>5</v>
      </c>
      <c r="C25" s="1127"/>
      <c r="D25" s="1125"/>
      <c r="E25" s="1125" t="s">
        <v>18</v>
      </c>
      <c r="F25" s="1130" t="str">
        <f>VLOOKUP(E25,$N$13:$O$17,2,0)</f>
        <v>-</v>
      </c>
      <c r="G25" s="92"/>
      <c r="H25" s="1125"/>
      <c r="I25" s="1125"/>
      <c r="J25" s="1133"/>
      <c r="K25" s="1133"/>
      <c r="L25" s="892"/>
      <c r="M25" s="892"/>
      <c r="N25" s="103"/>
      <c r="O25" s="104"/>
    </row>
    <row r="26" spans="1:15" s="82" customFormat="1" ht="12.75" customHeight="1">
      <c r="A26" s="900"/>
      <c r="B26" s="1123"/>
      <c r="C26" s="1127"/>
      <c r="D26" s="1125"/>
      <c r="E26" s="1125"/>
      <c r="F26" s="1130"/>
      <c r="G26" s="95"/>
      <c r="H26" s="1125"/>
      <c r="I26" s="1125"/>
      <c r="J26" s="1134"/>
      <c r="K26" s="1134"/>
      <c r="L26" s="892"/>
      <c r="M26" s="892"/>
      <c r="N26" s="103"/>
      <c r="O26" s="104"/>
    </row>
    <row r="27" spans="1:15" s="82" customFormat="1" ht="12.75" customHeight="1">
      <c r="A27" s="900"/>
      <c r="B27" s="1124"/>
      <c r="C27" s="1128"/>
      <c r="D27" s="1126"/>
      <c r="E27" s="1126"/>
      <c r="F27" s="1132"/>
      <c r="G27" s="100"/>
      <c r="H27" s="1126"/>
      <c r="I27" s="1126"/>
      <c r="J27" s="1135"/>
      <c r="K27" s="1135"/>
      <c r="L27" s="892"/>
      <c r="M27" s="892"/>
      <c r="N27" s="103"/>
      <c r="O27" s="104"/>
    </row>
    <row r="28" spans="1:15" s="82" customFormat="1" ht="12.75" customHeight="1">
      <c r="A28" s="900"/>
      <c r="B28" s="1123">
        <v>6</v>
      </c>
      <c r="C28" s="1127"/>
      <c r="D28" s="1125"/>
      <c r="E28" s="1125" t="s">
        <v>18</v>
      </c>
      <c r="F28" s="1130" t="str">
        <f>VLOOKUP(E28,$N$13:$O$17,2,0)</f>
        <v>-</v>
      </c>
      <c r="G28" s="92"/>
      <c r="H28" s="1125"/>
      <c r="I28" s="1125"/>
      <c r="J28" s="1133"/>
      <c r="K28" s="1133"/>
      <c r="L28" s="892"/>
      <c r="M28" s="892"/>
      <c r="N28" s="103"/>
      <c r="O28" s="104"/>
    </row>
    <row r="29" spans="1:15" s="82" customFormat="1" ht="12.75" customHeight="1">
      <c r="A29" s="900"/>
      <c r="B29" s="1123"/>
      <c r="C29" s="1127"/>
      <c r="D29" s="1125"/>
      <c r="E29" s="1125"/>
      <c r="F29" s="1130"/>
      <c r="G29" s="95"/>
      <c r="H29" s="1125"/>
      <c r="I29" s="1125"/>
      <c r="J29" s="1134"/>
      <c r="K29" s="1134"/>
      <c r="L29" s="892"/>
      <c r="M29" s="892"/>
      <c r="N29" s="103"/>
      <c r="O29" s="104"/>
    </row>
    <row r="30" spans="1:15" s="82" customFormat="1" ht="12.75" customHeight="1">
      <c r="A30" s="900"/>
      <c r="B30" s="1124"/>
      <c r="C30" s="1128"/>
      <c r="D30" s="1126"/>
      <c r="E30" s="1126"/>
      <c r="F30" s="1132"/>
      <c r="G30" s="100"/>
      <c r="H30" s="1126"/>
      <c r="I30" s="1126"/>
      <c r="J30" s="1135"/>
      <c r="K30" s="1135"/>
      <c r="L30" s="892"/>
      <c r="M30" s="892"/>
      <c r="N30" s="103"/>
      <c r="O30" s="104"/>
    </row>
    <row r="31" spans="1:15" s="82" customFormat="1" ht="12.75" customHeight="1">
      <c r="A31" s="900"/>
      <c r="B31" s="1139">
        <v>7</v>
      </c>
      <c r="C31" s="1139"/>
      <c r="D31" s="1139"/>
      <c r="E31" s="1141" t="s">
        <v>18</v>
      </c>
      <c r="F31" s="1129" t="str">
        <f>VLOOKUP(E31,$N$13:$O$17,2,0)</f>
        <v>-</v>
      </c>
      <c r="G31" s="111"/>
      <c r="H31" s="1141"/>
      <c r="I31" s="1141"/>
      <c r="J31" s="1133"/>
      <c r="K31" s="1133"/>
      <c r="L31" s="892"/>
      <c r="M31" s="892"/>
      <c r="N31" s="103"/>
      <c r="O31" s="104"/>
    </row>
    <row r="32" spans="1:15" s="82" customFormat="1" ht="12.75" customHeight="1">
      <c r="A32" s="900"/>
      <c r="B32" s="1123"/>
      <c r="C32" s="1123"/>
      <c r="D32" s="1123"/>
      <c r="E32" s="1125"/>
      <c r="F32" s="1130"/>
      <c r="G32" s="95"/>
      <c r="H32" s="1125"/>
      <c r="I32" s="1125"/>
      <c r="J32" s="1134"/>
      <c r="K32" s="1134"/>
      <c r="L32" s="892"/>
      <c r="M32" s="892"/>
      <c r="N32" s="103"/>
      <c r="O32" s="104"/>
    </row>
    <row r="33" spans="1:15" s="82" customFormat="1" ht="12.75" customHeight="1">
      <c r="A33" s="900"/>
      <c r="B33" s="1140"/>
      <c r="C33" s="1140"/>
      <c r="D33" s="1140"/>
      <c r="E33" s="1142"/>
      <c r="F33" s="1131"/>
      <c r="G33" s="826"/>
      <c r="H33" s="1142"/>
      <c r="I33" s="1142"/>
      <c r="J33" s="1131"/>
      <c r="K33" s="1131"/>
      <c r="L33" s="892"/>
      <c r="M33" s="892"/>
      <c r="N33" s="103"/>
      <c r="O33" s="104"/>
    </row>
    <row r="34" spans="1:15" s="82" customFormat="1" ht="12.75" customHeight="1">
      <c r="A34" s="900"/>
      <c r="B34" s="1123">
        <v>8</v>
      </c>
      <c r="C34" s="1127"/>
      <c r="D34" s="1125"/>
      <c r="E34" s="1125" t="s">
        <v>18</v>
      </c>
      <c r="F34" s="1130" t="str">
        <f>VLOOKUP(E34,$N$13:$O$17,2,0)</f>
        <v>-</v>
      </c>
      <c r="G34" s="92"/>
      <c r="H34" s="1125"/>
      <c r="I34" s="1125"/>
      <c r="J34" s="1134"/>
      <c r="K34" s="1134"/>
      <c r="L34" s="892"/>
      <c r="M34" s="892"/>
      <c r="N34" s="103"/>
      <c r="O34" s="104"/>
    </row>
    <row r="35" spans="1:15" s="82" customFormat="1" ht="12.75" customHeight="1">
      <c r="A35" s="900"/>
      <c r="B35" s="1123"/>
      <c r="C35" s="1127"/>
      <c r="D35" s="1125"/>
      <c r="E35" s="1125"/>
      <c r="F35" s="1130"/>
      <c r="G35" s="95"/>
      <c r="H35" s="1125"/>
      <c r="I35" s="1125"/>
      <c r="J35" s="1134"/>
      <c r="K35" s="1134"/>
      <c r="L35" s="892"/>
      <c r="M35" s="892"/>
      <c r="N35" s="103"/>
      <c r="O35" s="104"/>
    </row>
    <row r="36" spans="1:15" s="82" customFormat="1" ht="12.75" customHeight="1">
      <c r="A36" s="900"/>
      <c r="B36" s="1124"/>
      <c r="C36" s="1128"/>
      <c r="D36" s="1126"/>
      <c r="E36" s="1126"/>
      <c r="F36" s="1132"/>
      <c r="G36" s="100"/>
      <c r="H36" s="1126"/>
      <c r="I36" s="1126"/>
      <c r="J36" s="1135"/>
      <c r="K36" s="1135"/>
      <c r="L36" s="892"/>
      <c r="M36" s="892"/>
      <c r="N36" s="103"/>
      <c r="O36" s="104"/>
    </row>
    <row r="37" spans="1:15" s="82" customFormat="1" ht="12.75" customHeight="1">
      <c r="A37" s="900"/>
      <c r="B37" s="1123">
        <v>9</v>
      </c>
      <c r="C37" s="1127"/>
      <c r="D37" s="1125"/>
      <c r="E37" s="1125" t="s">
        <v>18</v>
      </c>
      <c r="F37" s="1130" t="str">
        <f>VLOOKUP(E37,$N$13:$O$17,2,0)</f>
        <v>-</v>
      </c>
      <c r="G37" s="92"/>
      <c r="H37" s="1125"/>
      <c r="I37" s="1125"/>
      <c r="J37" s="1133"/>
      <c r="K37" s="1133"/>
      <c r="L37" s="892"/>
      <c r="M37" s="892"/>
      <c r="N37" s="103"/>
      <c r="O37" s="104"/>
    </row>
    <row r="38" spans="1:15" s="82" customFormat="1" ht="12.75" customHeight="1">
      <c r="A38" s="900"/>
      <c r="B38" s="1123"/>
      <c r="C38" s="1127"/>
      <c r="D38" s="1125"/>
      <c r="E38" s="1125"/>
      <c r="F38" s="1130"/>
      <c r="G38" s="95"/>
      <c r="H38" s="1125"/>
      <c r="I38" s="1125"/>
      <c r="J38" s="1134"/>
      <c r="K38" s="1134"/>
      <c r="L38" s="892"/>
      <c r="M38" s="892"/>
      <c r="N38" s="103"/>
      <c r="O38" s="104"/>
    </row>
    <row r="39" spans="1:15" s="82" customFormat="1" ht="12.75" customHeight="1">
      <c r="A39" s="900"/>
      <c r="B39" s="1124"/>
      <c r="C39" s="1128"/>
      <c r="D39" s="1126"/>
      <c r="E39" s="1126"/>
      <c r="F39" s="1132"/>
      <c r="G39" s="100"/>
      <c r="H39" s="1126"/>
      <c r="I39" s="1126"/>
      <c r="J39" s="1135"/>
      <c r="K39" s="1135"/>
      <c r="L39" s="892"/>
      <c r="M39" s="892"/>
      <c r="N39" s="103"/>
      <c r="O39" s="104"/>
    </row>
    <row r="40" spans="1:15" s="82" customFormat="1" ht="12.75" customHeight="1">
      <c r="A40" s="900"/>
      <c r="B40" s="1123">
        <v>10</v>
      </c>
      <c r="C40" s="1127"/>
      <c r="D40" s="1125"/>
      <c r="E40" s="1125" t="s">
        <v>18</v>
      </c>
      <c r="F40" s="1130" t="str">
        <f>VLOOKUP(E40,$N$13:$O$17,2,0)</f>
        <v>-</v>
      </c>
      <c r="G40" s="92"/>
      <c r="H40" s="1125"/>
      <c r="I40" s="1125"/>
      <c r="J40" s="1133"/>
      <c r="K40" s="1133"/>
      <c r="L40" s="892"/>
      <c r="M40" s="892"/>
      <c r="N40" s="103"/>
      <c r="O40" s="104"/>
    </row>
    <row r="41" spans="1:15" s="82" customFormat="1" ht="12.75" customHeight="1">
      <c r="A41" s="900"/>
      <c r="B41" s="1123"/>
      <c r="C41" s="1127"/>
      <c r="D41" s="1125"/>
      <c r="E41" s="1125"/>
      <c r="F41" s="1130"/>
      <c r="G41" s="95"/>
      <c r="H41" s="1125"/>
      <c r="I41" s="1125"/>
      <c r="J41" s="1134"/>
      <c r="K41" s="1134"/>
      <c r="L41" s="892"/>
      <c r="M41" s="892"/>
      <c r="N41" s="103"/>
      <c r="O41" s="104"/>
    </row>
    <row r="42" spans="1:15" s="82" customFormat="1" ht="12.75" customHeight="1" thickBot="1">
      <c r="A42" s="900"/>
      <c r="B42" s="1124"/>
      <c r="C42" s="1128"/>
      <c r="D42" s="1126"/>
      <c r="E42" s="1126"/>
      <c r="F42" s="1132"/>
      <c r="G42" s="100"/>
      <c r="H42" s="1126"/>
      <c r="I42" s="1126"/>
      <c r="J42" s="1135"/>
      <c r="K42" s="1135"/>
      <c r="L42" s="892"/>
      <c r="M42" s="892"/>
      <c r="N42" s="103"/>
      <c r="O42" s="104"/>
    </row>
    <row r="43" spans="1:15" s="103" customFormat="1" ht="15.75" hidden="1" customHeight="1" outlineLevel="1">
      <c r="A43" s="916"/>
      <c r="B43" s="1123">
        <v>11</v>
      </c>
      <c r="C43" s="1127"/>
      <c r="D43" s="1125"/>
      <c r="E43" s="1125" t="s">
        <v>18</v>
      </c>
      <c r="F43" s="1130" t="str">
        <f>VLOOKUP(E43,$N$13:$O$17,2,0)</f>
        <v>-</v>
      </c>
      <c r="G43" s="92"/>
      <c r="H43" s="1125"/>
      <c r="I43" s="1125"/>
      <c r="J43" s="1133"/>
      <c r="K43" s="1133"/>
      <c r="L43" s="916"/>
      <c r="M43" s="916"/>
    </row>
    <row r="44" spans="1:15" s="103" customFormat="1" ht="15.75" hidden="1" customHeight="1" outlineLevel="1">
      <c r="A44" s="916"/>
      <c r="B44" s="1123"/>
      <c r="C44" s="1127"/>
      <c r="D44" s="1125"/>
      <c r="E44" s="1125"/>
      <c r="F44" s="1130"/>
      <c r="G44" s="95"/>
      <c r="H44" s="1125"/>
      <c r="I44" s="1125"/>
      <c r="J44" s="1134"/>
      <c r="K44" s="1134"/>
      <c r="L44" s="916"/>
      <c r="M44" s="916"/>
    </row>
    <row r="45" spans="1:15" s="80" customFormat="1" ht="15.75" hidden="1" customHeight="1" outlineLevel="1">
      <c r="A45" s="910"/>
      <c r="B45" s="1124"/>
      <c r="C45" s="1128"/>
      <c r="D45" s="1126"/>
      <c r="E45" s="1126"/>
      <c r="F45" s="1132"/>
      <c r="G45" s="100"/>
      <c r="H45" s="1126"/>
      <c r="I45" s="1126"/>
      <c r="J45" s="1135"/>
      <c r="K45" s="1135"/>
      <c r="L45" s="910"/>
      <c r="M45" s="910"/>
    </row>
    <row r="46" spans="1:15" s="80" customFormat="1" ht="15.75" hidden="1" customHeight="1" outlineLevel="1">
      <c r="A46" s="910"/>
      <c r="B46" s="1123">
        <v>12</v>
      </c>
      <c r="C46" s="1127"/>
      <c r="D46" s="1125"/>
      <c r="E46" s="1125" t="s">
        <v>18</v>
      </c>
      <c r="F46" s="1130" t="str">
        <f>VLOOKUP(E46,$N$13:$O$17,2,0)</f>
        <v>-</v>
      </c>
      <c r="G46" s="92"/>
      <c r="H46" s="1125"/>
      <c r="I46" s="1125"/>
      <c r="J46" s="1133"/>
      <c r="K46" s="1133"/>
      <c r="L46" s="910"/>
      <c r="M46" s="910"/>
    </row>
    <row r="47" spans="1:15" s="103" customFormat="1" ht="15.75" hidden="1" customHeight="1" outlineLevel="1">
      <c r="A47" s="916"/>
      <c r="B47" s="1123"/>
      <c r="C47" s="1127"/>
      <c r="D47" s="1125"/>
      <c r="E47" s="1125"/>
      <c r="F47" s="1130"/>
      <c r="G47" s="95"/>
      <c r="H47" s="1125"/>
      <c r="I47" s="1125"/>
      <c r="J47" s="1134"/>
      <c r="K47" s="1134"/>
      <c r="L47" s="916"/>
      <c r="M47" s="916"/>
    </row>
    <row r="48" spans="1:15" s="103" customFormat="1" ht="15.75" hidden="1" customHeight="1" outlineLevel="1">
      <c r="A48" s="916"/>
      <c r="B48" s="1124"/>
      <c r="C48" s="1128"/>
      <c r="D48" s="1126"/>
      <c r="E48" s="1126"/>
      <c r="F48" s="1132"/>
      <c r="G48" s="100"/>
      <c r="H48" s="1126"/>
      <c r="I48" s="1126"/>
      <c r="J48" s="1135"/>
      <c r="K48" s="1135"/>
      <c r="L48" s="916"/>
      <c r="M48" s="916"/>
    </row>
    <row r="49" spans="1:13" s="103" customFormat="1" ht="15.75" hidden="1" customHeight="1" outlineLevel="1">
      <c r="A49" s="916"/>
      <c r="B49" s="1123">
        <v>13</v>
      </c>
      <c r="C49" s="1127"/>
      <c r="D49" s="1125"/>
      <c r="E49" s="1125" t="s">
        <v>18</v>
      </c>
      <c r="F49" s="1130" t="str">
        <f>VLOOKUP(E49,$N$13:$O$17,2,0)</f>
        <v>-</v>
      </c>
      <c r="G49" s="92"/>
      <c r="H49" s="1125"/>
      <c r="I49" s="1125"/>
      <c r="J49" s="1133"/>
      <c r="K49" s="1133"/>
      <c r="L49" s="916"/>
      <c r="M49" s="916"/>
    </row>
    <row r="50" spans="1:13" s="103" customFormat="1" ht="15.75" hidden="1" customHeight="1" outlineLevel="1">
      <c r="A50" s="916"/>
      <c r="B50" s="1123"/>
      <c r="C50" s="1127"/>
      <c r="D50" s="1125"/>
      <c r="E50" s="1125"/>
      <c r="F50" s="1130"/>
      <c r="G50" s="95"/>
      <c r="H50" s="1125"/>
      <c r="I50" s="1125"/>
      <c r="J50" s="1134"/>
      <c r="K50" s="1134"/>
      <c r="L50" s="916"/>
      <c r="M50" s="916"/>
    </row>
    <row r="51" spans="1:13" s="103" customFormat="1" ht="15.75" hidden="1" customHeight="1" outlineLevel="1">
      <c r="A51" s="916"/>
      <c r="B51" s="1124"/>
      <c r="C51" s="1128"/>
      <c r="D51" s="1126"/>
      <c r="E51" s="1126"/>
      <c r="F51" s="1132"/>
      <c r="G51" s="100"/>
      <c r="H51" s="1126"/>
      <c r="I51" s="1126"/>
      <c r="J51" s="1135"/>
      <c r="K51" s="1135"/>
      <c r="L51" s="916"/>
      <c r="M51" s="916"/>
    </row>
    <row r="52" spans="1:13" s="103" customFormat="1" ht="15.75" hidden="1" customHeight="1" outlineLevel="1">
      <c r="A52" s="916"/>
      <c r="B52" s="1123">
        <v>14</v>
      </c>
      <c r="C52" s="1127"/>
      <c r="D52" s="1125"/>
      <c r="E52" s="1125" t="s">
        <v>18</v>
      </c>
      <c r="F52" s="1130" t="str">
        <f>VLOOKUP(E52,$N$13:$O$17,2,0)</f>
        <v>-</v>
      </c>
      <c r="G52" s="92"/>
      <c r="H52" s="1125"/>
      <c r="I52" s="1125"/>
      <c r="J52" s="1133"/>
      <c r="K52" s="1133"/>
      <c r="L52" s="916"/>
      <c r="M52" s="916"/>
    </row>
    <row r="53" spans="1:13" s="103" customFormat="1" ht="15.75" hidden="1" customHeight="1" outlineLevel="1">
      <c r="A53" s="916"/>
      <c r="B53" s="1123"/>
      <c r="C53" s="1127"/>
      <c r="D53" s="1125"/>
      <c r="E53" s="1125"/>
      <c r="F53" s="1130"/>
      <c r="G53" s="95"/>
      <c r="H53" s="1125"/>
      <c r="I53" s="1125"/>
      <c r="J53" s="1134"/>
      <c r="K53" s="1134"/>
      <c r="L53" s="916"/>
      <c r="M53" s="916"/>
    </row>
    <row r="54" spans="1:13" s="103" customFormat="1" ht="15.75" hidden="1" customHeight="1" outlineLevel="1">
      <c r="A54" s="916"/>
      <c r="B54" s="1124"/>
      <c r="C54" s="1128"/>
      <c r="D54" s="1126"/>
      <c r="E54" s="1126"/>
      <c r="F54" s="1132"/>
      <c r="G54" s="100"/>
      <c r="H54" s="1126"/>
      <c r="I54" s="1126"/>
      <c r="J54" s="1135"/>
      <c r="K54" s="1135"/>
      <c r="L54" s="916"/>
      <c r="M54" s="916"/>
    </row>
    <row r="55" spans="1:13" s="103" customFormat="1" ht="15.75" hidden="1" customHeight="1" outlineLevel="1">
      <c r="A55" s="916"/>
      <c r="B55" s="1123">
        <v>15</v>
      </c>
      <c r="C55" s="1127"/>
      <c r="D55" s="1125"/>
      <c r="E55" s="1125" t="s">
        <v>18</v>
      </c>
      <c r="F55" s="1130" t="str">
        <f>VLOOKUP(E55,$N$13:$O$17,2,0)</f>
        <v>-</v>
      </c>
      <c r="G55" s="92"/>
      <c r="H55" s="1125"/>
      <c r="I55" s="1125"/>
      <c r="J55" s="1133"/>
      <c r="K55" s="1133"/>
      <c r="L55" s="916"/>
      <c r="M55" s="916"/>
    </row>
    <row r="56" spans="1:13" s="103" customFormat="1" ht="15.75" hidden="1" customHeight="1" outlineLevel="1">
      <c r="A56" s="916"/>
      <c r="B56" s="1123"/>
      <c r="C56" s="1127"/>
      <c r="D56" s="1125"/>
      <c r="E56" s="1125"/>
      <c r="F56" s="1130"/>
      <c r="G56" s="95"/>
      <c r="H56" s="1125"/>
      <c r="I56" s="1125"/>
      <c r="J56" s="1134"/>
      <c r="K56" s="1134"/>
      <c r="L56" s="916"/>
      <c r="M56" s="916"/>
    </row>
    <row r="57" spans="1:13" s="103" customFormat="1" ht="15.75" hidden="1" customHeight="1" outlineLevel="1">
      <c r="A57" s="916"/>
      <c r="B57" s="1124"/>
      <c r="C57" s="1128"/>
      <c r="D57" s="1126"/>
      <c r="E57" s="1126"/>
      <c r="F57" s="1132"/>
      <c r="G57" s="100"/>
      <c r="H57" s="1126"/>
      <c r="I57" s="1126"/>
      <c r="J57" s="1135"/>
      <c r="K57" s="1135"/>
      <c r="L57" s="916"/>
      <c r="M57" s="916"/>
    </row>
    <row r="58" spans="1:13" s="103" customFormat="1" ht="15.75" hidden="1" customHeight="1" outlineLevel="1">
      <c r="A58" s="916"/>
      <c r="B58" s="1123">
        <v>16</v>
      </c>
      <c r="C58" s="1127"/>
      <c r="D58" s="1125"/>
      <c r="E58" s="1125" t="s">
        <v>18</v>
      </c>
      <c r="F58" s="1130" t="e">
        <f>IF(F$25=0,0,F32/F$25)</f>
        <v>#VALUE!</v>
      </c>
      <c r="G58" s="92"/>
      <c r="H58" s="1125"/>
      <c r="I58" s="1125"/>
      <c r="J58" s="1133"/>
      <c r="K58" s="1133"/>
      <c r="L58" s="916"/>
      <c r="M58" s="916"/>
    </row>
    <row r="59" spans="1:13" s="103" customFormat="1" ht="15.75" hidden="1" customHeight="1" outlineLevel="1">
      <c r="A59" s="916"/>
      <c r="B59" s="1123"/>
      <c r="C59" s="1127"/>
      <c r="D59" s="1125"/>
      <c r="E59" s="1125"/>
      <c r="F59" s="1130"/>
      <c r="G59" s="95"/>
      <c r="H59" s="1125"/>
      <c r="I59" s="1125"/>
      <c r="J59" s="1134"/>
      <c r="K59" s="1134"/>
      <c r="L59" s="916"/>
      <c r="M59" s="916"/>
    </row>
    <row r="60" spans="1:13" s="103" customFormat="1" ht="15.75" hidden="1" customHeight="1" outlineLevel="1">
      <c r="A60" s="916"/>
      <c r="B60" s="1124"/>
      <c r="C60" s="1128"/>
      <c r="D60" s="1126"/>
      <c r="E60" s="1126"/>
      <c r="F60" s="1132"/>
      <c r="G60" s="100"/>
      <c r="H60" s="1126"/>
      <c r="I60" s="1126"/>
      <c r="J60" s="1135"/>
      <c r="K60" s="1135"/>
      <c r="L60" s="916"/>
      <c r="M60" s="916"/>
    </row>
    <row r="61" spans="1:13" s="103" customFormat="1" ht="15.75" hidden="1" customHeight="1" outlineLevel="1">
      <c r="A61" s="916"/>
      <c r="B61" s="1123">
        <v>17</v>
      </c>
      <c r="C61" s="1127"/>
      <c r="D61" s="1125"/>
      <c r="E61" s="1125" t="s">
        <v>18</v>
      </c>
      <c r="F61" s="1130" t="str">
        <f>VLOOKUP(E61,$N$13:$O$17,2,0)</f>
        <v>-</v>
      </c>
      <c r="G61" s="92"/>
      <c r="H61" s="1125"/>
      <c r="I61" s="1125"/>
      <c r="J61" s="1133"/>
      <c r="K61" s="1133"/>
      <c r="L61" s="916"/>
      <c r="M61" s="916"/>
    </row>
    <row r="62" spans="1:13" s="103" customFormat="1" ht="15.75" hidden="1" customHeight="1" outlineLevel="1">
      <c r="A62" s="916"/>
      <c r="B62" s="1123"/>
      <c r="C62" s="1127"/>
      <c r="D62" s="1125"/>
      <c r="E62" s="1125"/>
      <c r="F62" s="1130"/>
      <c r="G62" s="95"/>
      <c r="H62" s="1125"/>
      <c r="I62" s="1125"/>
      <c r="J62" s="1134"/>
      <c r="K62" s="1134"/>
      <c r="L62" s="916"/>
      <c r="M62" s="916"/>
    </row>
    <row r="63" spans="1:13" s="103" customFormat="1" ht="15.75" hidden="1" customHeight="1" outlineLevel="1">
      <c r="A63" s="916"/>
      <c r="B63" s="1124"/>
      <c r="C63" s="1128"/>
      <c r="D63" s="1126"/>
      <c r="E63" s="1126"/>
      <c r="F63" s="1132"/>
      <c r="G63" s="100"/>
      <c r="H63" s="1126"/>
      <c r="I63" s="1126"/>
      <c r="J63" s="1135"/>
      <c r="K63" s="1135"/>
      <c r="L63" s="916"/>
      <c r="M63" s="916"/>
    </row>
    <row r="64" spans="1:13" s="103" customFormat="1" ht="15.75" hidden="1" customHeight="1" outlineLevel="1">
      <c r="A64" s="916"/>
      <c r="B64" s="1123">
        <v>18</v>
      </c>
      <c r="C64" s="1127"/>
      <c r="D64" s="1125"/>
      <c r="E64" s="1125" t="s">
        <v>18</v>
      </c>
      <c r="F64" s="1130" t="str">
        <f>VLOOKUP(E64,$N$13:$O$17,2,0)</f>
        <v>-</v>
      </c>
      <c r="G64" s="92"/>
      <c r="H64" s="1125"/>
      <c r="I64" s="1125"/>
      <c r="J64" s="1133"/>
      <c r="K64" s="1133"/>
      <c r="L64" s="916"/>
      <c r="M64" s="916"/>
    </row>
    <row r="65" spans="1:13" s="103" customFormat="1" ht="15.75" hidden="1" customHeight="1" outlineLevel="1">
      <c r="A65" s="916"/>
      <c r="B65" s="1123"/>
      <c r="C65" s="1127"/>
      <c r="D65" s="1125"/>
      <c r="E65" s="1125"/>
      <c r="F65" s="1130"/>
      <c r="G65" s="95"/>
      <c r="H65" s="1125"/>
      <c r="I65" s="1125"/>
      <c r="J65" s="1134"/>
      <c r="K65" s="1134"/>
      <c r="L65" s="916"/>
      <c r="M65" s="916"/>
    </row>
    <row r="66" spans="1:13" s="103" customFormat="1" ht="15.75" hidden="1" customHeight="1" outlineLevel="1">
      <c r="A66" s="916"/>
      <c r="B66" s="1124"/>
      <c r="C66" s="1128"/>
      <c r="D66" s="1126"/>
      <c r="E66" s="1126"/>
      <c r="F66" s="1132"/>
      <c r="G66" s="100"/>
      <c r="H66" s="1126"/>
      <c r="I66" s="1126"/>
      <c r="J66" s="1135"/>
      <c r="K66" s="1135"/>
      <c r="L66" s="916"/>
      <c r="M66" s="916"/>
    </row>
    <row r="67" spans="1:13" s="103" customFormat="1" ht="15.75" hidden="1" customHeight="1" outlineLevel="1">
      <c r="A67" s="916"/>
      <c r="B67" s="1123">
        <v>19</v>
      </c>
      <c r="C67" s="1127"/>
      <c r="D67" s="1125"/>
      <c r="E67" s="1125" t="s">
        <v>18</v>
      </c>
      <c r="F67" s="1130" t="str">
        <f>VLOOKUP(E67,$N$13:$O$17,2,0)</f>
        <v>-</v>
      </c>
      <c r="G67" s="92"/>
      <c r="H67" s="1125"/>
      <c r="I67" s="1125"/>
      <c r="J67" s="1133"/>
      <c r="K67" s="1133"/>
      <c r="L67" s="916"/>
      <c r="M67" s="916"/>
    </row>
    <row r="68" spans="1:13" s="103" customFormat="1" ht="15.75" hidden="1" customHeight="1" outlineLevel="1">
      <c r="A68" s="916"/>
      <c r="B68" s="1123"/>
      <c r="C68" s="1127"/>
      <c r="D68" s="1125"/>
      <c r="E68" s="1125"/>
      <c r="F68" s="1130"/>
      <c r="G68" s="95"/>
      <c r="H68" s="1125"/>
      <c r="I68" s="1125"/>
      <c r="J68" s="1134"/>
      <c r="K68" s="1134"/>
      <c r="L68" s="916"/>
      <c r="M68" s="916"/>
    </row>
    <row r="69" spans="1:13" s="103" customFormat="1" ht="15.75" hidden="1" customHeight="1" outlineLevel="1">
      <c r="A69" s="916"/>
      <c r="B69" s="1124"/>
      <c r="C69" s="1128"/>
      <c r="D69" s="1126"/>
      <c r="E69" s="1126"/>
      <c r="F69" s="1132"/>
      <c r="G69" s="100"/>
      <c r="H69" s="1126"/>
      <c r="I69" s="1126"/>
      <c r="J69" s="1135"/>
      <c r="K69" s="1135"/>
      <c r="L69" s="916"/>
      <c r="M69" s="916"/>
    </row>
    <row r="70" spans="1:13" s="103" customFormat="1" ht="15.75" hidden="1" customHeight="1" outlineLevel="1">
      <c r="A70" s="916"/>
      <c r="B70" s="1123">
        <v>20</v>
      </c>
      <c r="C70" s="1127"/>
      <c r="D70" s="1125"/>
      <c r="E70" s="1125" t="s">
        <v>18</v>
      </c>
      <c r="F70" s="1130" t="str">
        <f>VLOOKUP(E70,$N$13:$O$17,2,0)</f>
        <v>-</v>
      </c>
      <c r="G70" s="92"/>
      <c r="H70" s="1125"/>
      <c r="I70" s="1125"/>
      <c r="J70" s="1133"/>
      <c r="K70" s="1133"/>
      <c r="L70" s="916"/>
      <c r="M70" s="916"/>
    </row>
    <row r="71" spans="1:13" s="103" customFormat="1" ht="15.75" hidden="1" customHeight="1" outlineLevel="1">
      <c r="A71" s="916"/>
      <c r="B71" s="1123"/>
      <c r="C71" s="1127"/>
      <c r="D71" s="1125"/>
      <c r="E71" s="1125"/>
      <c r="F71" s="1130"/>
      <c r="G71" s="95"/>
      <c r="H71" s="1125"/>
      <c r="I71" s="1125"/>
      <c r="J71" s="1134"/>
      <c r="K71" s="1134"/>
      <c r="L71" s="916"/>
      <c r="M71" s="916"/>
    </row>
    <row r="72" spans="1:13" s="103" customFormat="1" ht="15.75" hidden="1" customHeight="1" outlineLevel="1">
      <c r="A72" s="916"/>
      <c r="B72" s="1124"/>
      <c r="C72" s="1128"/>
      <c r="D72" s="1126"/>
      <c r="E72" s="1126"/>
      <c r="F72" s="1132"/>
      <c r="G72" s="100"/>
      <c r="H72" s="1126"/>
      <c r="I72" s="1126"/>
      <c r="J72" s="1135"/>
      <c r="K72" s="1135"/>
      <c r="L72" s="916"/>
      <c r="M72" s="916"/>
    </row>
    <row r="73" spans="1:13" s="103" customFormat="1" ht="15.75" hidden="1" customHeight="1" outlineLevel="1">
      <c r="A73" s="916"/>
      <c r="B73" s="1123">
        <v>21</v>
      </c>
      <c r="C73" s="1127"/>
      <c r="D73" s="1125"/>
      <c r="E73" s="1125" t="s">
        <v>18</v>
      </c>
      <c r="F73" s="1130" t="str">
        <f>VLOOKUP(E73,$N$13:$O$17,2,0)</f>
        <v>-</v>
      </c>
      <c r="G73" s="92"/>
      <c r="H73" s="1125"/>
      <c r="I73" s="1125"/>
      <c r="J73" s="1133"/>
      <c r="K73" s="1133"/>
      <c r="L73" s="916"/>
      <c r="M73" s="916"/>
    </row>
    <row r="74" spans="1:13" s="103" customFormat="1" ht="15.75" hidden="1" customHeight="1" outlineLevel="1">
      <c r="A74" s="916"/>
      <c r="B74" s="1123"/>
      <c r="C74" s="1127"/>
      <c r="D74" s="1125"/>
      <c r="E74" s="1125"/>
      <c r="F74" s="1130"/>
      <c r="G74" s="95"/>
      <c r="H74" s="1125"/>
      <c r="I74" s="1125"/>
      <c r="J74" s="1134"/>
      <c r="K74" s="1134"/>
      <c r="L74" s="916"/>
      <c r="M74" s="916"/>
    </row>
    <row r="75" spans="1:13" s="103" customFormat="1" ht="15.75" hidden="1" customHeight="1" outlineLevel="1">
      <c r="A75" s="916"/>
      <c r="B75" s="1124"/>
      <c r="C75" s="1128"/>
      <c r="D75" s="1126"/>
      <c r="E75" s="1126"/>
      <c r="F75" s="1132"/>
      <c r="G75" s="100"/>
      <c r="H75" s="1126"/>
      <c r="I75" s="1126"/>
      <c r="J75" s="1135"/>
      <c r="K75" s="1135"/>
      <c r="L75" s="916"/>
      <c r="M75" s="916"/>
    </row>
    <row r="76" spans="1:13" s="103" customFormat="1" ht="15.75" hidden="1" customHeight="1" outlineLevel="1">
      <c r="A76" s="916"/>
      <c r="B76" s="1123">
        <v>22</v>
      </c>
      <c r="C76" s="1127"/>
      <c r="D76" s="1125"/>
      <c r="E76" s="1125" t="s">
        <v>18</v>
      </c>
      <c r="F76" s="1130" t="str">
        <f>VLOOKUP(E76,$N$13:$O$17,2,0)</f>
        <v>-</v>
      </c>
      <c r="G76" s="92"/>
      <c r="H76" s="1125"/>
      <c r="I76" s="1125"/>
      <c r="J76" s="1133"/>
      <c r="K76" s="1133"/>
      <c r="L76" s="916"/>
      <c r="M76" s="916"/>
    </row>
    <row r="77" spans="1:13" s="103" customFormat="1" ht="15.75" hidden="1" customHeight="1" outlineLevel="1">
      <c r="A77" s="916"/>
      <c r="B77" s="1123"/>
      <c r="C77" s="1127"/>
      <c r="D77" s="1125"/>
      <c r="E77" s="1125"/>
      <c r="F77" s="1130"/>
      <c r="G77" s="95"/>
      <c r="H77" s="1125"/>
      <c r="I77" s="1125"/>
      <c r="J77" s="1134"/>
      <c r="K77" s="1134"/>
      <c r="L77" s="916"/>
      <c r="M77" s="916"/>
    </row>
    <row r="78" spans="1:13" s="103" customFormat="1" ht="15.75" hidden="1" customHeight="1" outlineLevel="1">
      <c r="A78" s="916"/>
      <c r="B78" s="1124"/>
      <c r="C78" s="1128"/>
      <c r="D78" s="1126"/>
      <c r="E78" s="1126"/>
      <c r="F78" s="1132"/>
      <c r="G78" s="100"/>
      <c r="H78" s="1126"/>
      <c r="I78" s="1126"/>
      <c r="J78" s="1135"/>
      <c r="K78" s="1135"/>
      <c r="L78" s="916"/>
      <c r="M78" s="916"/>
    </row>
    <row r="79" spans="1:13" s="103" customFormat="1" ht="15.75" hidden="1" customHeight="1" outlineLevel="1">
      <c r="A79" s="916"/>
      <c r="B79" s="1123">
        <v>23</v>
      </c>
      <c r="C79" s="1127"/>
      <c r="D79" s="1125"/>
      <c r="E79" s="1125" t="s">
        <v>18</v>
      </c>
      <c r="F79" s="1130" t="str">
        <f>VLOOKUP(E79,$N$13:$O$17,2,0)</f>
        <v>-</v>
      </c>
      <c r="G79" s="92"/>
      <c r="H79" s="1125"/>
      <c r="I79" s="1125"/>
      <c r="J79" s="1133"/>
      <c r="K79" s="1133"/>
      <c r="L79" s="916"/>
      <c r="M79" s="916"/>
    </row>
    <row r="80" spans="1:13" s="103" customFormat="1" ht="15.75" hidden="1" customHeight="1" outlineLevel="1">
      <c r="A80" s="916"/>
      <c r="B80" s="1123"/>
      <c r="C80" s="1127"/>
      <c r="D80" s="1125"/>
      <c r="E80" s="1125"/>
      <c r="F80" s="1130"/>
      <c r="G80" s="95"/>
      <c r="H80" s="1125"/>
      <c r="I80" s="1125"/>
      <c r="J80" s="1134"/>
      <c r="K80" s="1134"/>
      <c r="L80" s="916"/>
      <c r="M80" s="916"/>
    </row>
    <row r="81" spans="1:13" s="103" customFormat="1" ht="15.75" hidden="1" customHeight="1" outlineLevel="1">
      <c r="A81" s="916"/>
      <c r="B81" s="1124"/>
      <c r="C81" s="1128"/>
      <c r="D81" s="1126"/>
      <c r="E81" s="1126"/>
      <c r="F81" s="1132"/>
      <c r="G81" s="100"/>
      <c r="H81" s="1126"/>
      <c r="I81" s="1126"/>
      <c r="J81" s="1135"/>
      <c r="K81" s="1135"/>
      <c r="L81" s="916"/>
      <c r="M81" s="916"/>
    </row>
    <row r="82" spans="1:13" s="103" customFormat="1" ht="15.75" hidden="1" customHeight="1" outlineLevel="1">
      <c r="A82" s="916"/>
      <c r="B82" s="1123">
        <v>24</v>
      </c>
      <c r="C82" s="1127"/>
      <c r="D82" s="1125"/>
      <c r="E82" s="1125" t="s">
        <v>18</v>
      </c>
      <c r="F82" s="1130" t="str">
        <f>VLOOKUP(E82,$N$13:$O$17,2,0)</f>
        <v>-</v>
      </c>
      <c r="G82" s="92"/>
      <c r="H82" s="1125"/>
      <c r="I82" s="1125"/>
      <c r="J82" s="1133"/>
      <c r="K82" s="1133"/>
      <c r="L82" s="916"/>
      <c r="M82" s="916"/>
    </row>
    <row r="83" spans="1:13" s="103" customFormat="1" ht="15.75" hidden="1" customHeight="1" outlineLevel="1">
      <c r="A83" s="916"/>
      <c r="B83" s="1123"/>
      <c r="C83" s="1127"/>
      <c r="D83" s="1125"/>
      <c r="E83" s="1125"/>
      <c r="F83" s="1130"/>
      <c r="G83" s="95"/>
      <c r="H83" s="1125"/>
      <c r="I83" s="1125"/>
      <c r="J83" s="1134"/>
      <c r="K83" s="1134"/>
      <c r="L83" s="916"/>
      <c r="M83" s="916"/>
    </row>
    <row r="84" spans="1:13" s="103" customFormat="1" ht="15.75" hidden="1" customHeight="1" outlineLevel="1">
      <c r="A84" s="916"/>
      <c r="B84" s="1124"/>
      <c r="C84" s="1128"/>
      <c r="D84" s="1126"/>
      <c r="E84" s="1126"/>
      <c r="F84" s="1132"/>
      <c r="G84" s="100"/>
      <c r="H84" s="1126"/>
      <c r="I84" s="1126"/>
      <c r="J84" s="1135"/>
      <c r="K84" s="1135"/>
      <c r="L84" s="916"/>
      <c r="M84" s="916"/>
    </row>
    <row r="85" spans="1:13" s="103" customFormat="1" ht="15.75" hidden="1" customHeight="1" outlineLevel="1">
      <c r="A85" s="916"/>
      <c r="B85" s="1123">
        <v>25</v>
      </c>
      <c r="C85" s="1127"/>
      <c r="D85" s="1125"/>
      <c r="E85" s="1125" t="s">
        <v>18</v>
      </c>
      <c r="F85" s="1130" t="str">
        <f>VLOOKUP(E85,$N$13:$O$17,2,0)</f>
        <v>-</v>
      </c>
      <c r="G85" s="92"/>
      <c r="H85" s="1125"/>
      <c r="I85" s="1125"/>
      <c r="J85" s="1133"/>
      <c r="K85" s="1133"/>
      <c r="L85" s="916"/>
      <c r="M85" s="916"/>
    </row>
    <row r="86" spans="1:13" s="103" customFormat="1" ht="15.75" hidden="1" customHeight="1" outlineLevel="1">
      <c r="A86" s="916"/>
      <c r="B86" s="1123"/>
      <c r="C86" s="1127"/>
      <c r="D86" s="1125"/>
      <c r="E86" s="1125"/>
      <c r="F86" s="1130"/>
      <c r="G86" s="95"/>
      <c r="H86" s="1125"/>
      <c r="I86" s="1125"/>
      <c r="J86" s="1134"/>
      <c r="K86" s="1134"/>
      <c r="L86" s="916"/>
      <c r="M86" s="916"/>
    </row>
    <row r="87" spans="1:13" s="103" customFormat="1" ht="15.75" hidden="1" customHeight="1" outlineLevel="1">
      <c r="A87" s="916"/>
      <c r="B87" s="1124"/>
      <c r="C87" s="1128"/>
      <c r="D87" s="1126"/>
      <c r="E87" s="1126"/>
      <c r="F87" s="1132"/>
      <c r="G87" s="100"/>
      <c r="H87" s="1126"/>
      <c r="I87" s="1126"/>
      <c r="J87" s="1135"/>
      <c r="K87" s="1135"/>
      <c r="L87" s="916"/>
      <c r="M87" s="916"/>
    </row>
    <row r="88" spans="1:13" s="103" customFormat="1" ht="15.75" hidden="1" customHeight="1" outlineLevel="1">
      <c r="A88" s="916"/>
      <c r="B88" s="1123">
        <v>26</v>
      </c>
      <c r="C88" s="1127"/>
      <c r="D88" s="1125"/>
      <c r="E88" s="1125" t="s">
        <v>18</v>
      </c>
      <c r="F88" s="1130" t="str">
        <f>VLOOKUP(E88,$N$13:$O$17,2,0)</f>
        <v>-</v>
      </c>
      <c r="G88" s="92"/>
      <c r="H88" s="1125"/>
      <c r="I88" s="1125"/>
      <c r="J88" s="1133"/>
      <c r="K88" s="1133"/>
      <c r="L88" s="916"/>
      <c r="M88" s="916"/>
    </row>
    <row r="89" spans="1:13" s="103" customFormat="1" ht="15.75" hidden="1" customHeight="1" outlineLevel="1">
      <c r="A89" s="916"/>
      <c r="B89" s="1123"/>
      <c r="C89" s="1127"/>
      <c r="D89" s="1125"/>
      <c r="E89" s="1125"/>
      <c r="F89" s="1130"/>
      <c r="G89" s="95"/>
      <c r="H89" s="1125"/>
      <c r="I89" s="1125"/>
      <c r="J89" s="1134"/>
      <c r="K89" s="1134"/>
      <c r="L89" s="916"/>
      <c r="M89" s="916"/>
    </row>
    <row r="90" spans="1:13" s="103" customFormat="1" ht="15.75" hidden="1" customHeight="1" outlineLevel="1">
      <c r="A90" s="916"/>
      <c r="B90" s="1124"/>
      <c r="C90" s="1128"/>
      <c r="D90" s="1126"/>
      <c r="E90" s="1126"/>
      <c r="F90" s="1132"/>
      <c r="G90" s="100"/>
      <c r="H90" s="1126"/>
      <c r="I90" s="1126"/>
      <c r="J90" s="1135"/>
      <c r="K90" s="1135"/>
      <c r="L90" s="916"/>
      <c r="M90" s="916"/>
    </row>
    <row r="91" spans="1:13" s="103" customFormat="1" ht="15.75" hidden="1" customHeight="1" outlineLevel="1">
      <c r="A91" s="916"/>
      <c r="B91" s="1123">
        <v>27</v>
      </c>
      <c r="C91" s="1127"/>
      <c r="D91" s="1125"/>
      <c r="E91" s="1125" t="s">
        <v>18</v>
      </c>
      <c r="F91" s="1130" t="str">
        <f>VLOOKUP(E91,$N$13:$O$17,2,0)</f>
        <v>-</v>
      </c>
      <c r="G91" s="92"/>
      <c r="H91" s="1125"/>
      <c r="I91" s="1125"/>
      <c r="J91" s="1133"/>
      <c r="K91" s="1133"/>
      <c r="L91" s="916"/>
      <c r="M91" s="916"/>
    </row>
    <row r="92" spans="1:13" s="103" customFormat="1" ht="15.75" hidden="1" customHeight="1" outlineLevel="1">
      <c r="A92" s="916"/>
      <c r="B92" s="1123"/>
      <c r="C92" s="1127"/>
      <c r="D92" s="1125"/>
      <c r="E92" s="1125"/>
      <c r="F92" s="1130"/>
      <c r="G92" s="95"/>
      <c r="H92" s="1125"/>
      <c r="I92" s="1125"/>
      <c r="J92" s="1134"/>
      <c r="K92" s="1134"/>
      <c r="L92" s="916"/>
      <c r="M92" s="916"/>
    </row>
    <row r="93" spans="1:13" s="103" customFormat="1" ht="15.75" hidden="1" customHeight="1" outlineLevel="1">
      <c r="A93" s="916"/>
      <c r="B93" s="1124"/>
      <c r="C93" s="1128"/>
      <c r="D93" s="1126"/>
      <c r="E93" s="1126"/>
      <c r="F93" s="1132"/>
      <c r="G93" s="100"/>
      <c r="H93" s="1126"/>
      <c r="I93" s="1126"/>
      <c r="J93" s="1135"/>
      <c r="K93" s="1135"/>
      <c r="L93" s="916"/>
      <c r="M93" s="916"/>
    </row>
    <row r="94" spans="1:13" s="103" customFormat="1" ht="15.75" hidden="1" customHeight="1" outlineLevel="1">
      <c r="A94" s="916"/>
      <c r="B94" s="1123">
        <v>28</v>
      </c>
      <c r="C94" s="1127"/>
      <c r="D94" s="1125"/>
      <c r="E94" s="1125" t="s">
        <v>18</v>
      </c>
      <c r="F94" s="1130" t="str">
        <f>VLOOKUP(E94,$N$13:$O$17,2,0)</f>
        <v>-</v>
      </c>
      <c r="G94" s="92"/>
      <c r="H94" s="1125"/>
      <c r="I94" s="1125"/>
      <c r="J94" s="1133"/>
      <c r="K94" s="1133"/>
      <c r="L94" s="916"/>
      <c r="M94" s="916"/>
    </row>
    <row r="95" spans="1:13" s="103" customFormat="1" ht="15.75" hidden="1" customHeight="1" outlineLevel="1">
      <c r="A95" s="916"/>
      <c r="B95" s="1123"/>
      <c r="C95" s="1127"/>
      <c r="D95" s="1125"/>
      <c r="E95" s="1125"/>
      <c r="F95" s="1130"/>
      <c r="G95" s="95"/>
      <c r="H95" s="1125"/>
      <c r="I95" s="1125"/>
      <c r="J95" s="1134"/>
      <c r="K95" s="1134"/>
      <c r="L95" s="916"/>
      <c r="M95" s="916"/>
    </row>
    <row r="96" spans="1:13" s="103" customFormat="1" ht="15.75" hidden="1" customHeight="1" outlineLevel="1">
      <c r="A96" s="916"/>
      <c r="B96" s="1124"/>
      <c r="C96" s="1128"/>
      <c r="D96" s="1126"/>
      <c r="E96" s="1126"/>
      <c r="F96" s="1132"/>
      <c r="G96" s="100"/>
      <c r="H96" s="1126"/>
      <c r="I96" s="1126"/>
      <c r="J96" s="1135"/>
      <c r="K96" s="1135"/>
      <c r="L96" s="916"/>
      <c r="M96" s="916"/>
    </row>
    <row r="97" spans="1:13" s="103" customFormat="1" ht="15.75" hidden="1" customHeight="1" outlineLevel="1">
      <c r="A97" s="916"/>
      <c r="B97" s="1123">
        <v>29</v>
      </c>
      <c r="C97" s="1127"/>
      <c r="D97" s="1125"/>
      <c r="E97" s="1125" t="s">
        <v>18</v>
      </c>
      <c r="F97" s="1130" t="str">
        <f>VLOOKUP(E97,$N$13:$O$17,2,0)</f>
        <v>-</v>
      </c>
      <c r="G97" s="92"/>
      <c r="H97" s="1125"/>
      <c r="I97" s="1125"/>
      <c r="J97" s="1133"/>
      <c r="K97" s="1133"/>
      <c r="L97" s="916"/>
      <c r="M97" s="916"/>
    </row>
    <row r="98" spans="1:13" s="103" customFormat="1" ht="15.75" hidden="1" customHeight="1" outlineLevel="1">
      <c r="A98" s="916"/>
      <c r="B98" s="1123"/>
      <c r="C98" s="1127"/>
      <c r="D98" s="1125"/>
      <c r="E98" s="1125"/>
      <c r="F98" s="1130"/>
      <c r="G98" s="95"/>
      <c r="H98" s="1125"/>
      <c r="I98" s="1125"/>
      <c r="J98" s="1134"/>
      <c r="K98" s="1134"/>
      <c r="L98" s="916"/>
      <c r="M98" s="916"/>
    </row>
    <row r="99" spans="1:13" s="103" customFormat="1" ht="15.75" hidden="1" customHeight="1" outlineLevel="1">
      <c r="A99" s="916"/>
      <c r="B99" s="1124"/>
      <c r="C99" s="1128"/>
      <c r="D99" s="1126"/>
      <c r="E99" s="1126"/>
      <c r="F99" s="1132"/>
      <c r="G99" s="100"/>
      <c r="H99" s="1126"/>
      <c r="I99" s="1126"/>
      <c r="J99" s="1135"/>
      <c r="K99" s="1135"/>
      <c r="L99" s="916"/>
      <c r="M99" s="916"/>
    </row>
    <row r="100" spans="1:13" s="103" customFormat="1" ht="15.75" hidden="1" customHeight="1" outlineLevel="1">
      <c r="A100" s="916"/>
      <c r="B100" s="1123">
        <v>30</v>
      </c>
      <c r="C100" s="1127"/>
      <c r="D100" s="1125"/>
      <c r="E100" s="1125" t="s">
        <v>18</v>
      </c>
      <c r="F100" s="1130" t="str">
        <f>VLOOKUP(E100,$N$13:$O$17,2,0)</f>
        <v>-</v>
      </c>
      <c r="G100" s="92"/>
      <c r="H100" s="1125"/>
      <c r="I100" s="1125"/>
      <c r="J100" s="1133"/>
      <c r="K100" s="1133"/>
      <c r="L100" s="916"/>
      <c r="M100" s="916"/>
    </row>
    <row r="101" spans="1:13" s="103" customFormat="1" ht="15.75" hidden="1" customHeight="1" outlineLevel="1">
      <c r="A101" s="916"/>
      <c r="B101" s="1123"/>
      <c r="C101" s="1127"/>
      <c r="D101" s="1125"/>
      <c r="E101" s="1125"/>
      <c r="F101" s="1130"/>
      <c r="G101" s="95"/>
      <c r="H101" s="1125"/>
      <c r="I101" s="1125"/>
      <c r="J101" s="1134"/>
      <c r="K101" s="1134"/>
      <c r="L101" s="916"/>
      <c r="M101" s="916"/>
    </row>
    <row r="102" spans="1:13" s="103" customFormat="1" ht="15.75" hidden="1" customHeight="1" outlineLevel="1">
      <c r="A102" s="916"/>
      <c r="B102" s="1124"/>
      <c r="C102" s="1128"/>
      <c r="D102" s="1126"/>
      <c r="E102" s="1126"/>
      <c r="F102" s="1132"/>
      <c r="G102" s="100"/>
      <c r="H102" s="1126"/>
      <c r="I102" s="1126"/>
      <c r="J102" s="1135"/>
      <c r="K102" s="1135"/>
      <c r="L102" s="916"/>
      <c r="M102" s="916"/>
    </row>
    <row r="103" spans="1:13" s="103" customFormat="1" ht="15.75" hidden="1" customHeight="1" outlineLevel="1">
      <c r="A103" s="916"/>
      <c r="B103" s="1123">
        <v>31</v>
      </c>
      <c r="C103" s="1127"/>
      <c r="D103" s="1125"/>
      <c r="E103" s="1125" t="s">
        <v>18</v>
      </c>
      <c r="F103" s="1130" t="str">
        <f>VLOOKUP(E103,$N$13:$O$17,2,0)</f>
        <v>-</v>
      </c>
      <c r="G103" s="92"/>
      <c r="H103" s="1125"/>
      <c r="I103" s="1125"/>
      <c r="J103" s="1133"/>
      <c r="K103" s="1133"/>
      <c r="L103" s="916"/>
      <c r="M103" s="916"/>
    </row>
    <row r="104" spans="1:13" s="103" customFormat="1" ht="15.75" hidden="1" customHeight="1" outlineLevel="1">
      <c r="A104" s="916"/>
      <c r="B104" s="1123"/>
      <c r="C104" s="1127"/>
      <c r="D104" s="1125"/>
      <c r="E104" s="1125"/>
      <c r="F104" s="1130"/>
      <c r="G104" s="95"/>
      <c r="H104" s="1125"/>
      <c r="I104" s="1125"/>
      <c r="J104" s="1134"/>
      <c r="K104" s="1134"/>
      <c r="L104" s="916"/>
      <c r="M104" s="916"/>
    </row>
    <row r="105" spans="1:13" s="103" customFormat="1" ht="15.75" hidden="1" customHeight="1" outlineLevel="1">
      <c r="A105" s="916"/>
      <c r="B105" s="1124"/>
      <c r="C105" s="1128"/>
      <c r="D105" s="1126"/>
      <c r="E105" s="1126"/>
      <c r="F105" s="1132"/>
      <c r="G105" s="100"/>
      <c r="H105" s="1126"/>
      <c r="I105" s="1126"/>
      <c r="J105" s="1135"/>
      <c r="K105" s="1135"/>
      <c r="L105" s="916"/>
      <c r="M105" s="916"/>
    </row>
    <row r="106" spans="1:13" s="103" customFormat="1" ht="15.75" hidden="1" customHeight="1" outlineLevel="1">
      <c r="A106" s="916"/>
      <c r="B106" s="1123">
        <v>32</v>
      </c>
      <c r="C106" s="1127"/>
      <c r="D106" s="1125"/>
      <c r="E106" s="1125" t="s">
        <v>18</v>
      </c>
      <c r="F106" s="1130" t="str">
        <f>VLOOKUP(E106,$N$13:$O$17,2,0)</f>
        <v>-</v>
      </c>
      <c r="G106" s="92"/>
      <c r="H106" s="1125"/>
      <c r="I106" s="1125"/>
      <c r="J106" s="1133"/>
      <c r="K106" s="1133"/>
      <c r="L106" s="916"/>
      <c r="M106" s="916"/>
    </row>
    <row r="107" spans="1:13" s="103" customFormat="1" ht="15.75" hidden="1" customHeight="1" outlineLevel="1">
      <c r="A107" s="916"/>
      <c r="B107" s="1123"/>
      <c r="C107" s="1127"/>
      <c r="D107" s="1125"/>
      <c r="E107" s="1125"/>
      <c r="F107" s="1130"/>
      <c r="G107" s="95"/>
      <c r="H107" s="1125"/>
      <c r="I107" s="1125"/>
      <c r="J107" s="1134"/>
      <c r="K107" s="1134"/>
      <c r="L107" s="916"/>
      <c r="M107" s="916"/>
    </row>
    <row r="108" spans="1:13" s="103" customFormat="1" ht="15.75" hidden="1" customHeight="1" outlineLevel="1">
      <c r="A108" s="916"/>
      <c r="B108" s="1124"/>
      <c r="C108" s="1128"/>
      <c r="D108" s="1126"/>
      <c r="E108" s="1126"/>
      <c r="F108" s="1132"/>
      <c r="G108" s="100"/>
      <c r="H108" s="1126"/>
      <c r="I108" s="1126"/>
      <c r="J108" s="1135"/>
      <c r="K108" s="1135"/>
      <c r="L108" s="916"/>
      <c r="M108" s="916"/>
    </row>
    <row r="109" spans="1:13" s="103" customFormat="1" ht="15.75" hidden="1" customHeight="1" outlineLevel="1">
      <c r="A109" s="916"/>
      <c r="B109" s="1123">
        <v>33</v>
      </c>
      <c r="C109" s="1127"/>
      <c r="D109" s="1125"/>
      <c r="E109" s="1125" t="s">
        <v>18</v>
      </c>
      <c r="F109" s="1130" t="str">
        <f>VLOOKUP(E109,$N$13:$O$17,2,0)</f>
        <v>-</v>
      </c>
      <c r="G109" s="92"/>
      <c r="H109" s="1125"/>
      <c r="I109" s="1125"/>
      <c r="J109" s="1133"/>
      <c r="K109" s="1133"/>
      <c r="L109" s="916"/>
      <c r="M109" s="916"/>
    </row>
    <row r="110" spans="1:13" s="103" customFormat="1" ht="15.75" hidden="1" customHeight="1" outlineLevel="1">
      <c r="A110" s="916"/>
      <c r="B110" s="1123"/>
      <c r="C110" s="1127"/>
      <c r="D110" s="1125"/>
      <c r="E110" s="1125"/>
      <c r="F110" s="1130"/>
      <c r="G110" s="95"/>
      <c r="H110" s="1125"/>
      <c r="I110" s="1125"/>
      <c r="J110" s="1134"/>
      <c r="K110" s="1134"/>
      <c r="L110" s="916"/>
      <c r="M110" s="916"/>
    </row>
    <row r="111" spans="1:13" s="103" customFormat="1" ht="15.75" hidden="1" customHeight="1" outlineLevel="1">
      <c r="A111" s="916"/>
      <c r="B111" s="1124"/>
      <c r="C111" s="1128"/>
      <c r="D111" s="1126"/>
      <c r="E111" s="1126"/>
      <c r="F111" s="1132"/>
      <c r="G111" s="100"/>
      <c r="H111" s="1126"/>
      <c r="I111" s="1126"/>
      <c r="J111" s="1135"/>
      <c r="K111" s="1135"/>
      <c r="L111" s="916"/>
      <c r="M111" s="916"/>
    </row>
    <row r="112" spans="1:13" s="103" customFormat="1" ht="15.75" hidden="1" customHeight="1" outlineLevel="1">
      <c r="A112" s="916"/>
      <c r="B112" s="1123">
        <v>34</v>
      </c>
      <c r="C112" s="1127"/>
      <c r="D112" s="1125"/>
      <c r="E112" s="1125" t="s">
        <v>18</v>
      </c>
      <c r="F112" s="1130" t="str">
        <f>VLOOKUP(E112,$N$13:$O$17,2,0)</f>
        <v>-</v>
      </c>
      <c r="G112" s="92"/>
      <c r="H112" s="1125"/>
      <c r="I112" s="1125"/>
      <c r="J112" s="1133"/>
      <c r="K112" s="1133"/>
      <c r="L112" s="916"/>
      <c r="M112" s="916"/>
    </row>
    <row r="113" spans="1:13" s="103" customFormat="1" ht="15.75" hidden="1" customHeight="1" outlineLevel="1">
      <c r="A113" s="916"/>
      <c r="B113" s="1123"/>
      <c r="C113" s="1127"/>
      <c r="D113" s="1125"/>
      <c r="E113" s="1125"/>
      <c r="F113" s="1130"/>
      <c r="G113" s="95"/>
      <c r="H113" s="1125"/>
      <c r="I113" s="1125"/>
      <c r="J113" s="1134"/>
      <c r="K113" s="1134"/>
      <c r="L113" s="916"/>
      <c r="M113" s="916"/>
    </row>
    <row r="114" spans="1:13" s="103" customFormat="1" ht="15.75" hidden="1" customHeight="1" outlineLevel="1">
      <c r="A114" s="916"/>
      <c r="B114" s="1124"/>
      <c r="C114" s="1128"/>
      <c r="D114" s="1126"/>
      <c r="E114" s="1126"/>
      <c r="F114" s="1132"/>
      <c r="G114" s="100"/>
      <c r="H114" s="1126"/>
      <c r="I114" s="1126"/>
      <c r="J114" s="1135"/>
      <c r="K114" s="1135"/>
      <c r="L114" s="916"/>
      <c r="M114" s="916"/>
    </row>
    <row r="115" spans="1:13" s="103" customFormat="1" ht="15.75" hidden="1" customHeight="1" outlineLevel="1">
      <c r="A115" s="916"/>
      <c r="B115" s="1123">
        <v>35</v>
      </c>
      <c r="C115" s="1127"/>
      <c r="D115" s="1125"/>
      <c r="E115" s="1125" t="s">
        <v>18</v>
      </c>
      <c r="F115" s="1130" t="str">
        <f>VLOOKUP(E115,$N$13:$O$17,2,0)</f>
        <v>-</v>
      </c>
      <c r="G115" s="92"/>
      <c r="H115" s="1125"/>
      <c r="I115" s="1125"/>
      <c r="J115" s="1133"/>
      <c r="K115" s="1133"/>
      <c r="L115" s="916"/>
      <c r="M115" s="916"/>
    </row>
    <row r="116" spans="1:13" s="103" customFormat="1" ht="15.75" hidden="1" customHeight="1" outlineLevel="1">
      <c r="A116" s="916"/>
      <c r="B116" s="1123"/>
      <c r="C116" s="1127"/>
      <c r="D116" s="1125"/>
      <c r="E116" s="1125"/>
      <c r="F116" s="1130"/>
      <c r="G116" s="95"/>
      <c r="H116" s="1125"/>
      <c r="I116" s="1125"/>
      <c r="J116" s="1134"/>
      <c r="K116" s="1134"/>
      <c r="L116" s="916"/>
      <c r="M116" s="916"/>
    </row>
    <row r="117" spans="1:13" s="103" customFormat="1" ht="15.75" hidden="1" customHeight="1" outlineLevel="1">
      <c r="A117" s="916"/>
      <c r="B117" s="1124"/>
      <c r="C117" s="1128"/>
      <c r="D117" s="1126"/>
      <c r="E117" s="1126"/>
      <c r="F117" s="1132"/>
      <c r="G117" s="100"/>
      <c r="H117" s="1126"/>
      <c r="I117" s="1126"/>
      <c r="J117" s="1135"/>
      <c r="K117" s="1135"/>
      <c r="L117" s="916"/>
      <c r="M117" s="916"/>
    </row>
    <row r="118" spans="1:13" s="103" customFormat="1" ht="15.75" hidden="1" customHeight="1" outlineLevel="1">
      <c r="A118" s="916"/>
      <c r="B118" s="1123">
        <v>36</v>
      </c>
      <c r="C118" s="1127"/>
      <c r="D118" s="1125"/>
      <c r="E118" s="1125" t="s">
        <v>18</v>
      </c>
      <c r="F118" s="1130" t="str">
        <f>VLOOKUP(E118,$N$13:$O$17,2,0)</f>
        <v>-</v>
      </c>
      <c r="G118" s="92"/>
      <c r="H118" s="1125"/>
      <c r="I118" s="1125"/>
      <c r="J118" s="1133"/>
      <c r="K118" s="1133"/>
      <c r="L118" s="916"/>
      <c r="M118" s="916"/>
    </row>
    <row r="119" spans="1:13" s="103" customFormat="1" ht="15.75" hidden="1" customHeight="1" outlineLevel="1">
      <c r="A119" s="916"/>
      <c r="B119" s="1123"/>
      <c r="C119" s="1127"/>
      <c r="D119" s="1125"/>
      <c r="E119" s="1125"/>
      <c r="F119" s="1130"/>
      <c r="G119" s="95"/>
      <c r="H119" s="1125"/>
      <c r="I119" s="1125"/>
      <c r="J119" s="1134"/>
      <c r="K119" s="1134"/>
      <c r="L119" s="916"/>
      <c r="M119" s="916"/>
    </row>
    <row r="120" spans="1:13" s="103" customFormat="1" ht="15.75" hidden="1" customHeight="1" outlineLevel="1">
      <c r="A120" s="916"/>
      <c r="B120" s="1124"/>
      <c r="C120" s="1128"/>
      <c r="D120" s="1126"/>
      <c r="E120" s="1126"/>
      <c r="F120" s="1132"/>
      <c r="G120" s="100"/>
      <c r="H120" s="1126"/>
      <c r="I120" s="1126"/>
      <c r="J120" s="1135"/>
      <c r="K120" s="1135"/>
      <c r="L120" s="916"/>
      <c r="M120" s="916"/>
    </row>
    <row r="121" spans="1:13" s="103" customFormat="1" ht="15.75" hidden="1" customHeight="1" outlineLevel="1">
      <c r="A121" s="916"/>
      <c r="B121" s="1123">
        <v>37</v>
      </c>
      <c r="C121" s="1127"/>
      <c r="D121" s="1125"/>
      <c r="E121" s="1125" t="s">
        <v>18</v>
      </c>
      <c r="F121" s="1130" t="str">
        <f>VLOOKUP(E121,$N$13:$O$17,2,0)</f>
        <v>-</v>
      </c>
      <c r="G121" s="92"/>
      <c r="H121" s="1125"/>
      <c r="I121" s="1125"/>
      <c r="J121" s="1133"/>
      <c r="K121" s="1133"/>
      <c r="L121" s="916"/>
      <c r="M121" s="916"/>
    </row>
    <row r="122" spans="1:13" s="103" customFormat="1" ht="15.75" hidden="1" customHeight="1" outlineLevel="1">
      <c r="A122" s="916"/>
      <c r="B122" s="1123"/>
      <c r="C122" s="1127"/>
      <c r="D122" s="1125"/>
      <c r="E122" s="1125"/>
      <c r="F122" s="1130"/>
      <c r="G122" s="95"/>
      <c r="H122" s="1125"/>
      <c r="I122" s="1125"/>
      <c r="J122" s="1134"/>
      <c r="K122" s="1134"/>
      <c r="L122" s="916"/>
      <c r="M122" s="916"/>
    </row>
    <row r="123" spans="1:13" s="103" customFormat="1" ht="15.75" hidden="1" customHeight="1" outlineLevel="1">
      <c r="A123" s="916"/>
      <c r="B123" s="1124"/>
      <c r="C123" s="1128"/>
      <c r="D123" s="1126"/>
      <c r="E123" s="1126"/>
      <c r="F123" s="1132"/>
      <c r="G123" s="100"/>
      <c r="H123" s="1126"/>
      <c r="I123" s="1126"/>
      <c r="J123" s="1135"/>
      <c r="K123" s="1135"/>
      <c r="L123" s="916"/>
      <c r="M123" s="916"/>
    </row>
    <row r="124" spans="1:13" s="103" customFormat="1" ht="15.75" hidden="1" customHeight="1" outlineLevel="1">
      <c r="A124" s="916"/>
      <c r="B124" s="1123">
        <v>38</v>
      </c>
      <c r="C124" s="1127"/>
      <c r="D124" s="1125"/>
      <c r="E124" s="1125" t="s">
        <v>18</v>
      </c>
      <c r="F124" s="1130" t="str">
        <f>VLOOKUP(E124,$N$13:$O$17,2,0)</f>
        <v>-</v>
      </c>
      <c r="G124" s="92"/>
      <c r="H124" s="1125"/>
      <c r="I124" s="1125"/>
      <c r="J124" s="1133"/>
      <c r="K124" s="1133"/>
      <c r="L124" s="916"/>
      <c r="M124" s="916"/>
    </row>
    <row r="125" spans="1:13" s="103" customFormat="1" ht="15.75" hidden="1" customHeight="1" outlineLevel="1">
      <c r="A125" s="916"/>
      <c r="B125" s="1123"/>
      <c r="C125" s="1127"/>
      <c r="D125" s="1125"/>
      <c r="E125" s="1125"/>
      <c r="F125" s="1130"/>
      <c r="G125" s="95"/>
      <c r="H125" s="1125"/>
      <c r="I125" s="1125"/>
      <c r="J125" s="1134"/>
      <c r="K125" s="1134"/>
      <c r="L125" s="916"/>
      <c r="M125" s="916"/>
    </row>
    <row r="126" spans="1:13" s="103" customFormat="1" ht="15.75" hidden="1" customHeight="1" outlineLevel="1">
      <c r="A126" s="916"/>
      <c r="B126" s="1124"/>
      <c r="C126" s="1128"/>
      <c r="D126" s="1126"/>
      <c r="E126" s="1126"/>
      <c r="F126" s="1132"/>
      <c r="G126" s="100"/>
      <c r="H126" s="1126"/>
      <c r="I126" s="1126"/>
      <c r="J126" s="1135"/>
      <c r="K126" s="1135"/>
      <c r="L126" s="916"/>
      <c r="M126" s="916"/>
    </row>
    <row r="127" spans="1:13" s="103" customFormat="1" ht="15.75" hidden="1" customHeight="1" outlineLevel="1">
      <c r="A127" s="916"/>
      <c r="B127" s="1123">
        <v>39</v>
      </c>
      <c r="C127" s="1127"/>
      <c r="D127" s="1125"/>
      <c r="E127" s="1125" t="s">
        <v>18</v>
      </c>
      <c r="F127" s="1130" t="str">
        <f>VLOOKUP(E127,$N$13:$O$17,2,0)</f>
        <v>-</v>
      </c>
      <c r="G127" s="92"/>
      <c r="H127" s="1125"/>
      <c r="I127" s="1125"/>
      <c r="J127" s="1133"/>
      <c r="K127" s="1133"/>
      <c r="L127" s="916"/>
      <c r="M127" s="916"/>
    </row>
    <row r="128" spans="1:13" s="103" customFormat="1" ht="15.75" hidden="1" customHeight="1" outlineLevel="1">
      <c r="A128" s="916"/>
      <c r="B128" s="1123"/>
      <c r="C128" s="1127"/>
      <c r="D128" s="1125"/>
      <c r="E128" s="1125"/>
      <c r="F128" s="1130"/>
      <c r="G128" s="95"/>
      <c r="H128" s="1125"/>
      <c r="I128" s="1125"/>
      <c r="J128" s="1134"/>
      <c r="K128" s="1134"/>
      <c r="L128" s="916"/>
      <c r="M128" s="916"/>
    </row>
    <row r="129" spans="1:13" s="103" customFormat="1" ht="15.75" hidden="1" customHeight="1" outlineLevel="1">
      <c r="A129" s="916"/>
      <c r="B129" s="1124"/>
      <c r="C129" s="1128"/>
      <c r="D129" s="1126"/>
      <c r="E129" s="1126"/>
      <c r="F129" s="1132"/>
      <c r="G129" s="100"/>
      <c r="H129" s="1126"/>
      <c r="I129" s="1126"/>
      <c r="J129" s="1135"/>
      <c r="K129" s="1135"/>
      <c r="L129" s="916"/>
      <c r="M129" s="916"/>
    </row>
    <row r="130" spans="1:13" s="103" customFormat="1" ht="15.75" hidden="1" customHeight="1" outlineLevel="1">
      <c r="A130" s="916"/>
      <c r="B130" s="1123">
        <v>40</v>
      </c>
      <c r="C130" s="1127"/>
      <c r="D130" s="1125"/>
      <c r="E130" s="1125" t="s">
        <v>18</v>
      </c>
      <c r="F130" s="1130" t="str">
        <f>VLOOKUP(E130,$N$13:$O$17,2,0)</f>
        <v>-</v>
      </c>
      <c r="G130" s="92"/>
      <c r="H130" s="1125"/>
      <c r="I130" s="1125"/>
      <c r="J130" s="1133"/>
      <c r="K130" s="1133"/>
      <c r="L130" s="916"/>
      <c r="M130" s="916"/>
    </row>
    <row r="131" spans="1:13" s="103" customFormat="1" ht="15.75" hidden="1" customHeight="1" outlineLevel="1">
      <c r="A131" s="916"/>
      <c r="B131" s="1123"/>
      <c r="C131" s="1127"/>
      <c r="D131" s="1125"/>
      <c r="E131" s="1125"/>
      <c r="F131" s="1130"/>
      <c r="G131" s="95"/>
      <c r="H131" s="1125"/>
      <c r="I131" s="1125"/>
      <c r="J131" s="1134"/>
      <c r="K131" s="1134"/>
      <c r="L131" s="916"/>
      <c r="M131" s="916"/>
    </row>
    <row r="132" spans="1:13" s="103" customFormat="1" ht="15.75" hidden="1" customHeight="1" outlineLevel="1">
      <c r="A132" s="916"/>
      <c r="B132" s="1124"/>
      <c r="C132" s="1128"/>
      <c r="D132" s="1126"/>
      <c r="E132" s="1126"/>
      <c r="F132" s="1132"/>
      <c r="G132" s="100"/>
      <c r="H132" s="1126"/>
      <c r="I132" s="1126"/>
      <c r="J132" s="1135"/>
      <c r="K132" s="1135"/>
      <c r="L132" s="916"/>
      <c r="M132" s="916"/>
    </row>
    <row r="133" spans="1:13" s="103" customFormat="1" ht="15.75" hidden="1" customHeight="1" outlineLevel="1">
      <c r="A133" s="916"/>
      <c r="B133" s="1123">
        <v>41</v>
      </c>
      <c r="C133" s="1127"/>
      <c r="D133" s="1125"/>
      <c r="E133" s="1125" t="s">
        <v>18</v>
      </c>
      <c r="F133" s="1130" t="str">
        <f>VLOOKUP(E133,$N$13:$O$17,2,0)</f>
        <v>-</v>
      </c>
      <c r="G133" s="92"/>
      <c r="H133" s="1125"/>
      <c r="I133" s="1125"/>
      <c r="J133" s="1133"/>
      <c r="K133" s="1133"/>
      <c r="L133" s="916"/>
      <c r="M133" s="916"/>
    </row>
    <row r="134" spans="1:13" s="103" customFormat="1" ht="15.75" hidden="1" customHeight="1" outlineLevel="1">
      <c r="A134" s="916"/>
      <c r="B134" s="1123"/>
      <c r="C134" s="1127"/>
      <c r="D134" s="1125"/>
      <c r="E134" s="1125"/>
      <c r="F134" s="1130"/>
      <c r="G134" s="95"/>
      <c r="H134" s="1125"/>
      <c r="I134" s="1125"/>
      <c r="J134" s="1134"/>
      <c r="K134" s="1134"/>
      <c r="L134" s="916"/>
      <c r="M134" s="916"/>
    </row>
    <row r="135" spans="1:13" s="103" customFormat="1" ht="15.75" hidden="1" customHeight="1" outlineLevel="1">
      <c r="A135" s="916"/>
      <c r="B135" s="1124"/>
      <c r="C135" s="1128"/>
      <c r="D135" s="1126"/>
      <c r="E135" s="1126"/>
      <c r="F135" s="1132"/>
      <c r="G135" s="100"/>
      <c r="H135" s="1126"/>
      <c r="I135" s="1126"/>
      <c r="J135" s="1135"/>
      <c r="K135" s="1135"/>
      <c r="L135" s="916"/>
      <c r="M135" s="916"/>
    </row>
    <row r="136" spans="1:13" s="103" customFormat="1" ht="15.75" hidden="1" customHeight="1" outlineLevel="1">
      <c r="A136" s="916"/>
      <c r="B136" s="1123">
        <v>42</v>
      </c>
      <c r="C136" s="1127"/>
      <c r="D136" s="1125"/>
      <c r="E136" s="1125" t="s">
        <v>18</v>
      </c>
      <c r="F136" s="1130" t="str">
        <f>VLOOKUP(E136,$N$13:$O$17,2,0)</f>
        <v>-</v>
      </c>
      <c r="G136" s="92"/>
      <c r="H136" s="1125"/>
      <c r="I136" s="1125"/>
      <c r="J136" s="1133"/>
      <c r="K136" s="1133"/>
      <c r="L136" s="916"/>
      <c r="M136" s="916"/>
    </row>
    <row r="137" spans="1:13" s="103" customFormat="1" ht="15.75" hidden="1" customHeight="1" outlineLevel="1">
      <c r="A137" s="916"/>
      <c r="B137" s="1123"/>
      <c r="C137" s="1127"/>
      <c r="D137" s="1125"/>
      <c r="E137" s="1125"/>
      <c r="F137" s="1130"/>
      <c r="G137" s="95"/>
      <c r="H137" s="1125"/>
      <c r="I137" s="1125"/>
      <c r="J137" s="1134"/>
      <c r="K137" s="1134"/>
      <c r="L137" s="916"/>
      <c r="M137" s="916"/>
    </row>
    <row r="138" spans="1:13" s="103" customFormat="1" ht="15.75" hidden="1" customHeight="1" outlineLevel="1">
      <c r="A138" s="916"/>
      <c r="B138" s="1124"/>
      <c r="C138" s="1128"/>
      <c r="D138" s="1126"/>
      <c r="E138" s="1126"/>
      <c r="F138" s="1132"/>
      <c r="G138" s="100"/>
      <c r="H138" s="1126"/>
      <c r="I138" s="1126"/>
      <c r="J138" s="1135"/>
      <c r="K138" s="1135"/>
      <c r="L138" s="916"/>
      <c r="M138" s="916"/>
    </row>
    <row r="139" spans="1:13" s="103" customFormat="1" ht="15.75" hidden="1" customHeight="1" outlineLevel="1">
      <c r="A139" s="916"/>
      <c r="B139" s="1123">
        <v>43</v>
      </c>
      <c r="C139" s="1127"/>
      <c r="D139" s="1125"/>
      <c r="E139" s="1125" t="s">
        <v>18</v>
      </c>
      <c r="F139" s="1130" t="str">
        <f>VLOOKUP(E139,$N$13:$O$17,2,0)</f>
        <v>-</v>
      </c>
      <c r="G139" s="92"/>
      <c r="H139" s="1125"/>
      <c r="I139" s="1125"/>
      <c r="J139" s="1133"/>
      <c r="K139" s="1133"/>
      <c r="L139" s="916"/>
      <c r="M139" s="916"/>
    </row>
    <row r="140" spans="1:13" s="103" customFormat="1" ht="15.75" hidden="1" customHeight="1" outlineLevel="1">
      <c r="A140" s="916"/>
      <c r="B140" s="1123"/>
      <c r="C140" s="1127"/>
      <c r="D140" s="1125"/>
      <c r="E140" s="1125"/>
      <c r="F140" s="1130"/>
      <c r="G140" s="95"/>
      <c r="H140" s="1125"/>
      <c r="I140" s="1125"/>
      <c r="J140" s="1134"/>
      <c r="K140" s="1134"/>
      <c r="L140" s="916"/>
      <c r="M140" s="916"/>
    </row>
    <row r="141" spans="1:13" s="103" customFormat="1" ht="15.75" hidden="1" customHeight="1" outlineLevel="1">
      <c r="A141" s="916"/>
      <c r="B141" s="1124"/>
      <c r="C141" s="1128"/>
      <c r="D141" s="1126"/>
      <c r="E141" s="1126"/>
      <c r="F141" s="1132"/>
      <c r="G141" s="100"/>
      <c r="H141" s="1126"/>
      <c r="I141" s="1126"/>
      <c r="J141" s="1135"/>
      <c r="K141" s="1135"/>
      <c r="L141" s="916"/>
      <c r="M141" s="916"/>
    </row>
    <row r="142" spans="1:13" s="103" customFormat="1" ht="15.75" hidden="1" customHeight="1" outlineLevel="1">
      <c r="A142" s="916"/>
      <c r="B142" s="1123">
        <v>44</v>
      </c>
      <c r="C142" s="1127"/>
      <c r="D142" s="1125"/>
      <c r="E142" s="1125" t="s">
        <v>18</v>
      </c>
      <c r="F142" s="1130" t="str">
        <f>VLOOKUP(E142,$N$13:$O$17,2,0)</f>
        <v>-</v>
      </c>
      <c r="G142" s="92"/>
      <c r="H142" s="823"/>
      <c r="I142" s="1125"/>
      <c r="J142" s="1133"/>
      <c r="K142" s="1133"/>
      <c r="L142" s="916"/>
      <c r="M142" s="916"/>
    </row>
    <row r="143" spans="1:13" s="103" customFormat="1" ht="15.75" hidden="1" customHeight="1" outlineLevel="1">
      <c r="A143" s="916"/>
      <c r="B143" s="1123"/>
      <c r="C143" s="1127"/>
      <c r="D143" s="1125"/>
      <c r="E143" s="1125"/>
      <c r="F143" s="1130"/>
      <c r="G143" s="95"/>
      <c r="H143" s="823"/>
      <c r="I143" s="1125"/>
      <c r="J143" s="1134"/>
      <c r="K143" s="1134"/>
      <c r="L143" s="916"/>
      <c r="M143" s="916"/>
    </row>
    <row r="144" spans="1:13" s="103" customFormat="1" ht="15.75" hidden="1" customHeight="1" outlineLevel="1">
      <c r="A144" s="916"/>
      <c r="B144" s="1124"/>
      <c r="C144" s="1128"/>
      <c r="D144" s="1126"/>
      <c r="E144" s="1126"/>
      <c r="F144" s="1132"/>
      <c r="G144" s="100"/>
      <c r="H144" s="824"/>
      <c r="I144" s="1126"/>
      <c r="J144" s="1135"/>
      <c r="K144" s="1135"/>
      <c r="L144" s="916"/>
      <c r="M144" s="916"/>
    </row>
    <row r="145" spans="1:13" s="103" customFormat="1" ht="15.75" hidden="1" customHeight="1" outlineLevel="1">
      <c r="A145" s="916"/>
      <c r="B145" s="1123">
        <v>45</v>
      </c>
      <c r="C145" s="1127"/>
      <c r="D145" s="1125"/>
      <c r="E145" s="1125" t="s">
        <v>18</v>
      </c>
      <c r="F145" s="1130" t="str">
        <f>VLOOKUP(E145,$N$13:$O$17,2,0)</f>
        <v>-</v>
      </c>
      <c r="G145" s="92"/>
      <c r="H145" s="823"/>
      <c r="I145" s="1125"/>
      <c r="J145" s="1133"/>
      <c r="K145" s="1133"/>
      <c r="L145" s="916"/>
      <c r="M145" s="916"/>
    </row>
    <row r="146" spans="1:13" s="103" customFormat="1" ht="15.75" hidden="1" customHeight="1" outlineLevel="1">
      <c r="A146" s="916"/>
      <c r="B146" s="1123"/>
      <c r="C146" s="1127"/>
      <c r="D146" s="1125"/>
      <c r="E146" s="1125"/>
      <c r="F146" s="1130"/>
      <c r="G146" s="95"/>
      <c r="H146" s="823"/>
      <c r="I146" s="1125"/>
      <c r="J146" s="1134"/>
      <c r="K146" s="1134"/>
      <c r="L146" s="916"/>
      <c r="M146" s="916"/>
    </row>
    <row r="147" spans="1:13" s="103" customFormat="1" ht="15.75" hidden="1" customHeight="1" outlineLevel="1">
      <c r="A147" s="916"/>
      <c r="B147" s="1124"/>
      <c r="C147" s="1128"/>
      <c r="D147" s="1126"/>
      <c r="E147" s="1126"/>
      <c r="F147" s="1132"/>
      <c r="G147" s="100"/>
      <c r="H147" s="824"/>
      <c r="I147" s="1126"/>
      <c r="J147" s="1135"/>
      <c r="K147" s="1135"/>
      <c r="L147" s="916"/>
      <c r="M147" s="916"/>
    </row>
    <row r="148" spans="1:13" s="103" customFormat="1" ht="15.75" hidden="1" customHeight="1" outlineLevel="1">
      <c r="A148" s="916"/>
      <c r="B148" s="1123">
        <v>46</v>
      </c>
      <c r="C148" s="1127"/>
      <c r="D148" s="1125"/>
      <c r="E148" s="1125" t="s">
        <v>18</v>
      </c>
      <c r="F148" s="1130" t="str">
        <f>VLOOKUP(E148,$N$13:$O$17,2,0)</f>
        <v>-</v>
      </c>
      <c r="G148" s="92"/>
      <c r="H148" s="823"/>
      <c r="I148" s="1125"/>
      <c r="J148" s="1133"/>
      <c r="K148" s="1133"/>
      <c r="L148" s="916"/>
      <c r="M148" s="916"/>
    </row>
    <row r="149" spans="1:13" s="103" customFormat="1" ht="15.75" hidden="1" customHeight="1" outlineLevel="1">
      <c r="A149" s="916"/>
      <c r="B149" s="1123"/>
      <c r="C149" s="1127"/>
      <c r="D149" s="1125"/>
      <c r="E149" s="1125"/>
      <c r="F149" s="1130"/>
      <c r="G149" s="95"/>
      <c r="H149" s="823"/>
      <c r="I149" s="1125"/>
      <c r="J149" s="1134"/>
      <c r="K149" s="1134"/>
      <c r="L149" s="916"/>
      <c r="M149" s="916"/>
    </row>
    <row r="150" spans="1:13" s="103" customFormat="1" ht="15.75" hidden="1" customHeight="1" outlineLevel="1">
      <c r="A150" s="916"/>
      <c r="B150" s="1124"/>
      <c r="C150" s="1128"/>
      <c r="D150" s="1126"/>
      <c r="E150" s="1126"/>
      <c r="F150" s="1132"/>
      <c r="G150" s="100"/>
      <c r="H150" s="824"/>
      <c r="I150" s="1126"/>
      <c r="J150" s="1135"/>
      <c r="K150" s="1135"/>
      <c r="L150" s="916"/>
      <c r="M150" s="916"/>
    </row>
    <row r="151" spans="1:13" s="103" customFormat="1" ht="15.75" hidden="1" customHeight="1" outlineLevel="1">
      <c r="A151" s="916"/>
      <c r="B151" s="1123">
        <v>47</v>
      </c>
      <c r="C151" s="1127"/>
      <c r="D151" s="1125"/>
      <c r="E151" s="1125" t="s">
        <v>18</v>
      </c>
      <c r="F151" s="1130" t="str">
        <f>VLOOKUP(E151,$N$13:$O$17,2,0)</f>
        <v>-</v>
      </c>
      <c r="G151" s="92"/>
      <c r="H151" s="823"/>
      <c r="I151" s="1125"/>
      <c r="J151" s="1133"/>
      <c r="K151" s="1133"/>
      <c r="L151" s="916"/>
      <c r="M151" s="916"/>
    </row>
    <row r="152" spans="1:13" s="103" customFormat="1" ht="15.75" hidden="1" customHeight="1" outlineLevel="1">
      <c r="A152" s="916"/>
      <c r="B152" s="1123"/>
      <c r="C152" s="1127"/>
      <c r="D152" s="1125"/>
      <c r="E152" s="1125"/>
      <c r="F152" s="1130"/>
      <c r="G152" s="95"/>
      <c r="H152" s="823"/>
      <c r="I152" s="1125"/>
      <c r="J152" s="1134"/>
      <c r="K152" s="1134"/>
      <c r="L152" s="916"/>
      <c r="M152" s="916"/>
    </row>
    <row r="153" spans="1:13" s="103" customFormat="1" ht="15.75" hidden="1" customHeight="1" outlineLevel="1">
      <c r="A153" s="916"/>
      <c r="B153" s="1124"/>
      <c r="C153" s="1128"/>
      <c r="D153" s="1126"/>
      <c r="E153" s="1126"/>
      <c r="F153" s="1132"/>
      <c r="G153" s="100"/>
      <c r="H153" s="824"/>
      <c r="I153" s="1126"/>
      <c r="J153" s="1135"/>
      <c r="K153" s="1135"/>
      <c r="L153" s="916"/>
      <c r="M153" s="916"/>
    </row>
    <row r="154" spans="1:13" s="103" customFormat="1" ht="15.75" hidden="1" customHeight="1" outlineLevel="1">
      <c r="A154" s="916"/>
      <c r="B154" s="1123">
        <v>48</v>
      </c>
      <c r="C154" s="1127"/>
      <c r="D154" s="1125"/>
      <c r="E154" s="1125" t="s">
        <v>18</v>
      </c>
      <c r="F154" s="1130" t="str">
        <f>VLOOKUP(E154,$N$13:$O$17,2,0)</f>
        <v>-</v>
      </c>
      <c r="G154" s="92"/>
      <c r="H154" s="823"/>
      <c r="I154" s="1125"/>
      <c r="J154" s="1133"/>
      <c r="K154" s="1133"/>
      <c r="L154" s="916"/>
      <c r="M154" s="916"/>
    </row>
    <row r="155" spans="1:13" s="103" customFormat="1" ht="15.75" hidden="1" customHeight="1" outlineLevel="1">
      <c r="A155" s="916"/>
      <c r="B155" s="1123"/>
      <c r="C155" s="1127"/>
      <c r="D155" s="1125"/>
      <c r="E155" s="1125"/>
      <c r="F155" s="1130"/>
      <c r="G155" s="95"/>
      <c r="H155" s="823"/>
      <c r="I155" s="1125"/>
      <c r="J155" s="1134"/>
      <c r="K155" s="1134"/>
      <c r="L155" s="916"/>
      <c r="M155" s="916"/>
    </row>
    <row r="156" spans="1:13" s="103" customFormat="1" ht="15.75" hidden="1" customHeight="1" outlineLevel="1">
      <c r="A156" s="916"/>
      <c r="B156" s="1124"/>
      <c r="C156" s="1128"/>
      <c r="D156" s="1126"/>
      <c r="E156" s="1126"/>
      <c r="F156" s="1132"/>
      <c r="G156" s="100"/>
      <c r="H156" s="824"/>
      <c r="I156" s="1126"/>
      <c r="J156" s="1135"/>
      <c r="K156" s="1135"/>
      <c r="L156" s="916"/>
      <c r="M156" s="916"/>
    </row>
    <row r="157" spans="1:13" s="103" customFormat="1" ht="15.75" hidden="1" customHeight="1" outlineLevel="1">
      <c r="A157" s="916"/>
      <c r="B157" s="1123">
        <v>49</v>
      </c>
      <c r="C157" s="1127"/>
      <c r="D157" s="1125"/>
      <c r="E157" s="1125" t="s">
        <v>18</v>
      </c>
      <c r="F157" s="1130" t="str">
        <f>VLOOKUP(E157,$N$13:$O$17,2,0)</f>
        <v>-</v>
      </c>
      <c r="G157" s="92"/>
      <c r="H157" s="823"/>
      <c r="I157" s="1125"/>
      <c r="J157" s="1133"/>
      <c r="K157" s="1133"/>
      <c r="L157" s="916"/>
      <c r="M157" s="916"/>
    </row>
    <row r="158" spans="1:13" s="103" customFormat="1" ht="15.75" hidden="1" customHeight="1" outlineLevel="1">
      <c r="A158" s="916"/>
      <c r="B158" s="1123"/>
      <c r="C158" s="1127"/>
      <c r="D158" s="1125"/>
      <c r="E158" s="1125"/>
      <c r="F158" s="1130"/>
      <c r="G158" s="95"/>
      <c r="H158" s="823"/>
      <c r="I158" s="1125"/>
      <c r="J158" s="1134"/>
      <c r="K158" s="1134"/>
      <c r="L158" s="916"/>
      <c r="M158" s="916"/>
    </row>
    <row r="159" spans="1:13" s="103" customFormat="1" ht="15.75" hidden="1" customHeight="1" outlineLevel="1">
      <c r="A159" s="916"/>
      <c r="B159" s="1124"/>
      <c r="C159" s="1128"/>
      <c r="D159" s="1126"/>
      <c r="E159" s="1126"/>
      <c r="F159" s="1132"/>
      <c r="G159" s="100"/>
      <c r="H159" s="824"/>
      <c r="I159" s="1126"/>
      <c r="J159" s="1135"/>
      <c r="K159" s="1135"/>
      <c r="L159" s="916"/>
      <c r="M159" s="916"/>
    </row>
    <row r="160" spans="1:13" s="103" customFormat="1" ht="15.75" hidden="1" customHeight="1" outlineLevel="1">
      <c r="A160" s="916"/>
      <c r="B160" s="1123">
        <v>50</v>
      </c>
      <c r="C160" s="1127"/>
      <c r="D160" s="1125"/>
      <c r="E160" s="1125" t="s">
        <v>18</v>
      </c>
      <c r="F160" s="1130" t="str">
        <f>VLOOKUP(E160,$N$13:$O$17,2,0)</f>
        <v>-</v>
      </c>
      <c r="G160" s="92"/>
      <c r="H160" s="823"/>
      <c r="I160" s="1125"/>
      <c r="J160" s="1133"/>
      <c r="K160" s="1133"/>
      <c r="L160" s="916"/>
      <c r="M160" s="916"/>
    </row>
    <row r="161" spans="1:13" s="103" customFormat="1" ht="15.75" hidden="1" customHeight="1" outlineLevel="1">
      <c r="A161" s="916"/>
      <c r="B161" s="1123"/>
      <c r="C161" s="1127"/>
      <c r="D161" s="1125"/>
      <c r="E161" s="1125"/>
      <c r="F161" s="1130"/>
      <c r="G161" s="95"/>
      <c r="H161" s="823"/>
      <c r="I161" s="1125"/>
      <c r="J161" s="1134"/>
      <c r="K161" s="1134"/>
      <c r="L161" s="916"/>
      <c r="M161" s="916"/>
    </row>
    <row r="162" spans="1:13" s="103" customFormat="1" ht="15.75" hidden="1" customHeight="1" outlineLevel="1">
      <c r="A162" s="916"/>
      <c r="B162" s="1124"/>
      <c r="C162" s="1128"/>
      <c r="D162" s="1126"/>
      <c r="E162" s="1126"/>
      <c r="F162" s="1132"/>
      <c r="G162" s="100"/>
      <c r="H162" s="824"/>
      <c r="I162" s="1126"/>
      <c r="J162" s="1135"/>
      <c r="K162" s="1135"/>
      <c r="L162" s="916"/>
      <c r="M162" s="916"/>
    </row>
    <row r="163" spans="1:13" s="103" customFormat="1" ht="15.75" hidden="1" customHeight="1" outlineLevel="1">
      <c r="A163" s="916"/>
      <c r="B163" s="1123">
        <v>51</v>
      </c>
      <c r="C163" s="1127"/>
      <c r="D163" s="1125"/>
      <c r="E163" s="1125" t="s">
        <v>18</v>
      </c>
      <c r="F163" s="1130" t="str">
        <f>VLOOKUP(E163,$N$13:$O$17,2,0)</f>
        <v>-</v>
      </c>
      <c r="G163" s="92"/>
      <c r="H163" s="823"/>
      <c r="I163" s="1125"/>
      <c r="J163" s="1133"/>
      <c r="K163" s="1133"/>
      <c r="L163" s="916"/>
      <c r="M163" s="916"/>
    </row>
    <row r="164" spans="1:13" s="103" customFormat="1" ht="15.75" hidden="1" customHeight="1" outlineLevel="1">
      <c r="A164" s="916"/>
      <c r="B164" s="1123"/>
      <c r="C164" s="1127"/>
      <c r="D164" s="1125"/>
      <c r="E164" s="1125"/>
      <c r="F164" s="1130"/>
      <c r="G164" s="95"/>
      <c r="H164" s="823"/>
      <c r="I164" s="1125"/>
      <c r="J164" s="1134"/>
      <c r="K164" s="1134"/>
      <c r="L164" s="916"/>
      <c r="M164" s="916"/>
    </row>
    <row r="165" spans="1:13" s="103" customFormat="1" ht="15.75" hidden="1" customHeight="1" outlineLevel="1">
      <c r="A165" s="916"/>
      <c r="B165" s="1124"/>
      <c r="C165" s="1128"/>
      <c r="D165" s="1126"/>
      <c r="E165" s="1126"/>
      <c r="F165" s="1132"/>
      <c r="G165" s="100"/>
      <c r="H165" s="824"/>
      <c r="I165" s="1126"/>
      <c r="J165" s="1135"/>
      <c r="K165" s="1135"/>
      <c r="L165" s="916"/>
      <c r="M165" s="916"/>
    </row>
    <row r="166" spans="1:13" s="103" customFormat="1" ht="15.75" hidden="1" customHeight="1" outlineLevel="1">
      <c r="A166" s="916"/>
      <c r="B166" s="1123">
        <v>52</v>
      </c>
      <c r="C166" s="1127"/>
      <c r="D166" s="1125"/>
      <c r="E166" s="1125" t="s">
        <v>18</v>
      </c>
      <c r="F166" s="1130" t="str">
        <f>VLOOKUP(E166,$N$13:$O$17,2,0)</f>
        <v>-</v>
      </c>
      <c r="G166" s="92"/>
      <c r="H166" s="823"/>
      <c r="I166" s="1125"/>
      <c r="J166" s="1133"/>
      <c r="K166" s="1133"/>
      <c r="L166" s="916"/>
      <c r="M166" s="916"/>
    </row>
    <row r="167" spans="1:13" s="103" customFormat="1" ht="15.75" hidden="1" customHeight="1" outlineLevel="1">
      <c r="A167" s="916"/>
      <c r="B167" s="1123"/>
      <c r="C167" s="1127"/>
      <c r="D167" s="1125"/>
      <c r="E167" s="1125"/>
      <c r="F167" s="1130"/>
      <c r="G167" s="95"/>
      <c r="H167" s="823"/>
      <c r="I167" s="1125"/>
      <c r="J167" s="1134"/>
      <c r="K167" s="1134"/>
      <c r="L167" s="916"/>
      <c r="M167" s="916"/>
    </row>
    <row r="168" spans="1:13" s="103" customFormat="1" ht="15.75" hidden="1" customHeight="1" outlineLevel="1">
      <c r="A168" s="916"/>
      <c r="B168" s="1124"/>
      <c r="C168" s="1128"/>
      <c r="D168" s="1126"/>
      <c r="E168" s="1126"/>
      <c r="F168" s="1132"/>
      <c r="G168" s="100"/>
      <c r="H168" s="824"/>
      <c r="I168" s="1126"/>
      <c r="J168" s="1135"/>
      <c r="K168" s="1135"/>
      <c r="L168" s="916"/>
      <c r="M168" s="916"/>
    </row>
    <row r="169" spans="1:13" s="103" customFormat="1" ht="15.75" hidden="1" customHeight="1" outlineLevel="1">
      <c r="A169" s="916"/>
      <c r="B169" s="1123">
        <v>53</v>
      </c>
      <c r="C169" s="1127"/>
      <c r="D169" s="1125"/>
      <c r="E169" s="1125" t="s">
        <v>18</v>
      </c>
      <c r="F169" s="1130" t="str">
        <f>VLOOKUP(E169,$N$13:$O$17,2,0)</f>
        <v>-</v>
      </c>
      <c r="G169" s="92"/>
      <c r="H169" s="823"/>
      <c r="I169" s="1125"/>
      <c r="J169" s="1133"/>
      <c r="K169" s="1133"/>
      <c r="L169" s="916"/>
      <c r="M169" s="916"/>
    </row>
    <row r="170" spans="1:13" s="103" customFormat="1" ht="15.75" hidden="1" customHeight="1" outlineLevel="1">
      <c r="A170" s="916"/>
      <c r="B170" s="1123"/>
      <c r="C170" s="1127"/>
      <c r="D170" s="1125"/>
      <c r="E170" s="1125"/>
      <c r="F170" s="1130"/>
      <c r="G170" s="95"/>
      <c r="H170" s="823"/>
      <c r="I170" s="1125"/>
      <c r="J170" s="1134"/>
      <c r="K170" s="1134"/>
      <c r="L170" s="916"/>
      <c r="M170" s="916"/>
    </row>
    <row r="171" spans="1:13" s="103" customFormat="1" ht="15.75" hidden="1" customHeight="1" outlineLevel="1">
      <c r="A171" s="916"/>
      <c r="B171" s="1124"/>
      <c r="C171" s="1128"/>
      <c r="D171" s="1126"/>
      <c r="E171" s="1126"/>
      <c r="F171" s="1132"/>
      <c r="G171" s="100"/>
      <c r="H171" s="824"/>
      <c r="I171" s="1126"/>
      <c r="J171" s="1135"/>
      <c r="K171" s="1135"/>
      <c r="L171" s="916"/>
      <c r="M171" s="916"/>
    </row>
    <row r="172" spans="1:13" s="103" customFormat="1" ht="15.75" hidden="1" customHeight="1" outlineLevel="1">
      <c r="A172" s="916"/>
      <c r="B172" s="1123">
        <v>54</v>
      </c>
      <c r="C172" s="1127"/>
      <c r="D172" s="1125"/>
      <c r="E172" s="1125" t="s">
        <v>18</v>
      </c>
      <c r="F172" s="1130" t="str">
        <f>VLOOKUP(E172,$N$13:$O$17,2,0)</f>
        <v>-</v>
      </c>
      <c r="G172" s="92"/>
      <c r="H172" s="823"/>
      <c r="I172" s="1125"/>
      <c r="J172" s="1133"/>
      <c r="K172" s="1133"/>
      <c r="L172" s="916"/>
      <c r="M172" s="916"/>
    </row>
    <row r="173" spans="1:13" s="103" customFormat="1" ht="15.75" hidden="1" customHeight="1" outlineLevel="1">
      <c r="A173" s="916"/>
      <c r="B173" s="1123"/>
      <c r="C173" s="1127"/>
      <c r="D173" s="1125"/>
      <c r="E173" s="1125"/>
      <c r="F173" s="1130"/>
      <c r="G173" s="95"/>
      <c r="H173" s="823"/>
      <c r="I173" s="1125"/>
      <c r="J173" s="1134"/>
      <c r="K173" s="1134"/>
      <c r="L173" s="916"/>
      <c r="M173" s="916"/>
    </row>
    <row r="174" spans="1:13" s="103" customFormat="1" ht="15.75" hidden="1" customHeight="1" outlineLevel="1">
      <c r="A174" s="916"/>
      <c r="B174" s="1124"/>
      <c r="C174" s="1128"/>
      <c r="D174" s="1126"/>
      <c r="E174" s="1126"/>
      <c r="F174" s="1132"/>
      <c r="G174" s="100"/>
      <c r="H174" s="824"/>
      <c r="I174" s="1126"/>
      <c r="J174" s="1135"/>
      <c r="K174" s="1135"/>
      <c r="L174" s="916"/>
      <c r="M174" s="916"/>
    </row>
    <row r="175" spans="1:13" s="103" customFormat="1" ht="15.75" hidden="1" customHeight="1" outlineLevel="1">
      <c r="A175" s="916"/>
      <c r="B175" s="1123">
        <v>55</v>
      </c>
      <c r="C175" s="1127"/>
      <c r="D175" s="1125"/>
      <c r="E175" s="1125" t="s">
        <v>18</v>
      </c>
      <c r="F175" s="1130" t="str">
        <f>VLOOKUP(E175,$N$13:$O$17,2,0)</f>
        <v>-</v>
      </c>
      <c r="G175" s="92"/>
      <c r="H175" s="823"/>
      <c r="I175" s="1125"/>
      <c r="J175" s="1133"/>
      <c r="K175" s="1133"/>
      <c r="L175" s="916"/>
      <c r="M175" s="916"/>
    </row>
    <row r="176" spans="1:13" s="103" customFormat="1" ht="15.75" hidden="1" customHeight="1" outlineLevel="1">
      <c r="A176" s="916"/>
      <c r="B176" s="1123"/>
      <c r="C176" s="1127"/>
      <c r="D176" s="1125"/>
      <c r="E176" s="1125"/>
      <c r="F176" s="1130"/>
      <c r="G176" s="95"/>
      <c r="H176" s="823"/>
      <c r="I176" s="1125"/>
      <c r="J176" s="1134"/>
      <c r="K176" s="1134"/>
      <c r="L176" s="916"/>
      <c r="M176" s="916"/>
    </row>
    <row r="177" spans="1:13" s="103" customFormat="1" ht="15.75" hidden="1" customHeight="1" outlineLevel="1">
      <c r="A177" s="916"/>
      <c r="B177" s="1124"/>
      <c r="C177" s="1128"/>
      <c r="D177" s="1126"/>
      <c r="E177" s="1126"/>
      <c r="F177" s="1132"/>
      <c r="G177" s="100"/>
      <c r="H177" s="824"/>
      <c r="I177" s="1126"/>
      <c r="J177" s="1135"/>
      <c r="K177" s="1135"/>
      <c r="L177" s="916"/>
      <c r="M177" s="916"/>
    </row>
    <row r="178" spans="1:13" s="103" customFormat="1" ht="15.75" hidden="1" customHeight="1" outlineLevel="1">
      <c r="A178" s="916"/>
      <c r="B178" s="1123">
        <v>56</v>
      </c>
      <c r="C178" s="1127"/>
      <c r="D178" s="1125"/>
      <c r="E178" s="1125" t="s">
        <v>18</v>
      </c>
      <c r="F178" s="1130" t="str">
        <f>VLOOKUP(E178,$N$13:$O$17,2,0)</f>
        <v>-</v>
      </c>
      <c r="G178" s="92"/>
      <c r="H178" s="823"/>
      <c r="I178" s="1125"/>
      <c r="J178" s="1133"/>
      <c r="K178" s="1133"/>
      <c r="L178" s="916"/>
      <c r="M178" s="916"/>
    </row>
    <row r="179" spans="1:13" s="103" customFormat="1" ht="15.75" hidden="1" customHeight="1" outlineLevel="1">
      <c r="A179" s="916"/>
      <c r="B179" s="1123"/>
      <c r="C179" s="1127"/>
      <c r="D179" s="1125"/>
      <c r="E179" s="1125"/>
      <c r="F179" s="1130"/>
      <c r="G179" s="95"/>
      <c r="H179" s="823"/>
      <c r="I179" s="1125"/>
      <c r="J179" s="1134"/>
      <c r="K179" s="1134"/>
      <c r="L179" s="916"/>
      <c r="M179" s="916"/>
    </row>
    <row r="180" spans="1:13" s="103" customFormat="1" ht="15.75" hidden="1" customHeight="1" outlineLevel="1">
      <c r="A180" s="916"/>
      <c r="B180" s="1124"/>
      <c r="C180" s="1128"/>
      <c r="D180" s="1126"/>
      <c r="E180" s="1126"/>
      <c r="F180" s="1132"/>
      <c r="G180" s="100"/>
      <c r="H180" s="824"/>
      <c r="I180" s="1126"/>
      <c r="J180" s="1135"/>
      <c r="K180" s="1135"/>
      <c r="L180" s="916"/>
      <c r="M180" s="916"/>
    </row>
    <row r="181" spans="1:13" s="103" customFormat="1" ht="15.75" hidden="1" customHeight="1" outlineLevel="1">
      <c r="A181" s="916"/>
      <c r="B181" s="1123">
        <v>57</v>
      </c>
      <c r="C181" s="1127"/>
      <c r="D181" s="1125"/>
      <c r="E181" s="1125" t="s">
        <v>18</v>
      </c>
      <c r="F181" s="1130" t="str">
        <f>VLOOKUP(E181,$N$13:$O$17,2,0)</f>
        <v>-</v>
      </c>
      <c r="G181" s="92"/>
      <c r="H181" s="823"/>
      <c r="I181" s="1125"/>
      <c r="J181" s="1133"/>
      <c r="K181" s="1133"/>
      <c r="L181" s="916"/>
      <c r="M181" s="916"/>
    </row>
    <row r="182" spans="1:13" s="103" customFormat="1" ht="15.75" hidden="1" customHeight="1" outlineLevel="1">
      <c r="A182" s="916"/>
      <c r="B182" s="1123"/>
      <c r="C182" s="1127"/>
      <c r="D182" s="1125"/>
      <c r="E182" s="1125"/>
      <c r="F182" s="1130"/>
      <c r="G182" s="95"/>
      <c r="H182" s="823"/>
      <c r="I182" s="1125"/>
      <c r="J182" s="1134"/>
      <c r="K182" s="1134"/>
      <c r="L182" s="916"/>
      <c r="M182" s="916"/>
    </row>
    <row r="183" spans="1:13" s="103" customFormat="1" ht="15.75" hidden="1" customHeight="1" outlineLevel="1">
      <c r="A183" s="916"/>
      <c r="B183" s="1124"/>
      <c r="C183" s="1128"/>
      <c r="D183" s="1126"/>
      <c r="E183" s="1126"/>
      <c r="F183" s="1132"/>
      <c r="G183" s="100"/>
      <c r="H183" s="824"/>
      <c r="I183" s="1126"/>
      <c r="J183" s="1135"/>
      <c r="K183" s="1135"/>
      <c r="L183" s="916"/>
      <c r="M183" s="916"/>
    </row>
    <row r="184" spans="1:13" s="103" customFormat="1" ht="15.75" hidden="1" customHeight="1" outlineLevel="1">
      <c r="A184" s="916"/>
      <c r="B184" s="1123">
        <v>58</v>
      </c>
      <c r="C184" s="1127"/>
      <c r="D184" s="1125"/>
      <c r="E184" s="1125" t="s">
        <v>18</v>
      </c>
      <c r="F184" s="1130" t="str">
        <f>VLOOKUP(E184,$N$13:$O$17,2,0)</f>
        <v>-</v>
      </c>
      <c r="G184" s="92"/>
      <c r="H184" s="823"/>
      <c r="I184" s="1125"/>
      <c r="J184" s="1133"/>
      <c r="K184" s="1133"/>
      <c r="L184" s="916"/>
      <c r="M184" s="916"/>
    </row>
    <row r="185" spans="1:13" s="103" customFormat="1" ht="15.75" hidden="1" customHeight="1" outlineLevel="1">
      <c r="A185" s="916"/>
      <c r="B185" s="1123"/>
      <c r="C185" s="1127"/>
      <c r="D185" s="1125"/>
      <c r="E185" s="1125"/>
      <c r="F185" s="1130"/>
      <c r="G185" s="95"/>
      <c r="H185" s="823"/>
      <c r="I185" s="1125"/>
      <c r="J185" s="1134"/>
      <c r="K185" s="1134"/>
      <c r="L185" s="916"/>
      <c r="M185" s="916"/>
    </row>
    <row r="186" spans="1:13" s="103" customFormat="1" ht="15.75" hidden="1" customHeight="1" outlineLevel="1">
      <c r="A186" s="916"/>
      <c r="B186" s="1124"/>
      <c r="C186" s="1128"/>
      <c r="D186" s="1126"/>
      <c r="E186" s="1126"/>
      <c r="F186" s="1132"/>
      <c r="G186" s="100"/>
      <c r="H186" s="824"/>
      <c r="I186" s="1126"/>
      <c r="J186" s="1135"/>
      <c r="K186" s="1135"/>
      <c r="L186" s="916"/>
      <c r="M186" s="916"/>
    </row>
    <row r="187" spans="1:13" s="103" customFormat="1" ht="15.75" hidden="1" customHeight="1" outlineLevel="1">
      <c r="A187" s="916"/>
      <c r="B187" s="1123">
        <v>59</v>
      </c>
      <c r="C187" s="1127"/>
      <c r="D187" s="1125"/>
      <c r="E187" s="1125" t="s">
        <v>18</v>
      </c>
      <c r="F187" s="1130" t="str">
        <f>VLOOKUP(E187,$N$13:$O$17,2,0)</f>
        <v>-</v>
      </c>
      <c r="G187" s="92"/>
      <c r="H187" s="823"/>
      <c r="I187" s="1125"/>
      <c r="J187" s="1133"/>
      <c r="K187" s="1133"/>
      <c r="L187" s="916"/>
      <c r="M187" s="916"/>
    </row>
    <row r="188" spans="1:13" s="103" customFormat="1" ht="15.75" hidden="1" customHeight="1" outlineLevel="1">
      <c r="A188" s="916"/>
      <c r="B188" s="1123"/>
      <c r="C188" s="1127"/>
      <c r="D188" s="1125"/>
      <c r="E188" s="1125"/>
      <c r="F188" s="1130"/>
      <c r="G188" s="95"/>
      <c r="H188" s="823"/>
      <c r="I188" s="1125"/>
      <c r="J188" s="1134"/>
      <c r="K188" s="1134"/>
      <c r="L188" s="916"/>
      <c r="M188" s="916"/>
    </row>
    <row r="189" spans="1:13" s="103" customFormat="1" ht="15.75" hidden="1" customHeight="1" outlineLevel="1">
      <c r="A189" s="916"/>
      <c r="B189" s="1124"/>
      <c r="C189" s="1128"/>
      <c r="D189" s="1126"/>
      <c r="E189" s="1126"/>
      <c r="F189" s="1132"/>
      <c r="G189" s="100"/>
      <c r="H189" s="824"/>
      <c r="I189" s="1126"/>
      <c r="J189" s="1135"/>
      <c r="K189" s="1135"/>
      <c r="L189" s="916"/>
      <c r="M189" s="916"/>
    </row>
    <row r="190" spans="1:13" s="103" customFormat="1" ht="15.75" hidden="1" customHeight="1" outlineLevel="1">
      <c r="A190" s="916"/>
      <c r="B190" s="1123">
        <v>60</v>
      </c>
      <c r="C190" s="1127"/>
      <c r="D190" s="1125"/>
      <c r="E190" s="1125" t="s">
        <v>18</v>
      </c>
      <c r="F190" s="1130" t="str">
        <f>VLOOKUP(E190,$N$13:$O$17,2,0)</f>
        <v>-</v>
      </c>
      <c r="G190" s="92"/>
      <c r="H190" s="823"/>
      <c r="I190" s="1125"/>
      <c r="J190" s="1133"/>
      <c r="K190" s="1133"/>
      <c r="L190" s="916"/>
      <c r="M190" s="916"/>
    </row>
    <row r="191" spans="1:13" s="103" customFormat="1" ht="15.75" hidden="1" customHeight="1" outlineLevel="1">
      <c r="A191" s="916"/>
      <c r="B191" s="1123"/>
      <c r="C191" s="1127"/>
      <c r="D191" s="1125"/>
      <c r="E191" s="1125"/>
      <c r="F191" s="1130"/>
      <c r="G191" s="95"/>
      <c r="H191" s="823"/>
      <c r="I191" s="1125"/>
      <c r="J191" s="1134"/>
      <c r="K191" s="1134"/>
      <c r="L191" s="916"/>
      <c r="M191" s="916"/>
    </row>
    <row r="192" spans="1:13" s="103" customFormat="1" ht="15.75" hidden="1" customHeight="1" outlineLevel="1">
      <c r="A192" s="916"/>
      <c r="B192" s="1124"/>
      <c r="C192" s="1128"/>
      <c r="D192" s="1126"/>
      <c r="E192" s="1126"/>
      <c r="F192" s="1132"/>
      <c r="G192" s="100"/>
      <c r="H192" s="824"/>
      <c r="I192" s="1126"/>
      <c r="J192" s="1135"/>
      <c r="K192" s="1135"/>
      <c r="L192" s="916"/>
      <c r="M192" s="916"/>
    </row>
    <row r="193" spans="1:13" s="103" customFormat="1" ht="15.75" hidden="1" customHeight="1" outlineLevel="1">
      <c r="A193" s="916"/>
      <c r="B193" s="1123">
        <v>61</v>
      </c>
      <c r="C193" s="1127"/>
      <c r="D193" s="1125"/>
      <c r="E193" s="1125" t="s">
        <v>18</v>
      </c>
      <c r="F193" s="1130" t="str">
        <f>VLOOKUP(E193,$N$13:$O$17,2,0)</f>
        <v>-</v>
      </c>
      <c r="G193" s="92"/>
      <c r="H193" s="823"/>
      <c r="I193" s="1125"/>
      <c r="J193" s="1133"/>
      <c r="K193" s="1133"/>
      <c r="L193" s="916"/>
      <c r="M193" s="916"/>
    </row>
    <row r="194" spans="1:13" s="103" customFormat="1" ht="15.75" hidden="1" customHeight="1" outlineLevel="1">
      <c r="A194" s="916"/>
      <c r="B194" s="1123"/>
      <c r="C194" s="1127"/>
      <c r="D194" s="1125"/>
      <c r="E194" s="1125"/>
      <c r="F194" s="1130"/>
      <c r="G194" s="95"/>
      <c r="H194" s="823"/>
      <c r="I194" s="1125"/>
      <c r="J194" s="1134"/>
      <c r="K194" s="1134"/>
      <c r="L194" s="916"/>
      <c r="M194" s="916"/>
    </row>
    <row r="195" spans="1:13" s="103" customFormat="1" ht="15.75" hidden="1" customHeight="1" outlineLevel="1">
      <c r="A195" s="916"/>
      <c r="B195" s="1124"/>
      <c r="C195" s="1128"/>
      <c r="D195" s="1126"/>
      <c r="E195" s="1126"/>
      <c r="F195" s="1132"/>
      <c r="G195" s="100"/>
      <c r="H195" s="824"/>
      <c r="I195" s="1126"/>
      <c r="J195" s="1135"/>
      <c r="K195" s="1135"/>
      <c r="L195" s="916"/>
      <c r="M195" s="916"/>
    </row>
    <row r="196" spans="1:13" s="103" customFormat="1" ht="15.75" hidden="1" customHeight="1" outlineLevel="1">
      <c r="A196" s="916"/>
      <c r="B196" s="1123">
        <v>62</v>
      </c>
      <c r="C196" s="1127"/>
      <c r="D196" s="1125"/>
      <c r="E196" s="1125" t="s">
        <v>18</v>
      </c>
      <c r="F196" s="1130" t="str">
        <f>VLOOKUP(E196,$N$13:$O$17,2,0)</f>
        <v>-</v>
      </c>
      <c r="G196" s="92"/>
      <c r="H196" s="823"/>
      <c r="I196" s="1125"/>
      <c r="J196" s="1133"/>
      <c r="K196" s="1133"/>
      <c r="L196" s="916"/>
      <c r="M196" s="916"/>
    </row>
    <row r="197" spans="1:13" s="103" customFormat="1" ht="15.75" hidden="1" customHeight="1" outlineLevel="1">
      <c r="A197" s="916"/>
      <c r="B197" s="1123"/>
      <c r="C197" s="1127"/>
      <c r="D197" s="1125"/>
      <c r="E197" s="1125"/>
      <c r="F197" s="1130"/>
      <c r="G197" s="95"/>
      <c r="H197" s="823"/>
      <c r="I197" s="1125"/>
      <c r="J197" s="1134"/>
      <c r="K197" s="1134"/>
      <c r="L197" s="916"/>
      <c r="M197" s="916"/>
    </row>
    <row r="198" spans="1:13" s="103" customFormat="1" ht="15.75" hidden="1" customHeight="1" outlineLevel="1">
      <c r="A198" s="916"/>
      <c r="B198" s="1124"/>
      <c r="C198" s="1128"/>
      <c r="D198" s="1126"/>
      <c r="E198" s="1126"/>
      <c r="F198" s="1132"/>
      <c r="G198" s="100"/>
      <c r="H198" s="824"/>
      <c r="I198" s="1126"/>
      <c r="J198" s="1135"/>
      <c r="K198" s="1135"/>
      <c r="L198" s="916"/>
      <c r="M198" s="916"/>
    </row>
    <row r="199" spans="1:13" s="103" customFormat="1" ht="15.75" hidden="1" customHeight="1" outlineLevel="1">
      <c r="A199" s="916"/>
      <c r="B199" s="1123">
        <v>63</v>
      </c>
      <c r="C199" s="1127"/>
      <c r="D199" s="1125"/>
      <c r="E199" s="1125" t="s">
        <v>18</v>
      </c>
      <c r="F199" s="1130" t="str">
        <f>VLOOKUP(E199,$N$13:$O$17,2,0)</f>
        <v>-</v>
      </c>
      <c r="G199" s="92"/>
      <c r="H199" s="823"/>
      <c r="I199" s="1125"/>
      <c r="J199" s="1133"/>
      <c r="K199" s="1133"/>
      <c r="L199" s="916"/>
      <c r="M199" s="916"/>
    </row>
    <row r="200" spans="1:13" s="103" customFormat="1" ht="15.75" hidden="1" customHeight="1" outlineLevel="1">
      <c r="A200" s="916"/>
      <c r="B200" s="1123"/>
      <c r="C200" s="1127"/>
      <c r="D200" s="1125"/>
      <c r="E200" s="1125"/>
      <c r="F200" s="1130"/>
      <c r="G200" s="95"/>
      <c r="H200" s="823"/>
      <c r="I200" s="1125"/>
      <c r="J200" s="1134"/>
      <c r="K200" s="1134"/>
      <c r="L200" s="916"/>
      <c r="M200" s="916"/>
    </row>
    <row r="201" spans="1:13" s="103" customFormat="1" ht="15.75" hidden="1" customHeight="1" outlineLevel="1">
      <c r="A201" s="916"/>
      <c r="B201" s="1124"/>
      <c r="C201" s="1128"/>
      <c r="D201" s="1126"/>
      <c r="E201" s="1126"/>
      <c r="F201" s="1132"/>
      <c r="G201" s="100"/>
      <c r="H201" s="824"/>
      <c r="I201" s="1126"/>
      <c r="J201" s="1135"/>
      <c r="K201" s="1135"/>
      <c r="L201" s="916"/>
      <c r="M201" s="916"/>
    </row>
    <row r="202" spans="1:13" s="103" customFormat="1" ht="15.75" hidden="1" customHeight="1" outlineLevel="1">
      <c r="A202" s="916"/>
      <c r="B202" s="1123">
        <v>64</v>
      </c>
      <c r="C202" s="1127"/>
      <c r="D202" s="1125"/>
      <c r="E202" s="1125" t="s">
        <v>18</v>
      </c>
      <c r="F202" s="1130" t="str">
        <f>VLOOKUP(E202,$N$13:$O$17,2,0)</f>
        <v>-</v>
      </c>
      <c r="G202" s="92"/>
      <c r="H202" s="823"/>
      <c r="I202" s="1125"/>
      <c r="J202" s="1133"/>
      <c r="K202" s="1133"/>
      <c r="L202" s="916"/>
      <c r="M202" s="916"/>
    </row>
    <row r="203" spans="1:13" s="103" customFormat="1" ht="15.75" hidden="1" customHeight="1" outlineLevel="1">
      <c r="A203" s="916"/>
      <c r="B203" s="1123"/>
      <c r="C203" s="1127"/>
      <c r="D203" s="1125"/>
      <c r="E203" s="1125"/>
      <c r="F203" s="1130"/>
      <c r="G203" s="95"/>
      <c r="H203" s="823"/>
      <c r="I203" s="1125"/>
      <c r="J203" s="1134"/>
      <c r="K203" s="1134"/>
      <c r="L203" s="916"/>
      <c r="M203" s="916"/>
    </row>
    <row r="204" spans="1:13" s="103" customFormat="1" ht="15.75" hidden="1" customHeight="1" outlineLevel="1">
      <c r="A204" s="916"/>
      <c r="B204" s="1124"/>
      <c r="C204" s="1128"/>
      <c r="D204" s="1126"/>
      <c r="E204" s="1126"/>
      <c r="F204" s="1132"/>
      <c r="G204" s="100"/>
      <c r="H204" s="824"/>
      <c r="I204" s="1126"/>
      <c r="J204" s="1135"/>
      <c r="K204" s="1135"/>
      <c r="L204" s="916"/>
      <c r="M204" s="916"/>
    </row>
    <row r="205" spans="1:13" s="103" customFormat="1" ht="15.75" hidden="1" customHeight="1" outlineLevel="1">
      <c r="A205" s="916"/>
      <c r="B205" s="1123">
        <v>65</v>
      </c>
      <c r="C205" s="1127"/>
      <c r="D205" s="1125"/>
      <c r="E205" s="1125" t="s">
        <v>18</v>
      </c>
      <c r="F205" s="1130" t="str">
        <f>VLOOKUP(E205,$N$13:$O$17,2,0)</f>
        <v>-</v>
      </c>
      <c r="G205" s="92"/>
      <c r="H205" s="823"/>
      <c r="I205" s="1125"/>
      <c r="J205" s="1133"/>
      <c r="K205" s="1133"/>
      <c r="L205" s="916"/>
      <c r="M205" s="916"/>
    </row>
    <row r="206" spans="1:13" s="103" customFormat="1" ht="15.75" hidden="1" customHeight="1" outlineLevel="1">
      <c r="A206" s="916"/>
      <c r="B206" s="1123"/>
      <c r="C206" s="1127"/>
      <c r="D206" s="1125"/>
      <c r="E206" s="1125"/>
      <c r="F206" s="1130"/>
      <c r="G206" s="95"/>
      <c r="H206" s="823"/>
      <c r="I206" s="1125"/>
      <c r="J206" s="1134"/>
      <c r="K206" s="1134"/>
      <c r="L206" s="916"/>
      <c r="M206" s="916"/>
    </row>
    <row r="207" spans="1:13" s="103" customFormat="1" ht="15.75" hidden="1" customHeight="1" outlineLevel="1">
      <c r="A207" s="916"/>
      <c r="B207" s="1124"/>
      <c r="C207" s="1128"/>
      <c r="D207" s="1126"/>
      <c r="E207" s="1126"/>
      <c r="F207" s="1132"/>
      <c r="G207" s="100"/>
      <c r="H207" s="824"/>
      <c r="I207" s="1126"/>
      <c r="J207" s="1135"/>
      <c r="K207" s="1135"/>
      <c r="L207" s="916"/>
      <c r="M207" s="916"/>
    </row>
    <row r="208" spans="1:13" s="103" customFormat="1" ht="15.75" hidden="1" customHeight="1" outlineLevel="1">
      <c r="A208" s="916"/>
      <c r="B208" s="1123">
        <v>66</v>
      </c>
      <c r="C208" s="1127"/>
      <c r="D208" s="1125"/>
      <c r="E208" s="1125" t="s">
        <v>18</v>
      </c>
      <c r="F208" s="1130" t="str">
        <f>VLOOKUP(E208,$N$13:$O$17,2,0)</f>
        <v>-</v>
      </c>
      <c r="G208" s="92"/>
      <c r="H208" s="823"/>
      <c r="I208" s="1125"/>
      <c r="J208" s="1133"/>
      <c r="K208" s="1133"/>
      <c r="L208" s="916"/>
      <c r="M208" s="916"/>
    </row>
    <row r="209" spans="1:13" s="103" customFormat="1" ht="15.75" hidden="1" customHeight="1" outlineLevel="1">
      <c r="A209" s="916"/>
      <c r="B209" s="1123"/>
      <c r="C209" s="1127"/>
      <c r="D209" s="1125"/>
      <c r="E209" s="1125"/>
      <c r="F209" s="1130"/>
      <c r="G209" s="95"/>
      <c r="H209" s="823"/>
      <c r="I209" s="1125"/>
      <c r="J209" s="1134"/>
      <c r="K209" s="1134"/>
      <c r="L209" s="916"/>
      <c r="M209" s="916"/>
    </row>
    <row r="210" spans="1:13" s="103" customFormat="1" ht="15.75" hidden="1" customHeight="1" outlineLevel="1">
      <c r="A210" s="916"/>
      <c r="B210" s="1124"/>
      <c r="C210" s="1128"/>
      <c r="D210" s="1126"/>
      <c r="E210" s="1126"/>
      <c r="F210" s="1132"/>
      <c r="G210" s="100"/>
      <c r="H210" s="824"/>
      <c r="I210" s="1126"/>
      <c r="J210" s="1135"/>
      <c r="K210" s="1135"/>
      <c r="L210" s="916"/>
      <c r="M210" s="916"/>
    </row>
    <row r="211" spans="1:13" s="103" customFormat="1" ht="15.75" hidden="1" customHeight="1" outlineLevel="1">
      <c r="A211" s="916"/>
      <c r="B211" s="1123">
        <v>67</v>
      </c>
      <c r="C211" s="1127"/>
      <c r="D211" s="1125"/>
      <c r="E211" s="1125" t="s">
        <v>18</v>
      </c>
      <c r="F211" s="1130" t="str">
        <f>VLOOKUP(E211,$N$13:$O$17,2,0)</f>
        <v>-</v>
      </c>
      <c r="G211" s="92"/>
      <c r="H211" s="823"/>
      <c r="I211" s="1125"/>
      <c r="J211" s="1133"/>
      <c r="K211" s="1133"/>
      <c r="L211" s="916"/>
      <c r="M211" s="916"/>
    </row>
    <row r="212" spans="1:13" s="103" customFormat="1" ht="15.75" hidden="1" customHeight="1" outlineLevel="1">
      <c r="A212" s="916"/>
      <c r="B212" s="1123"/>
      <c r="C212" s="1127"/>
      <c r="D212" s="1125"/>
      <c r="E212" s="1125"/>
      <c r="F212" s="1130"/>
      <c r="G212" s="95"/>
      <c r="H212" s="823"/>
      <c r="I212" s="1125"/>
      <c r="J212" s="1134"/>
      <c r="K212" s="1134"/>
      <c r="L212" s="916"/>
      <c r="M212" s="916"/>
    </row>
    <row r="213" spans="1:13" s="103" customFormat="1" ht="15.75" hidden="1" customHeight="1" outlineLevel="1">
      <c r="A213" s="916"/>
      <c r="B213" s="1124"/>
      <c r="C213" s="1128"/>
      <c r="D213" s="1126"/>
      <c r="E213" s="1126"/>
      <c r="F213" s="1132"/>
      <c r="G213" s="100"/>
      <c r="H213" s="824"/>
      <c r="I213" s="1126"/>
      <c r="J213" s="1135"/>
      <c r="K213" s="1135"/>
      <c r="L213" s="916"/>
      <c r="M213" s="916"/>
    </row>
    <row r="214" spans="1:13" s="103" customFormat="1" ht="15.75" hidden="1" customHeight="1" outlineLevel="1">
      <c r="A214" s="916"/>
      <c r="B214" s="1123">
        <v>68</v>
      </c>
      <c r="C214" s="1127"/>
      <c r="D214" s="1125"/>
      <c r="E214" s="1125" t="s">
        <v>18</v>
      </c>
      <c r="F214" s="1130" t="str">
        <f>VLOOKUP(E214,$N$13:$O$17,2,0)</f>
        <v>-</v>
      </c>
      <c r="G214" s="92"/>
      <c r="H214" s="823"/>
      <c r="I214" s="1125"/>
      <c r="J214" s="1133"/>
      <c r="K214" s="1133"/>
      <c r="L214" s="916"/>
      <c r="M214" s="916"/>
    </row>
    <row r="215" spans="1:13" s="103" customFormat="1" ht="15.75" hidden="1" customHeight="1" outlineLevel="1">
      <c r="A215" s="916"/>
      <c r="B215" s="1123"/>
      <c r="C215" s="1127"/>
      <c r="D215" s="1125"/>
      <c r="E215" s="1125"/>
      <c r="F215" s="1130"/>
      <c r="G215" s="95"/>
      <c r="H215" s="823"/>
      <c r="I215" s="1125"/>
      <c r="J215" s="1134"/>
      <c r="K215" s="1134"/>
      <c r="L215" s="916"/>
      <c r="M215" s="916"/>
    </row>
    <row r="216" spans="1:13" s="103" customFormat="1" ht="15.75" hidden="1" customHeight="1" outlineLevel="1">
      <c r="A216" s="916"/>
      <c r="B216" s="1124"/>
      <c r="C216" s="1128"/>
      <c r="D216" s="1126"/>
      <c r="E216" s="1126"/>
      <c r="F216" s="1132"/>
      <c r="G216" s="100"/>
      <c r="H216" s="824"/>
      <c r="I216" s="1126"/>
      <c r="J216" s="1135"/>
      <c r="K216" s="1135"/>
      <c r="L216" s="916"/>
      <c r="M216" s="916"/>
    </row>
    <row r="217" spans="1:13" s="103" customFormat="1" ht="15.75" hidden="1" customHeight="1" outlineLevel="1">
      <c r="A217" s="916"/>
      <c r="B217" s="1123">
        <v>69</v>
      </c>
      <c r="C217" s="1127"/>
      <c r="D217" s="1125"/>
      <c r="E217" s="1125" t="s">
        <v>18</v>
      </c>
      <c r="F217" s="1130" t="str">
        <f>VLOOKUP(E217,$N$13:$O$17,2,0)</f>
        <v>-</v>
      </c>
      <c r="G217" s="92"/>
      <c r="H217" s="823"/>
      <c r="I217" s="1125"/>
      <c r="J217" s="1133"/>
      <c r="K217" s="1133"/>
      <c r="L217" s="916"/>
      <c r="M217" s="916"/>
    </row>
    <row r="218" spans="1:13" s="103" customFormat="1" ht="15.75" hidden="1" customHeight="1" outlineLevel="1">
      <c r="A218" s="916"/>
      <c r="B218" s="1123"/>
      <c r="C218" s="1127"/>
      <c r="D218" s="1125"/>
      <c r="E218" s="1125"/>
      <c r="F218" s="1130"/>
      <c r="G218" s="95"/>
      <c r="H218" s="823"/>
      <c r="I218" s="1125"/>
      <c r="J218" s="1134"/>
      <c r="K218" s="1134"/>
      <c r="L218" s="916"/>
      <c r="M218" s="916"/>
    </row>
    <row r="219" spans="1:13" s="103" customFormat="1" ht="15.75" hidden="1" customHeight="1" outlineLevel="1">
      <c r="A219" s="916"/>
      <c r="B219" s="1124"/>
      <c r="C219" s="1128"/>
      <c r="D219" s="1126"/>
      <c r="E219" s="1126"/>
      <c r="F219" s="1132"/>
      <c r="G219" s="100"/>
      <c r="H219" s="824"/>
      <c r="I219" s="1126"/>
      <c r="J219" s="1135"/>
      <c r="K219" s="1135"/>
      <c r="L219" s="916"/>
      <c r="M219" s="916"/>
    </row>
    <row r="220" spans="1:13" s="103" customFormat="1" ht="15.75" hidden="1" customHeight="1" outlineLevel="1">
      <c r="A220" s="916"/>
      <c r="B220" s="1123">
        <v>70</v>
      </c>
      <c r="C220" s="1127"/>
      <c r="D220" s="1125"/>
      <c r="E220" s="1125" t="s">
        <v>18</v>
      </c>
      <c r="F220" s="1130" t="str">
        <f>VLOOKUP(E220,$N$13:$O$17,2,0)</f>
        <v>-</v>
      </c>
      <c r="G220" s="92"/>
      <c r="H220" s="823"/>
      <c r="I220" s="1125"/>
      <c r="J220" s="1133"/>
      <c r="K220" s="1133"/>
      <c r="L220" s="916"/>
      <c r="M220" s="916"/>
    </row>
    <row r="221" spans="1:13" s="103" customFormat="1" ht="15.75" hidden="1" customHeight="1" outlineLevel="1">
      <c r="A221" s="916"/>
      <c r="B221" s="1123"/>
      <c r="C221" s="1127"/>
      <c r="D221" s="1125"/>
      <c r="E221" s="1125"/>
      <c r="F221" s="1130"/>
      <c r="G221" s="95"/>
      <c r="H221" s="823"/>
      <c r="I221" s="1125"/>
      <c r="J221" s="1134"/>
      <c r="K221" s="1134"/>
      <c r="L221" s="916"/>
      <c r="M221" s="916"/>
    </row>
    <row r="222" spans="1:13" s="103" customFormat="1" ht="15.75" hidden="1" customHeight="1" outlineLevel="1">
      <c r="A222" s="916"/>
      <c r="B222" s="1124"/>
      <c r="C222" s="1128"/>
      <c r="D222" s="1126"/>
      <c r="E222" s="1126"/>
      <c r="F222" s="1132"/>
      <c r="G222" s="100"/>
      <c r="H222" s="824"/>
      <c r="I222" s="1126"/>
      <c r="J222" s="1135"/>
      <c r="K222" s="1135"/>
      <c r="L222" s="916"/>
      <c r="M222" s="916"/>
    </row>
    <row r="223" spans="1:13" s="103" customFormat="1" ht="15.75" hidden="1" customHeight="1" outlineLevel="1">
      <c r="A223" s="916"/>
      <c r="B223" s="1123">
        <v>71</v>
      </c>
      <c r="C223" s="1127"/>
      <c r="D223" s="1125"/>
      <c r="E223" s="1125" t="s">
        <v>18</v>
      </c>
      <c r="F223" s="1130" t="str">
        <f>VLOOKUP(E223,$N$13:$O$17,2,0)</f>
        <v>-</v>
      </c>
      <c r="G223" s="92"/>
      <c r="H223" s="823"/>
      <c r="I223" s="1125"/>
      <c r="J223" s="1133"/>
      <c r="K223" s="1133"/>
      <c r="L223" s="916"/>
      <c r="M223" s="916"/>
    </row>
    <row r="224" spans="1:13" s="103" customFormat="1" ht="15.75" hidden="1" customHeight="1" outlineLevel="1">
      <c r="A224" s="916"/>
      <c r="B224" s="1123"/>
      <c r="C224" s="1127"/>
      <c r="D224" s="1125"/>
      <c r="E224" s="1125"/>
      <c r="F224" s="1130"/>
      <c r="G224" s="95"/>
      <c r="H224" s="823"/>
      <c r="I224" s="1125"/>
      <c r="J224" s="1134"/>
      <c r="K224" s="1134"/>
      <c r="L224" s="916"/>
      <c r="M224" s="916"/>
    </row>
    <row r="225" spans="1:13" s="103" customFormat="1" ht="15.75" hidden="1" customHeight="1" outlineLevel="1">
      <c r="A225" s="916"/>
      <c r="B225" s="1124"/>
      <c r="C225" s="1128"/>
      <c r="D225" s="1126"/>
      <c r="E225" s="1126"/>
      <c r="F225" s="1132"/>
      <c r="G225" s="100"/>
      <c r="H225" s="824"/>
      <c r="I225" s="1126"/>
      <c r="J225" s="1135"/>
      <c r="K225" s="1135"/>
      <c r="L225" s="916"/>
      <c r="M225" s="916"/>
    </row>
    <row r="226" spans="1:13" s="103" customFormat="1" ht="15.75" hidden="1" customHeight="1" outlineLevel="1">
      <c r="A226" s="916"/>
      <c r="B226" s="1123">
        <v>72</v>
      </c>
      <c r="C226" s="1127"/>
      <c r="D226" s="1125"/>
      <c r="E226" s="1125" t="s">
        <v>18</v>
      </c>
      <c r="F226" s="1130" t="str">
        <f>VLOOKUP(E226,$N$13:$O$17,2,0)</f>
        <v>-</v>
      </c>
      <c r="G226" s="92"/>
      <c r="H226" s="823"/>
      <c r="I226" s="1125"/>
      <c r="J226" s="1133"/>
      <c r="K226" s="1133"/>
      <c r="L226" s="916"/>
      <c r="M226" s="916"/>
    </row>
    <row r="227" spans="1:13" s="103" customFormat="1" ht="15.75" hidden="1" customHeight="1" outlineLevel="1">
      <c r="A227" s="916"/>
      <c r="B227" s="1123"/>
      <c r="C227" s="1127"/>
      <c r="D227" s="1125"/>
      <c r="E227" s="1125"/>
      <c r="F227" s="1130"/>
      <c r="G227" s="95"/>
      <c r="H227" s="823"/>
      <c r="I227" s="1125"/>
      <c r="J227" s="1134"/>
      <c r="K227" s="1134"/>
      <c r="L227" s="916"/>
      <c r="M227" s="916"/>
    </row>
    <row r="228" spans="1:13" s="103" customFormat="1" ht="15.75" hidden="1" customHeight="1" outlineLevel="1">
      <c r="A228" s="916"/>
      <c r="B228" s="1124"/>
      <c r="C228" s="1128"/>
      <c r="D228" s="1126"/>
      <c r="E228" s="1126"/>
      <c r="F228" s="1132"/>
      <c r="G228" s="100"/>
      <c r="H228" s="824"/>
      <c r="I228" s="1126"/>
      <c r="J228" s="1135"/>
      <c r="K228" s="1135"/>
      <c r="L228" s="916"/>
      <c r="M228" s="916"/>
    </row>
    <row r="229" spans="1:13" s="103" customFormat="1" ht="15.75" hidden="1" customHeight="1" outlineLevel="1">
      <c r="A229" s="916"/>
      <c r="B229" s="1123">
        <v>73</v>
      </c>
      <c r="C229" s="1127"/>
      <c r="D229" s="1125"/>
      <c r="E229" s="1125" t="s">
        <v>18</v>
      </c>
      <c r="F229" s="1130" t="str">
        <f>VLOOKUP(E229,$N$13:$O$17,2,0)</f>
        <v>-</v>
      </c>
      <c r="G229" s="92"/>
      <c r="H229" s="823"/>
      <c r="I229" s="1125"/>
      <c r="J229" s="1133"/>
      <c r="K229" s="1133"/>
      <c r="L229" s="916"/>
      <c r="M229" s="916"/>
    </row>
    <row r="230" spans="1:13" s="103" customFormat="1" ht="15.75" hidden="1" customHeight="1" outlineLevel="1">
      <c r="A230" s="916"/>
      <c r="B230" s="1123"/>
      <c r="C230" s="1127"/>
      <c r="D230" s="1125"/>
      <c r="E230" s="1125"/>
      <c r="F230" s="1130"/>
      <c r="G230" s="95"/>
      <c r="H230" s="823"/>
      <c r="I230" s="1125"/>
      <c r="J230" s="1134"/>
      <c r="K230" s="1134"/>
      <c r="L230" s="916"/>
      <c r="M230" s="916"/>
    </row>
    <row r="231" spans="1:13" s="103" customFormat="1" ht="15.75" hidden="1" customHeight="1" outlineLevel="1">
      <c r="A231" s="916"/>
      <c r="B231" s="1124"/>
      <c r="C231" s="1128"/>
      <c r="D231" s="1126"/>
      <c r="E231" s="1126"/>
      <c r="F231" s="1132"/>
      <c r="G231" s="100"/>
      <c r="H231" s="824"/>
      <c r="I231" s="1126"/>
      <c r="J231" s="1135"/>
      <c r="K231" s="1135"/>
      <c r="L231" s="916"/>
      <c r="M231" s="916"/>
    </row>
    <row r="232" spans="1:13" s="103" customFormat="1" ht="15.75" hidden="1" customHeight="1" outlineLevel="1">
      <c r="A232" s="916"/>
      <c r="B232" s="1123">
        <v>74</v>
      </c>
      <c r="C232" s="1127"/>
      <c r="D232" s="1125"/>
      <c r="E232" s="1125" t="s">
        <v>18</v>
      </c>
      <c r="F232" s="1130" t="str">
        <f>VLOOKUP(E232,$N$13:$O$17,2,0)</f>
        <v>-</v>
      </c>
      <c r="G232" s="92"/>
      <c r="H232" s="823"/>
      <c r="I232" s="1125"/>
      <c r="J232" s="1133"/>
      <c r="K232" s="1133"/>
      <c r="L232" s="916"/>
      <c r="M232" s="916"/>
    </row>
    <row r="233" spans="1:13" s="103" customFormat="1" ht="15.75" hidden="1" customHeight="1" outlineLevel="1">
      <c r="A233" s="916"/>
      <c r="B233" s="1123"/>
      <c r="C233" s="1127"/>
      <c r="D233" s="1125"/>
      <c r="E233" s="1125"/>
      <c r="F233" s="1130"/>
      <c r="G233" s="95"/>
      <c r="H233" s="823"/>
      <c r="I233" s="1125"/>
      <c r="J233" s="1134"/>
      <c r="K233" s="1134"/>
      <c r="L233" s="916"/>
      <c r="M233" s="916"/>
    </row>
    <row r="234" spans="1:13" s="103" customFormat="1" ht="15.75" hidden="1" customHeight="1" outlineLevel="1">
      <c r="A234" s="916"/>
      <c r="B234" s="1124"/>
      <c r="C234" s="1128"/>
      <c r="D234" s="1126"/>
      <c r="E234" s="1126"/>
      <c r="F234" s="1132"/>
      <c r="G234" s="100"/>
      <c r="H234" s="824"/>
      <c r="I234" s="1126"/>
      <c r="J234" s="1135"/>
      <c r="K234" s="1135"/>
      <c r="L234" s="916"/>
      <c r="M234" s="916"/>
    </row>
    <row r="235" spans="1:13" s="103" customFormat="1" ht="15.75" hidden="1" customHeight="1" outlineLevel="1">
      <c r="A235" s="916"/>
      <c r="B235" s="1123">
        <v>75</v>
      </c>
      <c r="C235" s="1127"/>
      <c r="D235" s="1125"/>
      <c r="E235" s="1125" t="s">
        <v>18</v>
      </c>
      <c r="F235" s="1130" t="str">
        <f>VLOOKUP(E235,$N$13:$O$17,2,0)</f>
        <v>-</v>
      </c>
      <c r="G235" s="92"/>
      <c r="H235" s="823"/>
      <c r="I235" s="1125"/>
      <c r="J235" s="1133"/>
      <c r="K235" s="1133"/>
      <c r="L235" s="916"/>
      <c r="M235" s="916"/>
    </row>
    <row r="236" spans="1:13" s="103" customFormat="1" ht="15.75" hidden="1" customHeight="1" outlineLevel="1">
      <c r="A236" s="916"/>
      <c r="B236" s="1123"/>
      <c r="C236" s="1127"/>
      <c r="D236" s="1125"/>
      <c r="E236" s="1125"/>
      <c r="F236" s="1130"/>
      <c r="G236" s="95"/>
      <c r="H236" s="823"/>
      <c r="I236" s="1125"/>
      <c r="J236" s="1134"/>
      <c r="K236" s="1134"/>
      <c r="L236" s="916"/>
      <c r="M236" s="916"/>
    </row>
    <row r="237" spans="1:13" s="103" customFormat="1" ht="15.75" hidden="1" customHeight="1" outlineLevel="1">
      <c r="A237" s="916"/>
      <c r="B237" s="1124"/>
      <c r="C237" s="1128"/>
      <c r="D237" s="1126"/>
      <c r="E237" s="1126"/>
      <c r="F237" s="1132"/>
      <c r="G237" s="100"/>
      <c r="H237" s="824"/>
      <c r="I237" s="1126"/>
      <c r="J237" s="1135"/>
      <c r="K237" s="1135"/>
      <c r="L237" s="916"/>
      <c r="M237" s="916"/>
    </row>
    <row r="238" spans="1:13" s="103" customFormat="1" ht="15.75" hidden="1" customHeight="1" outlineLevel="1">
      <c r="A238" s="916"/>
      <c r="B238" s="1123">
        <v>76</v>
      </c>
      <c r="C238" s="1127"/>
      <c r="D238" s="1125"/>
      <c r="E238" s="1125" t="s">
        <v>18</v>
      </c>
      <c r="F238" s="1130" t="str">
        <f>VLOOKUP(E238,$N$13:$O$17,2,0)</f>
        <v>-</v>
      </c>
      <c r="G238" s="92"/>
      <c r="H238" s="823"/>
      <c r="I238" s="1125"/>
      <c r="J238" s="1133"/>
      <c r="K238" s="1133"/>
      <c r="L238" s="916"/>
      <c r="M238" s="916"/>
    </row>
    <row r="239" spans="1:13" s="103" customFormat="1" ht="15.75" hidden="1" customHeight="1" outlineLevel="1">
      <c r="A239" s="916"/>
      <c r="B239" s="1123"/>
      <c r="C239" s="1127"/>
      <c r="D239" s="1125"/>
      <c r="E239" s="1125"/>
      <c r="F239" s="1130"/>
      <c r="G239" s="95"/>
      <c r="H239" s="823"/>
      <c r="I239" s="1125"/>
      <c r="J239" s="1134"/>
      <c r="K239" s="1134"/>
      <c r="L239" s="916"/>
      <c r="M239" s="916"/>
    </row>
    <row r="240" spans="1:13" s="103" customFormat="1" ht="15.75" hidden="1" customHeight="1" outlineLevel="1">
      <c r="A240" s="916"/>
      <c r="B240" s="1124"/>
      <c r="C240" s="1128"/>
      <c r="D240" s="1126"/>
      <c r="E240" s="1126"/>
      <c r="F240" s="1132"/>
      <c r="G240" s="100"/>
      <c r="H240" s="824"/>
      <c r="I240" s="1126"/>
      <c r="J240" s="1135"/>
      <c r="K240" s="1135"/>
      <c r="L240" s="916"/>
      <c r="M240" s="916"/>
    </row>
    <row r="241" spans="1:13" s="103" customFormat="1" ht="15.75" hidden="1" customHeight="1" outlineLevel="1">
      <c r="A241" s="916"/>
      <c r="B241" s="1123">
        <v>77</v>
      </c>
      <c r="C241" s="1127"/>
      <c r="D241" s="1125"/>
      <c r="E241" s="1125" t="s">
        <v>18</v>
      </c>
      <c r="F241" s="1130" t="str">
        <f>VLOOKUP(E241,$N$13:$O$17,2,0)</f>
        <v>-</v>
      </c>
      <c r="G241" s="92"/>
      <c r="H241" s="823"/>
      <c r="I241" s="1125"/>
      <c r="J241" s="1133"/>
      <c r="K241" s="1133"/>
      <c r="L241" s="916"/>
      <c r="M241" s="916"/>
    </row>
    <row r="242" spans="1:13" s="103" customFormat="1" ht="15.75" hidden="1" customHeight="1" outlineLevel="1">
      <c r="A242" s="916"/>
      <c r="B242" s="1123"/>
      <c r="C242" s="1127"/>
      <c r="D242" s="1125"/>
      <c r="E242" s="1125"/>
      <c r="F242" s="1130"/>
      <c r="G242" s="95"/>
      <c r="H242" s="823"/>
      <c r="I242" s="1125"/>
      <c r="J242" s="1134"/>
      <c r="K242" s="1134"/>
      <c r="L242" s="916"/>
      <c r="M242" s="916"/>
    </row>
    <row r="243" spans="1:13" s="103" customFormat="1" ht="15.75" hidden="1" customHeight="1" outlineLevel="1">
      <c r="A243" s="916"/>
      <c r="B243" s="1124"/>
      <c r="C243" s="1128"/>
      <c r="D243" s="1126"/>
      <c r="E243" s="1126"/>
      <c r="F243" s="1132"/>
      <c r="G243" s="100"/>
      <c r="H243" s="824"/>
      <c r="I243" s="1126"/>
      <c r="J243" s="1135"/>
      <c r="K243" s="1135"/>
      <c r="L243" s="916"/>
      <c r="M243" s="916"/>
    </row>
    <row r="244" spans="1:13" s="103" customFormat="1" ht="15.75" hidden="1" customHeight="1" outlineLevel="1">
      <c r="A244" s="916"/>
      <c r="B244" s="1123">
        <v>78</v>
      </c>
      <c r="C244" s="1127"/>
      <c r="D244" s="1125"/>
      <c r="E244" s="1125" t="s">
        <v>18</v>
      </c>
      <c r="F244" s="1130" t="str">
        <f>VLOOKUP(E244,$N$13:$O$17,2,0)</f>
        <v>-</v>
      </c>
      <c r="G244" s="92"/>
      <c r="H244" s="823"/>
      <c r="I244" s="1125"/>
      <c r="J244" s="1133"/>
      <c r="K244" s="1133"/>
      <c r="L244" s="916"/>
      <c r="M244" s="916"/>
    </row>
    <row r="245" spans="1:13" s="103" customFormat="1" ht="15.75" hidden="1" customHeight="1" outlineLevel="1">
      <c r="A245" s="916"/>
      <c r="B245" s="1123"/>
      <c r="C245" s="1127"/>
      <c r="D245" s="1125"/>
      <c r="E245" s="1125"/>
      <c r="F245" s="1130"/>
      <c r="G245" s="95"/>
      <c r="H245" s="823"/>
      <c r="I245" s="1125"/>
      <c r="J245" s="1134"/>
      <c r="K245" s="1134"/>
      <c r="L245" s="916"/>
      <c r="M245" s="916"/>
    </row>
    <row r="246" spans="1:13" s="103" customFormat="1" ht="15.75" hidden="1" customHeight="1" outlineLevel="1">
      <c r="A246" s="916"/>
      <c r="B246" s="1124"/>
      <c r="C246" s="1128"/>
      <c r="D246" s="1126"/>
      <c r="E246" s="1126"/>
      <c r="F246" s="1132"/>
      <c r="G246" s="100"/>
      <c r="H246" s="824"/>
      <c r="I246" s="1126"/>
      <c r="J246" s="1135"/>
      <c r="K246" s="1135"/>
      <c r="L246" s="916"/>
      <c r="M246" s="916"/>
    </row>
    <row r="247" spans="1:13" s="103" customFormat="1" ht="15.75" hidden="1" customHeight="1" outlineLevel="1">
      <c r="A247" s="916"/>
      <c r="B247" s="1123">
        <v>79</v>
      </c>
      <c r="C247" s="1127"/>
      <c r="D247" s="1125"/>
      <c r="E247" s="1125" t="s">
        <v>18</v>
      </c>
      <c r="F247" s="1130" t="str">
        <f>VLOOKUP(E247,$N$13:$O$17,2,0)</f>
        <v>-</v>
      </c>
      <c r="G247" s="92"/>
      <c r="H247" s="823"/>
      <c r="I247" s="1125"/>
      <c r="J247" s="1133"/>
      <c r="K247" s="1133"/>
      <c r="L247" s="916"/>
      <c r="M247" s="916"/>
    </row>
    <row r="248" spans="1:13" s="103" customFormat="1" ht="15.75" hidden="1" customHeight="1" outlineLevel="1">
      <c r="A248" s="916"/>
      <c r="B248" s="1123"/>
      <c r="C248" s="1127"/>
      <c r="D248" s="1125"/>
      <c r="E248" s="1125"/>
      <c r="F248" s="1130"/>
      <c r="G248" s="95"/>
      <c r="H248" s="823"/>
      <c r="I248" s="1125"/>
      <c r="J248" s="1134"/>
      <c r="K248" s="1134"/>
      <c r="L248" s="916"/>
      <c r="M248" s="916"/>
    </row>
    <row r="249" spans="1:13" s="103" customFormat="1" ht="15.75" hidden="1" customHeight="1" outlineLevel="1">
      <c r="A249" s="916"/>
      <c r="B249" s="1124"/>
      <c r="C249" s="1128"/>
      <c r="D249" s="1126"/>
      <c r="E249" s="1126"/>
      <c r="F249" s="1132"/>
      <c r="G249" s="100"/>
      <c r="H249" s="824"/>
      <c r="I249" s="1126"/>
      <c r="J249" s="1135"/>
      <c r="K249" s="1135"/>
      <c r="L249" s="916"/>
      <c r="M249" s="916"/>
    </row>
    <row r="250" spans="1:13" s="103" customFormat="1" ht="15.75" hidden="1" customHeight="1" outlineLevel="1">
      <c r="A250" s="916"/>
      <c r="B250" s="1123">
        <v>80</v>
      </c>
      <c r="C250" s="1127"/>
      <c r="D250" s="1125"/>
      <c r="E250" s="1125" t="s">
        <v>18</v>
      </c>
      <c r="F250" s="1130" t="str">
        <f>VLOOKUP(E250,$N$13:$O$17,2,0)</f>
        <v>-</v>
      </c>
      <c r="G250" s="92"/>
      <c r="H250" s="823"/>
      <c r="I250" s="1125"/>
      <c r="J250" s="1133"/>
      <c r="K250" s="1133"/>
      <c r="L250" s="916"/>
      <c r="M250" s="916"/>
    </row>
    <row r="251" spans="1:13" s="103" customFormat="1" ht="15.75" hidden="1" customHeight="1" outlineLevel="1">
      <c r="A251" s="916"/>
      <c r="B251" s="1123"/>
      <c r="C251" s="1127"/>
      <c r="D251" s="1125"/>
      <c r="E251" s="1125"/>
      <c r="F251" s="1130"/>
      <c r="G251" s="95"/>
      <c r="H251" s="823"/>
      <c r="I251" s="1125"/>
      <c r="J251" s="1134"/>
      <c r="K251" s="1134"/>
      <c r="L251" s="916"/>
      <c r="M251" s="916"/>
    </row>
    <row r="252" spans="1:13" s="103" customFormat="1" ht="15.75" hidden="1" customHeight="1" outlineLevel="1">
      <c r="A252" s="916"/>
      <c r="B252" s="1124"/>
      <c r="C252" s="1128"/>
      <c r="D252" s="1126"/>
      <c r="E252" s="1126"/>
      <c r="F252" s="1132"/>
      <c r="G252" s="100"/>
      <c r="H252" s="824"/>
      <c r="I252" s="1126"/>
      <c r="J252" s="1135"/>
      <c r="K252" s="1135"/>
      <c r="L252" s="916"/>
      <c r="M252" s="916"/>
    </row>
    <row r="253" spans="1:13" s="103" customFormat="1" ht="15.75" hidden="1" customHeight="1" outlineLevel="1">
      <c r="A253" s="916"/>
      <c r="B253" s="1123">
        <v>81</v>
      </c>
      <c r="C253" s="1127"/>
      <c r="D253" s="1125"/>
      <c r="E253" s="1125" t="s">
        <v>18</v>
      </c>
      <c r="F253" s="1130" t="str">
        <f>VLOOKUP(E253,$N$13:$O$17,2,0)</f>
        <v>-</v>
      </c>
      <c r="G253" s="92"/>
      <c r="H253" s="823"/>
      <c r="I253" s="1125"/>
      <c r="J253" s="1133"/>
      <c r="K253" s="1133"/>
      <c r="L253" s="916"/>
      <c r="M253" s="916"/>
    </row>
    <row r="254" spans="1:13" s="103" customFormat="1" ht="15.75" hidden="1" customHeight="1" outlineLevel="1">
      <c r="A254" s="916"/>
      <c r="B254" s="1123"/>
      <c r="C254" s="1127"/>
      <c r="D254" s="1125"/>
      <c r="E254" s="1125"/>
      <c r="F254" s="1130"/>
      <c r="G254" s="95"/>
      <c r="H254" s="823"/>
      <c r="I254" s="1125"/>
      <c r="J254" s="1134"/>
      <c r="K254" s="1134"/>
      <c r="L254" s="916"/>
      <c r="M254" s="916"/>
    </row>
    <row r="255" spans="1:13" s="103" customFormat="1" ht="15.75" hidden="1" customHeight="1" outlineLevel="1">
      <c r="A255" s="916"/>
      <c r="B255" s="1124"/>
      <c r="C255" s="1128"/>
      <c r="D255" s="1126"/>
      <c r="E255" s="1126"/>
      <c r="F255" s="1132"/>
      <c r="G255" s="100"/>
      <c r="H255" s="824"/>
      <c r="I255" s="1126"/>
      <c r="J255" s="1135"/>
      <c r="K255" s="1135"/>
      <c r="L255" s="916"/>
      <c r="M255" s="916"/>
    </row>
    <row r="256" spans="1:13" s="103" customFormat="1" ht="15.75" hidden="1" customHeight="1" outlineLevel="1">
      <c r="A256" s="916"/>
      <c r="B256" s="1123">
        <v>82</v>
      </c>
      <c r="C256" s="1127"/>
      <c r="D256" s="1125"/>
      <c r="E256" s="1125" t="s">
        <v>18</v>
      </c>
      <c r="F256" s="1130" t="str">
        <f>VLOOKUP(E256,$N$13:$O$17,2,0)</f>
        <v>-</v>
      </c>
      <c r="G256" s="92"/>
      <c r="H256" s="823"/>
      <c r="I256" s="1125"/>
      <c r="J256" s="1133"/>
      <c r="K256" s="1133"/>
      <c r="L256" s="916"/>
      <c r="M256" s="916"/>
    </row>
    <row r="257" spans="1:13" s="103" customFormat="1" ht="15.75" hidden="1" customHeight="1" outlineLevel="1">
      <c r="A257" s="916"/>
      <c r="B257" s="1123"/>
      <c r="C257" s="1127"/>
      <c r="D257" s="1125"/>
      <c r="E257" s="1125"/>
      <c r="F257" s="1130"/>
      <c r="G257" s="95"/>
      <c r="H257" s="823"/>
      <c r="I257" s="1125"/>
      <c r="J257" s="1134"/>
      <c r="K257" s="1134"/>
      <c r="L257" s="916"/>
      <c r="M257" s="916"/>
    </row>
    <row r="258" spans="1:13" s="103" customFormat="1" ht="15.75" hidden="1" customHeight="1" outlineLevel="1">
      <c r="A258" s="916"/>
      <c r="B258" s="1124"/>
      <c r="C258" s="1128"/>
      <c r="D258" s="1126"/>
      <c r="E258" s="1126"/>
      <c r="F258" s="1132"/>
      <c r="G258" s="100"/>
      <c r="H258" s="824"/>
      <c r="I258" s="1126"/>
      <c r="J258" s="1135"/>
      <c r="K258" s="1135"/>
      <c r="L258" s="916"/>
      <c r="M258" s="916"/>
    </row>
    <row r="259" spans="1:13" s="103" customFormat="1" ht="15.75" hidden="1" customHeight="1" outlineLevel="1">
      <c r="A259" s="916"/>
      <c r="B259" s="1123">
        <v>83</v>
      </c>
      <c r="C259" s="1127"/>
      <c r="D259" s="1125"/>
      <c r="E259" s="1125" t="s">
        <v>18</v>
      </c>
      <c r="F259" s="1130" t="str">
        <f>VLOOKUP(E259,$N$13:$O$17,2,0)</f>
        <v>-</v>
      </c>
      <c r="G259" s="92"/>
      <c r="H259" s="823"/>
      <c r="I259" s="1125"/>
      <c r="J259" s="1133"/>
      <c r="K259" s="1133"/>
      <c r="L259" s="916"/>
      <c r="M259" s="916"/>
    </row>
    <row r="260" spans="1:13" s="103" customFormat="1" ht="15.75" hidden="1" customHeight="1" outlineLevel="1">
      <c r="A260" s="916"/>
      <c r="B260" s="1123"/>
      <c r="C260" s="1127"/>
      <c r="D260" s="1125"/>
      <c r="E260" s="1125"/>
      <c r="F260" s="1130"/>
      <c r="G260" s="95"/>
      <c r="H260" s="823"/>
      <c r="I260" s="1125"/>
      <c r="J260" s="1134"/>
      <c r="K260" s="1134"/>
      <c r="L260" s="916"/>
      <c r="M260" s="916"/>
    </row>
    <row r="261" spans="1:13" s="103" customFormat="1" ht="15.75" hidden="1" customHeight="1" outlineLevel="1">
      <c r="A261" s="916"/>
      <c r="B261" s="1124"/>
      <c r="C261" s="1128"/>
      <c r="D261" s="1126"/>
      <c r="E261" s="1126"/>
      <c r="F261" s="1132"/>
      <c r="G261" s="100"/>
      <c r="H261" s="824"/>
      <c r="I261" s="1126"/>
      <c r="J261" s="1135"/>
      <c r="K261" s="1135"/>
      <c r="L261" s="916"/>
      <c r="M261" s="916"/>
    </row>
    <row r="262" spans="1:13" s="103" customFormat="1" ht="15.75" hidden="1" customHeight="1" outlineLevel="1">
      <c r="A262" s="916"/>
      <c r="B262" s="1123">
        <v>84</v>
      </c>
      <c r="C262" s="1127"/>
      <c r="D262" s="1125"/>
      <c r="E262" s="1125" t="s">
        <v>18</v>
      </c>
      <c r="F262" s="1130" t="str">
        <f>VLOOKUP(E262,$N$13:$O$17,2,0)</f>
        <v>-</v>
      </c>
      <c r="G262" s="92"/>
      <c r="H262" s="823"/>
      <c r="I262" s="1125"/>
      <c r="J262" s="1133"/>
      <c r="K262" s="1133"/>
      <c r="L262" s="916"/>
      <c r="M262" s="916"/>
    </row>
    <row r="263" spans="1:13" s="103" customFormat="1" ht="15.75" hidden="1" customHeight="1" outlineLevel="1">
      <c r="A263" s="916"/>
      <c r="B263" s="1123"/>
      <c r="C263" s="1127"/>
      <c r="D263" s="1125"/>
      <c r="E263" s="1125"/>
      <c r="F263" s="1130"/>
      <c r="G263" s="95"/>
      <c r="H263" s="823"/>
      <c r="I263" s="1125"/>
      <c r="J263" s="1134"/>
      <c r="K263" s="1134"/>
      <c r="L263" s="916"/>
      <c r="M263" s="916"/>
    </row>
    <row r="264" spans="1:13" s="103" customFormat="1" ht="15.75" hidden="1" customHeight="1" outlineLevel="1">
      <c r="A264" s="916"/>
      <c r="B264" s="1124"/>
      <c r="C264" s="1128"/>
      <c r="D264" s="1126"/>
      <c r="E264" s="1126"/>
      <c r="F264" s="1132"/>
      <c r="G264" s="100"/>
      <c r="H264" s="824"/>
      <c r="I264" s="1126"/>
      <c r="J264" s="1135"/>
      <c r="K264" s="1135"/>
      <c r="L264" s="916"/>
      <c r="M264" s="916"/>
    </row>
    <row r="265" spans="1:13" s="103" customFormat="1" ht="15.75" hidden="1" customHeight="1" outlineLevel="1">
      <c r="A265" s="916"/>
      <c r="B265" s="1123">
        <v>85</v>
      </c>
      <c r="C265" s="1127"/>
      <c r="D265" s="1125"/>
      <c r="E265" s="1125" t="s">
        <v>18</v>
      </c>
      <c r="F265" s="1130" t="str">
        <f>VLOOKUP(E265,$N$13:$O$17,2,0)</f>
        <v>-</v>
      </c>
      <c r="G265" s="92"/>
      <c r="H265" s="823"/>
      <c r="I265" s="1125"/>
      <c r="J265" s="1133"/>
      <c r="K265" s="1133"/>
      <c r="L265" s="916"/>
      <c r="M265" s="916"/>
    </row>
    <row r="266" spans="1:13" s="103" customFormat="1" ht="15.75" hidden="1" customHeight="1" outlineLevel="1">
      <c r="A266" s="916"/>
      <c r="B266" s="1123"/>
      <c r="C266" s="1127"/>
      <c r="D266" s="1125"/>
      <c r="E266" s="1125"/>
      <c r="F266" s="1130"/>
      <c r="G266" s="95"/>
      <c r="H266" s="823"/>
      <c r="I266" s="1125"/>
      <c r="J266" s="1134"/>
      <c r="K266" s="1134"/>
      <c r="L266" s="916"/>
      <c r="M266" s="916"/>
    </row>
    <row r="267" spans="1:13" s="103" customFormat="1" ht="15.75" hidden="1" customHeight="1" outlineLevel="1">
      <c r="A267" s="916"/>
      <c r="B267" s="1124"/>
      <c r="C267" s="1128"/>
      <c r="D267" s="1126"/>
      <c r="E267" s="1126"/>
      <c r="F267" s="1132"/>
      <c r="G267" s="100"/>
      <c r="H267" s="824"/>
      <c r="I267" s="1126"/>
      <c r="J267" s="1135"/>
      <c r="K267" s="1135"/>
      <c r="L267" s="916"/>
      <c r="M267" s="916"/>
    </row>
    <row r="268" spans="1:13" s="103" customFormat="1" ht="15.75" hidden="1" customHeight="1" outlineLevel="1">
      <c r="A268" s="916"/>
      <c r="B268" s="1123">
        <v>86</v>
      </c>
      <c r="C268" s="1127"/>
      <c r="D268" s="1125"/>
      <c r="E268" s="1125" t="s">
        <v>18</v>
      </c>
      <c r="F268" s="1130" t="str">
        <f>VLOOKUP(E268,$N$13:$O$17,2,0)</f>
        <v>-</v>
      </c>
      <c r="G268" s="92"/>
      <c r="H268" s="823"/>
      <c r="I268" s="1125"/>
      <c r="J268" s="1133"/>
      <c r="K268" s="1133"/>
      <c r="L268" s="916"/>
      <c r="M268" s="916"/>
    </row>
    <row r="269" spans="1:13" s="103" customFormat="1" ht="15.75" hidden="1" customHeight="1" outlineLevel="1">
      <c r="A269" s="916"/>
      <c r="B269" s="1123"/>
      <c r="C269" s="1127"/>
      <c r="D269" s="1125"/>
      <c r="E269" s="1125"/>
      <c r="F269" s="1130"/>
      <c r="G269" s="95"/>
      <c r="H269" s="823"/>
      <c r="I269" s="1125"/>
      <c r="J269" s="1134"/>
      <c r="K269" s="1134"/>
      <c r="L269" s="916"/>
      <c r="M269" s="916"/>
    </row>
    <row r="270" spans="1:13" s="103" customFormat="1" ht="15.75" hidden="1" customHeight="1" outlineLevel="1">
      <c r="A270" s="916"/>
      <c r="B270" s="1124"/>
      <c r="C270" s="1128"/>
      <c r="D270" s="1126"/>
      <c r="E270" s="1126"/>
      <c r="F270" s="1132"/>
      <c r="G270" s="100"/>
      <c r="H270" s="824"/>
      <c r="I270" s="1126"/>
      <c r="J270" s="1135"/>
      <c r="K270" s="1135"/>
      <c r="L270" s="916"/>
      <c r="M270" s="916"/>
    </row>
    <row r="271" spans="1:13" s="103" customFormat="1" ht="15.75" hidden="1" customHeight="1" outlineLevel="1">
      <c r="A271" s="916"/>
      <c r="B271" s="1123">
        <v>87</v>
      </c>
      <c r="C271" s="1127"/>
      <c r="D271" s="1125"/>
      <c r="E271" s="1125" t="s">
        <v>18</v>
      </c>
      <c r="F271" s="1130" t="str">
        <f>VLOOKUP(E271,$N$13:$O$17,2,0)</f>
        <v>-</v>
      </c>
      <c r="G271" s="92"/>
      <c r="H271" s="823"/>
      <c r="I271" s="1125"/>
      <c r="J271" s="1133"/>
      <c r="K271" s="1133"/>
      <c r="L271" s="916"/>
      <c r="M271" s="916"/>
    </row>
    <row r="272" spans="1:13" s="103" customFormat="1" ht="15.75" hidden="1" customHeight="1" outlineLevel="1">
      <c r="A272" s="916"/>
      <c r="B272" s="1123"/>
      <c r="C272" s="1127"/>
      <c r="D272" s="1125"/>
      <c r="E272" s="1125"/>
      <c r="F272" s="1130"/>
      <c r="G272" s="95"/>
      <c r="H272" s="823"/>
      <c r="I272" s="1125"/>
      <c r="J272" s="1134"/>
      <c r="K272" s="1134"/>
      <c r="L272" s="916"/>
      <c r="M272" s="916"/>
    </row>
    <row r="273" spans="1:13" s="103" customFormat="1" ht="15.75" hidden="1" customHeight="1" outlineLevel="1">
      <c r="A273" s="916"/>
      <c r="B273" s="1124"/>
      <c r="C273" s="1128"/>
      <c r="D273" s="1126"/>
      <c r="E273" s="1126"/>
      <c r="F273" s="1132"/>
      <c r="G273" s="100"/>
      <c r="H273" s="824"/>
      <c r="I273" s="1126"/>
      <c r="J273" s="1135"/>
      <c r="K273" s="1135"/>
      <c r="L273" s="916"/>
      <c r="M273" s="916"/>
    </row>
    <row r="274" spans="1:13" s="103" customFormat="1" ht="15.75" hidden="1" customHeight="1" outlineLevel="1">
      <c r="A274" s="916"/>
      <c r="B274" s="1123">
        <v>88</v>
      </c>
      <c r="C274" s="1127"/>
      <c r="D274" s="1125"/>
      <c r="E274" s="1125" t="s">
        <v>18</v>
      </c>
      <c r="F274" s="1130" t="str">
        <f>VLOOKUP(E274,$N$13:$O$17,2,0)</f>
        <v>-</v>
      </c>
      <c r="G274" s="92"/>
      <c r="H274" s="823"/>
      <c r="I274" s="1125"/>
      <c r="J274" s="1133"/>
      <c r="K274" s="1133"/>
      <c r="L274" s="916"/>
      <c r="M274" s="916"/>
    </row>
    <row r="275" spans="1:13" s="103" customFormat="1" ht="15.75" hidden="1" customHeight="1" outlineLevel="1">
      <c r="A275" s="916"/>
      <c r="B275" s="1123"/>
      <c r="C275" s="1127"/>
      <c r="D275" s="1125"/>
      <c r="E275" s="1125"/>
      <c r="F275" s="1130"/>
      <c r="G275" s="95"/>
      <c r="H275" s="823"/>
      <c r="I275" s="1125"/>
      <c r="J275" s="1134"/>
      <c r="K275" s="1134"/>
      <c r="L275" s="916"/>
      <c r="M275" s="916"/>
    </row>
    <row r="276" spans="1:13" s="103" customFormat="1" ht="15.75" hidden="1" customHeight="1" outlineLevel="1">
      <c r="A276" s="916"/>
      <c r="B276" s="1124"/>
      <c r="C276" s="1128"/>
      <c r="D276" s="1126"/>
      <c r="E276" s="1126"/>
      <c r="F276" s="1132"/>
      <c r="G276" s="100"/>
      <c r="H276" s="824"/>
      <c r="I276" s="1126"/>
      <c r="J276" s="1135"/>
      <c r="K276" s="1135"/>
      <c r="L276" s="916"/>
      <c r="M276" s="916"/>
    </row>
    <row r="277" spans="1:13" s="103" customFormat="1" ht="15.75" hidden="1" customHeight="1" outlineLevel="1">
      <c r="A277" s="916"/>
      <c r="B277" s="1123">
        <v>89</v>
      </c>
      <c r="C277" s="1127"/>
      <c r="D277" s="1125"/>
      <c r="E277" s="1125" t="s">
        <v>18</v>
      </c>
      <c r="F277" s="1130" t="str">
        <f>VLOOKUP(E277,$N$13:$O$17,2,0)</f>
        <v>-</v>
      </c>
      <c r="G277" s="92"/>
      <c r="H277" s="823"/>
      <c r="I277" s="1125"/>
      <c r="J277" s="1133"/>
      <c r="K277" s="1133"/>
      <c r="L277" s="916"/>
      <c r="M277" s="916"/>
    </row>
    <row r="278" spans="1:13" s="103" customFormat="1" ht="15.75" hidden="1" customHeight="1" outlineLevel="1">
      <c r="A278" s="916"/>
      <c r="B278" s="1123"/>
      <c r="C278" s="1127"/>
      <c r="D278" s="1125"/>
      <c r="E278" s="1125"/>
      <c r="F278" s="1130"/>
      <c r="G278" s="95"/>
      <c r="H278" s="823"/>
      <c r="I278" s="1125"/>
      <c r="J278" s="1134"/>
      <c r="K278" s="1134"/>
      <c r="L278" s="916"/>
      <c r="M278" s="916"/>
    </row>
    <row r="279" spans="1:13" s="103" customFormat="1" ht="15.75" hidden="1" customHeight="1" outlineLevel="1">
      <c r="A279" s="916"/>
      <c r="B279" s="1124"/>
      <c r="C279" s="1128"/>
      <c r="D279" s="1126"/>
      <c r="E279" s="1126"/>
      <c r="F279" s="1132"/>
      <c r="G279" s="100"/>
      <c r="H279" s="824"/>
      <c r="I279" s="1126"/>
      <c r="J279" s="1135"/>
      <c r="K279" s="1135"/>
      <c r="L279" s="916"/>
      <c r="M279" s="916"/>
    </row>
    <row r="280" spans="1:13" s="103" customFormat="1" ht="15.75" hidden="1" customHeight="1" outlineLevel="1">
      <c r="A280" s="916"/>
      <c r="B280" s="1123">
        <v>90</v>
      </c>
      <c r="C280" s="1127"/>
      <c r="D280" s="1125"/>
      <c r="E280" s="1125" t="s">
        <v>18</v>
      </c>
      <c r="F280" s="1130" t="str">
        <f>VLOOKUP(E280,$N$13:$O$17,2,0)</f>
        <v>-</v>
      </c>
      <c r="G280" s="92"/>
      <c r="H280" s="823"/>
      <c r="I280" s="1125"/>
      <c r="J280" s="1133"/>
      <c r="K280" s="1133"/>
      <c r="L280" s="916"/>
      <c r="M280" s="916"/>
    </row>
    <row r="281" spans="1:13" s="103" customFormat="1" ht="15.75" hidden="1" customHeight="1" outlineLevel="1">
      <c r="A281" s="916"/>
      <c r="B281" s="1123"/>
      <c r="C281" s="1127"/>
      <c r="D281" s="1125"/>
      <c r="E281" s="1125"/>
      <c r="F281" s="1130"/>
      <c r="G281" s="95"/>
      <c r="H281" s="823"/>
      <c r="I281" s="1125"/>
      <c r="J281" s="1134"/>
      <c r="K281" s="1134"/>
      <c r="L281" s="916"/>
      <c r="M281" s="916"/>
    </row>
    <row r="282" spans="1:13" s="103" customFormat="1" ht="15.75" hidden="1" customHeight="1" outlineLevel="1">
      <c r="A282" s="916"/>
      <c r="B282" s="1124"/>
      <c r="C282" s="1128"/>
      <c r="D282" s="1126"/>
      <c r="E282" s="1126"/>
      <c r="F282" s="1132"/>
      <c r="G282" s="100"/>
      <c r="H282" s="824"/>
      <c r="I282" s="1126"/>
      <c r="J282" s="1135"/>
      <c r="K282" s="1135"/>
      <c r="L282" s="916"/>
      <c r="M282" s="916"/>
    </row>
    <row r="283" spans="1:13" s="103" customFormat="1" ht="15.75" hidden="1" customHeight="1" outlineLevel="1">
      <c r="A283" s="916"/>
      <c r="B283" s="1123">
        <v>91</v>
      </c>
      <c r="C283" s="1127"/>
      <c r="D283" s="1125"/>
      <c r="E283" s="1125" t="s">
        <v>18</v>
      </c>
      <c r="F283" s="1130" t="str">
        <f>VLOOKUP(E283,$N$13:$O$17,2,0)</f>
        <v>-</v>
      </c>
      <c r="G283" s="92"/>
      <c r="H283" s="823"/>
      <c r="I283" s="1125"/>
      <c r="J283" s="1133"/>
      <c r="K283" s="1133"/>
      <c r="L283" s="916"/>
      <c r="M283" s="916"/>
    </row>
    <row r="284" spans="1:13" s="103" customFormat="1" ht="15.75" hidden="1" customHeight="1" outlineLevel="1">
      <c r="A284" s="916"/>
      <c r="B284" s="1123"/>
      <c r="C284" s="1127"/>
      <c r="D284" s="1125"/>
      <c r="E284" s="1125"/>
      <c r="F284" s="1130"/>
      <c r="G284" s="95"/>
      <c r="H284" s="823"/>
      <c r="I284" s="1125"/>
      <c r="J284" s="1134"/>
      <c r="K284" s="1134"/>
      <c r="L284" s="916"/>
      <c r="M284" s="916"/>
    </row>
    <row r="285" spans="1:13" s="103" customFormat="1" ht="15.75" hidden="1" customHeight="1" outlineLevel="1">
      <c r="A285" s="916"/>
      <c r="B285" s="1124"/>
      <c r="C285" s="1128"/>
      <c r="D285" s="1126"/>
      <c r="E285" s="1126"/>
      <c r="F285" s="1132"/>
      <c r="G285" s="100"/>
      <c r="H285" s="824"/>
      <c r="I285" s="1126"/>
      <c r="J285" s="1135"/>
      <c r="K285" s="1135"/>
      <c r="L285" s="916"/>
      <c r="M285" s="916"/>
    </row>
    <row r="286" spans="1:13" s="103" customFormat="1" ht="15.75" hidden="1" customHeight="1" outlineLevel="1">
      <c r="A286" s="916"/>
      <c r="B286" s="1123">
        <v>92</v>
      </c>
      <c r="C286" s="1127"/>
      <c r="D286" s="1125"/>
      <c r="E286" s="1125" t="s">
        <v>18</v>
      </c>
      <c r="F286" s="1130" t="str">
        <f>VLOOKUP(E286,$N$13:$O$17,2,0)</f>
        <v>-</v>
      </c>
      <c r="G286" s="92"/>
      <c r="H286" s="823"/>
      <c r="I286" s="1125"/>
      <c r="J286" s="1133"/>
      <c r="K286" s="1133"/>
      <c r="L286" s="916"/>
      <c r="M286" s="916"/>
    </row>
    <row r="287" spans="1:13" s="103" customFormat="1" ht="15.75" hidden="1" customHeight="1" outlineLevel="1">
      <c r="A287" s="916"/>
      <c r="B287" s="1123"/>
      <c r="C287" s="1127"/>
      <c r="D287" s="1125"/>
      <c r="E287" s="1125"/>
      <c r="F287" s="1130"/>
      <c r="G287" s="95"/>
      <c r="H287" s="823"/>
      <c r="I287" s="1125"/>
      <c r="J287" s="1134"/>
      <c r="K287" s="1134"/>
      <c r="L287" s="916"/>
      <c r="M287" s="916"/>
    </row>
    <row r="288" spans="1:13" s="103" customFormat="1" ht="15.75" hidden="1" customHeight="1" outlineLevel="1">
      <c r="A288" s="916"/>
      <c r="B288" s="1124"/>
      <c r="C288" s="1128"/>
      <c r="D288" s="1126"/>
      <c r="E288" s="1126"/>
      <c r="F288" s="1132"/>
      <c r="G288" s="100"/>
      <c r="H288" s="824"/>
      <c r="I288" s="1126"/>
      <c r="J288" s="1135"/>
      <c r="K288" s="1135"/>
      <c r="L288" s="916"/>
      <c r="M288" s="916"/>
    </row>
    <row r="289" spans="1:13" s="103" customFormat="1" ht="15.75" hidden="1" customHeight="1" outlineLevel="1">
      <c r="A289" s="916"/>
      <c r="B289" s="1123">
        <v>93</v>
      </c>
      <c r="C289" s="1127"/>
      <c r="D289" s="1125"/>
      <c r="E289" s="1125" t="s">
        <v>18</v>
      </c>
      <c r="F289" s="1130" t="str">
        <f>VLOOKUP(E289,$N$13:$O$17,2,0)</f>
        <v>-</v>
      </c>
      <c r="G289" s="92"/>
      <c r="H289" s="823"/>
      <c r="I289" s="1125"/>
      <c r="J289" s="1133"/>
      <c r="K289" s="1133"/>
      <c r="L289" s="916"/>
      <c r="M289" s="916"/>
    </row>
    <row r="290" spans="1:13" s="103" customFormat="1" ht="15.75" hidden="1" customHeight="1" outlineLevel="1">
      <c r="A290" s="916"/>
      <c r="B290" s="1123"/>
      <c r="C290" s="1127"/>
      <c r="D290" s="1125"/>
      <c r="E290" s="1125"/>
      <c r="F290" s="1130"/>
      <c r="G290" s="95"/>
      <c r="H290" s="823"/>
      <c r="I290" s="1125"/>
      <c r="J290" s="1134"/>
      <c r="K290" s="1134"/>
      <c r="L290" s="916"/>
      <c r="M290" s="916"/>
    </row>
    <row r="291" spans="1:13" s="103" customFormat="1" ht="15.75" hidden="1" customHeight="1" outlineLevel="1">
      <c r="A291" s="916"/>
      <c r="B291" s="1124"/>
      <c r="C291" s="1128"/>
      <c r="D291" s="1126"/>
      <c r="E291" s="1126"/>
      <c r="F291" s="1132"/>
      <c r="G291" s="100"/>
      <c r="H291" s="824"/>
      <c r="I291" s="1126"/>
      <c r="J291" s="1135"/>
      <c r="K291" s="1135"/>
      <c r="L291" s="916"/>
      <c r="M291" s="916"/>
    </row>
    <row r="292" spans="1:13" s="103" customFormat="1" ht="15.75" hidden="1" customHeight="1" outlineLevel="1">
      <c r="A292" s="916"/>
      <c r="B292" s="1123">
        <v>94</v>
      </c>
      <c r="C292" s="1127"/>
      <c r="D292" s="1125"/>
      <c r="E292" s="1125" t="s">
        <v>18</v>
      </c>
      <c r="F292" s="1130" t="str">
        <f>VLOOKUP(E292,$N$13:$O$17,2,0)</f>
        <v>-</v>
      </c>
      <c r="G292" s="92"/>
      <c r="H292" s="823"/>
      <c r="I292" s="1125"/>
      <c r="J292" s="1133"/>
      <c r="K292" s="1133"/>
      <c r="L292" s="916"/>
      <c r="M292" s="916"/>
    </row>
    <row r="293" spans="1:13" s="103" customFormat="1" ht="15.75" hidden="1" customHeight="1" outlineLevel="1">
      <c r="A293" s="916"/>
      <c r="B293" s="1123"/>
      <c r="C293" s="1127"/>
      <c r="D293" s="1125"/>
      <c r="E293" s="1125"/>
      <c r="F293" s="1130"/>
      <c r="G293" s="95"/>
      <c r="H293" s="823"/>
      <c r="I293" s="1125"/>
      <c r="J293" s="1134"/>
      <c r="K293" s="1134"/>
      <c r="L293" s="916"/>
      <c r="M293" s="916"/>
    </row>
    <row r="294" spans="1:13" s="103" customFormat="1" ht="15.75" hidden="1" customHeight="1" outlineLevel="1">
      <c r="A294" s="916"/>
      <c r="B294" s="1124"/>
      <c r="C294" s="1128"/>
      <c r="D294" s="1126"/>
      <c r="E294" s="1126"/>
      <c r="F294" s="1132"/>
      <c r="G294" s="100"/>
      <c r="H294" s="824"/>
      <c r="I294" s="1126"/>
      <c r="J294" s="1135"/>
      <c r="K294" s="1135"/>
      <c r="L294" s="916"/>
      <c r="M294" s="916"/>
    </row>
    <row r="295" spans="1:13" s="103" customFormat="1" ht="15.75" hidden="1" customHeight="1" outlineLevel="1">
      <c r="A295" s="916"/>
      <c r="B295" s="1123">
        <v>95</v>
      </c>
      <c r="C295" s="1127"/>
      <c r="D295" s="1125"/>
      <c r="E295" s="1125" t="s">
        <v>18</v>
      </c>
      <c r="F295" s="1130" t="str">
        <f>VLOOKUP(E295,$N$13:$O$17,2,0)</f>
        <v>-</v>
      </c>
      <c r="G295" s="92"/>
      <c r="H295" s="823"/>
      <c r="I295" s="1125"/>
      <c r="J295" s="1133"/>
      <c r="K295" s="1133"/>
      <c r="L295" s="916"/>
      <c r="M295" s="916"/>
    </row>
    <row r="296" spans="1:13" s="103" customFormat="1" ht="15.75" hidden="1" customHeight="1" outlineLevel="1">
      <c r="A296" s="916"/>
      <c r="B296" s="1123"/>
      <c r="C296" s="1127"/>
      <c r="D296" s="1125"/>
      <c r="E296" s="1125"/>
      <c r="F296" s="1130"/>
      <c r="G296" s="95"/>
      <c r="H296" s="823"/>
      <c r="I296" s="1125"/>
      <c r="J296" s="1134"/>
      <c r="K296" s="1134"/>
      <c r="L296" s="916"/>
      <c r="M296" s="916"/>
    </row>
    <row r="297" spans="1:13" s="103" customFormat="1" ht="15.75" hidden="1" customHeight="1" outlineLevel="1">
      <c r="A297" s="916"/>
      <c r="B297" s="1124"/>
      <c r="C297" s="1128"/>
      <c r="D297" s="1126"/>
      <c r="E297" s="1126"/>
      <c r="F297" s="1132"/>
      <c r="G297" s="100"/>
      <c r="H297" s="824"/>
      <c r="I297" s="1126"/>
      <c r="J297" s="1135"/>
      <c r="K297" s="1135"/>
      <c r="L297" s="916"/>
      <c r="M297" s="916"/>
    </row>
    <row r="298" spans="1:13" s="103" customFormat="1" ht="15.75" hidden="1" customHeight="1" outlineLevel="1">
      <c r="A298" s="916"/>
      <c r="B298" s="1123">
        <v>96</v>
      </c>
      <c r="C298" s="1127"/>
      <c r="D298" s="1125"/>
      <c r="E298" s="1125" t="s">
        <v>18</v>
      </c>
      <c r="F298" s="1130" t="str">
        <f>VLOOKUP(E298,$N$13:$O$17,2,0)</f>
        <v>-</v>
      </c>
      <c r="G298" s="92"/>
      <c r="H298" s="823"/>
      <c r="I298" s="1125"/>
      <c r="J298" s="1133"/>
      <c r="K298" s="1133"/>
      <c r="L298" s="916"/>
      <c r="M298" s="916"/>
    </row>
    <row r="299" spans="1:13" s="103" customFormat="1" ht="15.75" hidden="1" customHeight="1" outlineLevel="1">
      <c r="A299" s="916"/>
      <c r="B299" s="1123"/>
      <c r="C299" s="1127"/>
      <c r="D299" s="1125"/>
      <c r="E299" s="1125"/>
      <c r="F299" s="1130"/>
      <c r="G299" s="95"/>
      <c r="H299" s="823"/>
      <c r="I299" s="1125"/>
      <c r="J299" s="1134"/>
      <c r="K299" s="1134"/>
      <c r="L299" s="916"/>
      <c r="M299" s="916"/>
    </row>
    <row r="300" spans="1:13" s="103" customFormat="1" ht="15.75" hidden="1" customHeight="1" outlineLevel="1">
      <c r="A300" s="916"/>
      <c r="B300" s="1124"/>
      <c r="C300" s="1128"/>
      <c r="D300" s="1126"/>
      <c r="E300" s="1126"/>
      <c r="F300" s="1132"/>
      <c r="G300" s="100"/>
      <c r="H300" s="824"/>
      <c r="I300" s="1126"/>
      <c r="J300" s="1135"/>
      <c r="K300" s="1135"/>
      <c r="L300" s="916"/>
      <c r="M300" s="916"/>
    </row>
    <row r="301" spans="1:13" s="103" customFormat="1" ht="15.75" hidden="1" customHeight="1" outlineLevel="1">
      <c r="A301" s="916"/>
      <c r="B301" s="1123">
        <v>97</v>
      </c>
      <c r="C301" s="1127"/>
      <c r="D301" s="1125"/>
      <c r="E301" s="1125" t="s">
        <v>18</v>
      </c>
      <c r="F301" s="1130" t="str">
        <f>VLOOKUP(E301,$N$13:$O$17,2,0)</f>
        <v>-</v>
      </c>
      <c r="G301" s="92"/>
      <c r="H301" s="823"/>
      <c r="I301" s="1125"/>
      <c r="J301" s="1133"/>
      <c r="K301" s="1133"/>
      <c r="L301" s="916"/>
      <c r="M301" s="916"/>
    </row>
    <row r="302" spans="1:13" s="103" customFormat="1" ht="15.75" hidden="1" customHeight="1" outlineLevel="1">
      <c r="A302" s="916"/>
      <c r="B302" s="1123"/>
      <c r="C302" s="1127"/>
      <c r="D302" s="1125"/>
      <c r="E302" s="1125"/>
      <c r="F302" s="1130"/>
      <c r="G302" s="95"/>
      <c r="H302" s="823"/>
      <c r="I302" s="1125"/>
      <c r="J302" s="1134"/>
      <c r="K302" s="1134"/>
      <c r="L302" s="916"/>
      <c r="M302" s="916"/>
    </row>
    <row r="303" spans="1:13" s="103" customFormat="1" ht="15.75" hidden="1" customHeight="1" outlineLevel="1">
      <c r="A303" s="916"/>
      <c r="B303" s="1124"/>
      <c r="C303" s="1128"/>
      <c r="D303" s="1126"/>
      <c r="E303" s="1126"/>
      <c r="F303" s="1132"/>
      <c r="G303" s="100"/>
      <c r="H303" s="824"/>
      <c r="I303" s="1126"/>
      <c r="J303" s="1135"/>
      <c r="K303" s="1135"/>
      <c r="L303" s="916"/>
      <c r="M303" s="916"/>
    </row>
    <row r="304" spans="1:13" s="103" customFormat="1" ht="15.75" hidden="1" customHeight="1" outlineLevel="1">
      <c r="A304" s="916"/>
      <c r="B304" s="1123">
        <v>98</v>
      </c>
      <c r="C304" s="1127"/>
      <c r="D304" s="1125"/>
      <c r="E304" s="1125" t="s">
        <v>18</v>
      </c>
      <c r="F304" s="1130" t="str">
        <f>VLOOKUP(E304,$N$13:$O$17,2,0)</f>
        <v>-</v>
      </c>
      <c r="G304" s="92"/>
      <c r="H304" s="823"/>
      <c r="I304" s="1125"/>
      <c r="J304" s="1133"/>
      <c r="K304" s="1133"/>
      <c r="L304" s="916"/>
      <c r="M304" s="916"/>
    </row>
    <row r="305" spans="1:13" s="103" customFormat="1" ht="15.75" hidden="1" customHeight="1" outlineLevel="1">
      <c r="A305" s="916"/>
      <c r="B305" s="1123"/>
      <c r="C305" s="1127"/>
      <c r="D305" s="1125"/>
      <c r="E305" s="1125"/>
      <c r="F305" s="1130"/>
      <c r="G305" s="95"/>
      <c r="H305" s="823"/>
      <c r="I305" s="1125"/>
      <c r="J305" s="1134"/>
      <c r="K305" s="1134"/>
      <c r="L305" s="916"/>
      <c r="M305" s="916"/>
    </row>
    <row r="306" spans="1:13" s="103" customFormat="1" ht="15.75" hidden="1" customHeight="1" outlineLevel="1">
      <c r="A306" s="916"/>
      <c r="B306" s="1124"/>
      <c r="C306" s="1128"/>
      <c r="D306" s="1126"/>
      <c r="E306" s="1126"/>
      <c r="F306" s="1132"/>
      <c r="G306" s="100"/>
      <c r="H306" s="824"/>
      <c r="I306" s="1126"/>
      <c r="J306" s="1135"/>
      <c r="K306" s="1135"/>
      <c r="L306" s="916"/>
      <c r="M306" s="916"/>
    </row>
    <row r="307" spans="1:13" s="103" customFormat="1" ht="15.75" hidden="1" customHeight="1" outlineLevel="1">
      <c r="A307" s="916"/>
      <c r="B307" s="1123">
        <v>99</v>
      </c>
      <c r="C307" s="1127"/>
      <c r="D307" s="1125"/>
      <c r="E307" s="1125" t="s">
        <v>18</v>
      </c>
      <c r="F307" s="1130" t="str">
        <f>VLOOKUP(E307,$N$13:$O$17,2,0)</f>
        <v>-</v>
      </c>
      <c r="G307" s="92"/>
      <c r="H307" s="823"/>
      <c r="I307" s="1125"/>
      <c r="J307" s="1133"/>
      <c r="K307" s="1133"/>
      <c r="L307" s="916"/>
      <c r="M307" s="916"/>
    </row>
    <row r="308" spans="1:13" s="103" customFormat="1" ht="15.75" hidden="1" customHeight="1" outlineLevel="1">
      <c r="A308" s="916"/>
      <c r="B308" s="1123"/>
      <c r="C308" s="1127"/>
      <c r="D308" s="1125"/>
      <c r="E308" s="1125"/>
      <c r="F308" s="1130"/>
      <c r="G308" s="95"/>
      <c r="H308" s="823"/>
      <c r="I308" s="1125"/>
      <c r="J308" s="1134"/>
      <c r="K308" s="1134"/>
      <c r="L308" s="916"/>
      <c r="M308" s="916"/>
    </row>
    <row r="309" spans="1:13" s="103" customFormat="1" ht="15.75" hidden="1" customHeight="1" outlineLevel="1">
      <c r="A309" s="916"/>
      <c r="B309" s="1124"/>
      <c r="C309" s="1128"/>
      <c r="D309" s="1126"/>
      <c r="E309" s="1126"/>
      <c r="F309" s="1132"/>
      <c r="G309" s="100"/>
      <c r="H309" s="824"/>
      <c r="I309" s="1126"/>
      <c r="J309" s="1135"/>
      <c r="K309" s="1135"/>
      <c r="L309" s="916"/>
      <c r="M309" s="916"/>
    </row>
    <row r="310" spans="1:13" s="103" customFormat="1" ht="15.75" hidden="1" customHeight="1" outlineLevel="1">
      <c r="A310" s="916"/>
      <c r="B310" s="1123">
        <v>100</v>
      </c>
      <c r="C310" s="1127"/>
      <c r="D310" s="1125"/>
      <c r="E310" s="1125" t="s">
        <v>18</v>
      </c>
      <c r="F310" s="1130" t="str">
        <f>VLOOKUP(E310,$N$13:$O$17,2,0)</f>
        <v>-</v>
      </c>
      <c r="G310" s="92"/>
      <c r="H310" s="823"/>
      <c r="I310" s="1125"/>
      <c r="J310" s="1133"/>
      <c r="K310" s="1133"/>
      <c r="L310" s="916"/>
      <c r="M310" s="916"/>
    </row>
    <row r="311" spans="1:13" s="103" customFormat="1" ht="15.75" hidden="1" customHeight="1" outlineLevel="1">
      <c r="A311" s="916"/>
      <c r="B311" s="1123"/>
      <c r="C311" s="1127"/>
      <c r="D311" s="1125"/>
      <c r="E311" s="1125"/>
      <c r="F311" s="1130"/>
      <c r="G311" s="95"/>
      <c r="H311" s="823"/>
      <c r="I311" s="1125"/>
      <c r="J311" s="1134"/>
      <c r="K311" s="1134"/>
      <c r="L311" s="916"/>
      <c r="M311" s="916"/>
    </row>
    <row r="312" spans="1:13" s="103" customFormat="1" ht="15.75" hidden="1" customHeight="1" outlineLevel="1">
      <c r="A312" s="916"/>
      <c r="B312" s="1124"/>
      <c r="C312" s="1128"/>
      <c r="D312" s="1126"/>
      <c r="E312" s="1126"/>
      <c r="F312" s="1132"/>
      <c r="G312" s="100"/>
      <c r="H312" s="824"/>
      <c r="I312" s="1126"/>
      <c r="J312" s="1135"/>
      <c r="K312" s="1135"/>
      <c r="L312" s="916"/>
      <c r="M312" s="916"/>
    </row>
    <row r="313" spans="1:13" s="103" customFormat="1" ht="15.75" hidden="1" customHeight="1" outlineLevel="1">
      <c r="A313" s="916"/>
      <c r="B313" s="1123">
        <v>101</v>
      </c>
      <c r="C313" s="1127"/>
      <c r="D313" s="1125"/>
      <c r="E313" s="1125" t="s">
        <v>18</v>
      </c>
      <c r="F313" s="1130" t="str">
        <f>VLOOKUP(E313,$N$13:$O$17,2,0)</f>
        <v>-</v>
      </c>
      <c r="G313" s="92"/>
      <c r="H313" s="823"/>
      <c r="I313" s="1125"/>
      <c r="J313" s="1133"/>
      <c r="K313" s="1133"/>
      <c r="L313" s="916"/>
      <c r="M313" s="916"/>
    </row>
    <row r="314" spans="1:13" s="103" customFormat="1" ht="15.75" hidden="1" customHeight="1" outlineLevel="1">
      <c r="A314" s="916"/>
      <c r="B314" s="1123"/>
      <c r="C314" s="1127"/>
      <c r="D314" s="1125"/>
      <c r="E314" s="1125"/>
      <c r="F314" s="1130"/>
      <c r="G314" s="95"/>
      <c r="H314" s="823"/>
      <c r="I314" s="1125"/>
      <c r="J314" s="1134"/>
      <c r="K314" s="1134"/>
      <c r="L314" s="916"/>
      <c r="M314" s="916"/>
    </row>
    <row r="315" spans="1:13" s="103" customFormat="1" ht="15.75" hidden="1" customHeight="1" outlineLevel="1">
      <c r="A315" s="916"/>
      <c r="B315" s="1124"/>
      <c r="C315" s="1128"/>
      <c r="D315" s="1126"/>
      <c r="E315" s="1126"/>
      <c r="F315" s="1132"/>
      <c r="G315" s="100"/>
      <c r="H315" s="824"/>
      <c r="I315" s="1126"/>
      <c r="J315" s="1135"/>
      <c r="K315" s="1135"/>
      <c r="L315" s="916"/>
      <c r="M315" s="916"/>
    </row>
    <row r="316" spans="1:13" s="103" customFormat="1" ht="15.75" hidden="1" customHeight="1" outlineLevel="1">
      <c r="A316" s="916"/>
      <c r="B316" s="1123">
        <v>102</v>
      </c>
      <c r="C316" s="1127"/>
      <c r="D316" s="1125"/>
      <c r="E316" s="1125" t="s">
        <v>18</v>
      </c>
      <c r="F316" s="1130" t="str">
        <f>VLOOKUP(E316,$N$13:$O$17,2,0)</f>
        <v>-</v>
      </c>
      <c r="G316" s="92"/>
      <c r="H316" s="823"/>
      <c r="I316" s="1125"/>
      <c r="J316" s="1133"/>
      <c r="K316" s="1133"/>
      <c r="L316" s="916"/>
      <c r="M316" s="916"/>
    </row>
    <row r="317" spans="1:13" s="103" customFormat="1" ht="15.75" hidden="1" customHeight="1" outlineLevel="1">
      <c r="A317" s="916"/>
      <c r="B317" s="1123"/>
      <c r="C317" s="1127"/>
      <c r="D317" s="1125"/>
      <c r="E317" s="1125"/>
      <c r="F317" s="1130"/>
      <c r="G317" s="95"/>
      <c r="H317" s="823"/>
      <c r="I317" s="1125"/>
      <c r="J317" s="1134"/>
      <c r="K317" s="1134"/>
      <c r="L317" s="916"/>
      <c r="M317" s="916"/>
    </row>
    <row r="318" spans="1:13" s="103" customFormat="1" ht="15.75" hidden="1" customHeight="1" outlineLevel="1">
      <c r="A318" s="916"/>
      <c r="B318" s="1124"/>
      <c r="C318" s="1128"/>
      <c r="D318" s="1126"/>
      <c r="E318" s="1126"/>
      <c r="F318" s="1132"/>
      <c r="G318" s="100"/>
      <c r="H318" s="824"/>
      <c r="I318" s="1126"/>
      <c r="J318" s="1135"/>
      <c r="K318" s="1135"/>
      <c r="L318" s="916"/>
      <c r="M318" s="916"/>
    </row>
    <row r="319" spans="1:13" s="103" customFormat="1" ht="15.75" hidden="1" customHeight="1" outlineLevel="1">
      <c r="A319" s="916"/>
      <c r="B319" s="1123">
        <v>103</v>
      </c>
      <c r="C319" s="1127"/>
      <c r="D319" s="1125"/>
      <c r="E319" s="1125" t="s">
        <v>18</v>
      </c>
      <c r="F319" s="1130" t="str">
        <f>VLOOKUP(E319,$N$13:$O$17,2,0)</f>
        <v>-</v>
      </c>
      <c r="G319" s="92"/>
      <c r="H319" s="823"/>
      <c r="I319" s="1125"/>
      <c r="J319" s="1133"/>
      <c r="K319" s="1133"/>
      <c r="L319" s="916"/>
      <c r="M319" s="916"/>
    </row>
    <row r="320" spans="1:13" s="103" customFormat="1" ht="15.75" hidden="1" customHeight="1" outlineLevel="1">
      <c r="A320" s="916"/>
      <c r="B320" s="1123"/>
      <c r="C320" s="1127"/>
      <c r="D320" s="1125"/>
      <c r="E320" s="1125"/>
      <c r="F320" s="1130"/>
      <c r="G320" s="95"/>
      <c r="H320" s="823"/>
      <c r="I320" s="1125"/>
      <c r="J320" s="1134"/>
      <c r="K320" s="1134"/>
      <c r="L320" s="916"/>
      <c r="M320" s="916"/>
    </row>
    <row r="321" spans="1:13" s="103" customFormat="1" ht="15.75" hidden="1" customHeight="1" outlineLevel="1">
      <c r="A321" s="916"/>
      <c r="B321" s="1124"/>
      <c r="C321" s="1128"/>
      <c r="D321" s="1126"/>
      <c r="E321" s="1126"/>
      <c r="F321" s="1132"/>
      <c r="G321" s="100"/>
      <c r="H321" s="824"/>
      <c r="I321" s="1126"/>
      <c r="J321" s="1135"/>
      <c r="K321" s="1135"/>
      <c r="L321" s="916"/>
      <c r="M321" s="916"/>
    </row>
    <row r="322" spans="1:13" s="103" customFormat="1" ht="15.75" hidden="1" customHeight="1" outlineLevel="1">
      <c r="A322" s="916"/>
      <c r="B322" s="1123">
        <v>104</v>
      </c>
      <c r="C322" s="1127"/>
      <c r="D322" s="1125"/>
      <c r="E322" s="1125" t="s">
        <v>18</v>
      </c>
      <c r="F322" s="1130" t="str">
        <f>VLOOKUP(E322,$N$13:$O$17,2,0)</f>
        <v>-</v>
      </c>
      <c r="G322" s="92"/>
      <c r="H322" s="823"/>
      <c r="I322" s="1125"/>
      <c r="J322" s="1133"/>
      <c r="K322" s="1133"/>
      <c r="L322" s="916"/>
      <c r="M322" s="916"/>
    </row>
    <row r="323" spans="1:13" s="103" customFormat="1" ht="15.75" hidden="1" customHeight="1" outlineLevel="1">
      <c r="A323" s="916"/>
      <c r="B323" s="1123"/>
      <c r="C323" s="1127"/>
      <c r="D323" s="1125"/>
      <c r="E323" s="1125"/>
      <c r="F323" s="1130"/>
      <c r="G323" s="95"/>
      <c r="H323" s="823"/>
      <c r="I323" s="1125"/>
      <c r="J323" s="1134"/>
      <c r="K323" s="1134"/>
      <c r="L323" s="916"/>
      <c r="M323" s="916"/>
    </row>
    <row r="324" spans="1:13" s="103" customFormat="1" ht="15.75" hidden="1" customHeight="1" outlineLevel="1">
      <c r="A324" s="916"/>
      <c r="B324" s="1124"/>
      <c r="C324" s="1128"/>
      <c r="D324" s="1126"/>
      <c r="E324" s="1126"/>
      <c r="F324" s="1132"/>
      <c r="G324" s="100"/>
      <c r="H324" s="824"/>
      <c r="I324" s="1126"/>
      <c r="J324" s="1135"/>
      <c r="K324" s="1135"/>
      <c r="L324" s="916"/>
      <c r="M324" s="916"/>
    </row>
    <row r="325" spans="1:13" s="103" customFormat="1" ht="15.75" hidden="1" customHeight="1" outlineLevel="1">
      <c r="A325" s="916"/>
      <c r="B325" s="1123">
        <v>105</v>
      </c>
      <c r="C325" s="1127"/>
      <c r="D325" s="1125"/>
      <c r="E325" s="1125" t="s">
        <v>18</v>
      </c>
      <c r="F325" s="1130" t="str">
        <f>VLOOKUP(E325,$N$13:$O$17,2,0)</f>
        <v>-</v>
      </c>
      <c r="G325" s="92"/>
      <c r="H325" s="823"/>
      <c r="I325" s="1125"/>
      <c r="J325" s="1133"/>
      <c r="K325" s="1133"/>
      <c r="L325" s="916"/>
      <c r="M325" s="916"/>
    </row>
    <row r="326" spans="1:13" s="103" customFormat="1" ht="15.75" hidden="1" customHeight="1" outlineLevel="1">
      <c r="A326" s="916"/>
      <c r="B326" s="1123"/>
      <c r="C326" s="1127"/>
      <c r="D326" s="1125"/>
      <c r="E326" s="1125"/>
      <c r="F326" s="1130"/>
      <c r="G326" s="95"/>
      <c r="H326" s="823"/>
      <c r="I326" s="1125"/>
      <c r="J326" s="1134"/>
      <c r="K326" s="1134"/>
      <c r="L326" s="916"/>
      <c r="M326" s="916"/>
    </row>
    <row r="327" spans="1:13" s="103" customFormat="1" ht="15.75" hidden="1" customHeight="1" outlineLevel="1">
      <c r="A327" s="916"/>
      <c r="B327" s="1124"/>
      <c r="C327" s="1128"/>
      <c r="D327" s="1126"/>
      <c r="E327" s="1126"/>
      <c r="F327" s="1132"/>
      <c r="G327" s="100"/>
      <c r="H327" s="824"/>
      <c r="I327" s="1126"/>
      <c r="J327" s="1135"/>
      <c r="K327" s="1135"/>
      <c r="L327" s="916"/>
      <c r="M327" s="916"/>
    </row>
    <row r="328" spans="1:13" s="103" customFormat="1" ht="15.75" hidden="1" customHeight="1" outlineLevel="1">
      <c r="A328" s="916"/>
      <c r="B328" s="1123">
        <v>106</v>
      </c>
      <c r="C328" s="1127"/>
      <c r="D328" s="1125"/>
      <c r="E328" s="1125" t="s">
        <v>18</v>
      </c>
      <c r="F328" s="1130" t="str">
        <f>VLOOKUP(E328,$N$13:$O$17,2,0)</f>
        <v>-</v>
      </c>
      <c r="G328" s="92"/>
      <c r="H328" s="823"/>
      <c r="I328" s="1125"/>
      <c r="J328" s="1133"/>
      <c r="K328" s="1133"/>
      <c r="L328" s="916"/>
      <c r="M328" s="916"/>
    </row>
    <row r="329" spans="1:13" s="103" customFormat="1" ht="15.75" hidden="1" customHeight="1" outlineLevel="1">
      <c r="A329" s="916"/>
      <c r="B329" s="1123"/>
      <c r="C329" s="1127"/>
      <c r="D329" s="1125"/>
      <c r="E329" s="1125"/>
      <c r="F329" s="1130"/>
      <c r="G329" s="95"/>
      <c r="H329" s="823"/>
      <c r="I329" s="1125"/>
      <c r="J329" s="1134"/>
      <c r="K329" s="1134"/>
      <c r="L329" s="916"/>
      <c r="M329" s="916"/>
    </row>
    <row r="330" spans="1:13" s="103" customFormat="1" ht="15.75" hidden="1" customHeight="1" outlineLevel="1">
      <c r="A330" s="916"/>
      <c r="B330" s="1124"/>
      <c r="C330" s="1128"/>
      <c r="D330" s="1126"/>
      <c r="E330" s="1126"/>
      <c r="F330" s="1132"/>
      <c r="G330" s="100"/>
      <c r="H330" s="824"/>
      <c r="I330" s="1126"/>
      <c r="J330" s="1135"/>
      <c r="K330" s="1135"/>
      <c r="L330" s="916"/>
      <c r="M330" s="916"/>
    </row>
    <row r="331" spans="1:13" s="103" customFormat="1" ht="15.75" hidden="1" customHeight="1" outlineLevel="1">
      <c r="A331" s="916"/>
      <c r="B331" s="1123">
        <v>107</v>
      </c>
      <c r="C331" s="1127"/>
      <c r="D331" s="1125"/>
      <c r="E331" s="1125" t="s">
        <v>18</v>
      </c>
      <c r="F331" s="1130" t="str">
        <f>VLOOKUP(E331,$N$13:$O$17,2,0)</f>
        <v>-</v>
      </c>
      <c r="G331" s="92"/>
      <c r="H331" s="823"/>
      <c r="I331" s="1125"/>
      <c r="J331" s="1133"/>
      <c r="K331" s="1133"/>
      <c r="L331" s="916"/>
      <c r="M331" s="916"/>
    </row>
    <row r="332" spans="1:13" s="103" customFormat="1" ht="15.75" hidden="1" customHeight="1" outlineLevel="1">
      <c r="A332" s="916"/>
      <c r="B332" s="1123"/>
      <c r="C332" s="1127"/>
      <c r="D332" s="1125"/>
      <c r="E332" s="1125"/>
      <c r="F332" s="1130"/>
      <c r="G332" s="95"/>
      <c r="H332" s="823"/>
      <c r="I332" s="1125"/>
      <c r="J332" s="1134"/>
      <c r="K332" s="1134"/>
      <c r="L332" s="916"/>
      <c r="M332" s="916"/>
    </row>
    <row r="333" spans="1:13" s="103" customFormat="1" ht="15.75" hidden="1" customHeight="1" outlineLevel="1">
      <c r="A333" s="916"/>
      <c r="B333" s="1124"/>
      <c r="C333" s="1128"/>
      <c r="D333" s="1126"/>
      <c r="E333" s="1126"/>
      <c r="F333" s="1132"/>
      <c r="G333" s="100"/>
      <c r="H333" s="824"/>
      <c r="I333" s="1126"/>
      <c r="J333" s="1135"/>
      <c r="K333" s="1135"/>
      <c r="L333" s="916"/>
      <c r="M333" s="916"/>
    </row>
    <row r="334" spans="1:13" s="103" customFormat="1" ht="15.75" hidden="1" customHeight="1" outlineLevel="1">
      <c r="A334" s="916"/>
      <c r="B334" s="1123">
        <v>108</v>
      </c>
      <c r="C334" s="1127"/>
      <c r="D334" s="1125"/>
      <c r="E334" s="1125" t="s">
        <v>18</v>
      </c>
      <c r="F334" s="1130" t="str">
        <f>VLOOKUP(E334,$N$13:$O$17,2,0)</f>
        <v>-</v>
      </c>
      <c r="G334" s="92"/>
      <c r="H334" s="823"/>
      <c r="I334" s="1125"/>
      <c r="J334" s="1133"/>
      <c r="K334" s="1133"/>
      <c r="L334" s="916"/>
      <c r="M334" s="916"/>
    </row>
    <row r="335" spans="1:13" s="103" customFormat="1" ht="15.75" hidden="1" customHeight="1" outlineLevel="1">
      <c r="A335" s="916"/>
      <c r="B335" s="1123"/>
      <c r="C335" s="1127"/>
      <c r="D335" s="1125"/>
      <c r="E335" s="1125"/>
      <c r="F335" s="1130"/>
      <c r="G335" s="95"/>
      <c r="H335" s="823"/>
      <c r="I335" s="1125"/>
      <c r="J335" s="1134"/>
      <c r="K335" s="1134"/>
      <c r="L335" s="916"/>
      <c r="M335" s="916"/>
    </row>
    <row r="336" spans="1:13" s="103" customFormat="1" ht="15.75" hidden="1" customHeight="1" outlineLevel="1">
      <c r="A336" s="916"/>
      <c r="B336" s="1124"/>
      <c r="C336" s="1128"/>
      <c r="D336" s="1126"/>
      <c r="E336" s="1126"/>
      <c r="F336" s="1132"/>
      <c r="G336" s="100"/>
      <c r="H336" s="824"/>
      <c r="I336" s="1126"/>
      <c r="J336" s="1135"/>
      <c r="K336" s="1135"/>
      <c r="L336" s="916"/>
      <c r="M336" s="916"/>
    </row>
    <row r="337" spans="1:13" s="103" customFormat="1" ht="15.75" hidden="1" customHeight="1" outlineLevel="1">
      <c r="A337" s="916"/>
      <c r="B337" s="1123">
        <v>109</v>
      </c>
      <c r="C337" s="1127"/>
      <c r="D337" s="1125"/>
      <c r="E337" s="1125" t="s">
        <v>18</v>
      </c>
      <c r="F337" s="1130" t="str">
        <f>VLOOKUP(E337,$N$13:$O$17,2,0)</f>
        <v>-</v>
      </c>
      <c r="G337" s="92"/>
      <c r="H337" s="823"/>
      <c r="I337" s="1125"/>
      <c r="J337" s="1133"/>
      <c r="K337" s="1133"/>
      <c r="L337" s="916"/>
      <c r="M337" s="916"/>
    </row>
    <row r="338" spans="1:13" s="103" customFormat="1" ht="15.75" hidden="1" customHeight="1" outlineLevel="1">
      <c r="A338" s="916"/>
      <c r="B338" s="1123"/>
      <c r="C338" s="1127"/>
      <c r="D338" s="1125"/>
      <c r="E338" s="1125"/>
      <c r="F338" s="1130"/>
      <c r="G338" s="95"/>
      <c r="H338" s="823"/>
      <c r="I338" s="1125"/>
      <c r="J338" s="1134"/>
      <c r="K338" s="1134"/>
      <c r="L338" s="916"/>
      <c r="M338" s="916"/>
    </row>
    <row r="339" spans="1:13" s="103" customFormat="1" ht="15.75" hidden="1" customHeight="1" outlineLevel="1">
      <c r="A339" s="916"/>
      <c r="B339" s="1124"/>
      <c r="C339" s="1128"/>
      <c r="D339" s="1126"/>
      <c r="E339" s="1126"/>
      <c r="F339" s="1132"/>
      <c r="G339" s="100"/>
      <c r="H339" s="824"/>
      <c r="I339" s="1126"/>
      <c r="J339" s="1135"/>
      <c r="K339" s="1135"/>
      <c r="L339" s="916"/>
      <c r="M339" s="916"/>
    </row>
    <row r="340" spans="1:13" s="103" customFormat="1" ht="15.75" hidden="1" customHeight="1" outlineLevel="1">
      <c r="A340" s="916"/>
      <c r="B340" s="1123">
        <v>110</v>
      </c>
      <c r="C340" s="1127"/>
      <c r="D340" s="1125"/>
      <c r="E340" s="1125" t="s">
        <v>18</v>
      </c>
      <c r="F340" s="1130" t="str">
        <f>VLOOKUP(E340,$N$13:$O$17,2,0)</f>
        <v>-</v>
      </c>
      <c r="G340" s="92"/>
      <c r="H340" s="823"/>
      <c r="I340" s="1125"/>
      <c r="J340" s="1133"/>
      <c r="K340" s="1133"/>
      <c r="L340" s="916"/>
      <c r="M340" s="916"/>
    </row>
    <row r="341" spans="1:13" s="103" customFormat="1" ht="15.75" hidden="1" customHeight="1" outlineLevel="1">
      <c r="A341" s="916"/>
      <c r="B341" s="1123"/>
      <c r="C341" s="1127"/>
      <c r="D341" s="1125"/>
      <c r="E341" s="1125"/>
      <c r="F341" s="1130"/>
      <c r="G341" s="95"/>
      <c r="H341" s="823"/>
      <c r="I341" s="1125"/>
      <c r="J341" s="1134"/>
      <c r="K341" s="1134"/>
      <c r="L341" s="916"/>
      <c r="M341" s="916"/>
    </row>
    <row r="342" spans="1:13" s="103" customFormat="1" ht="15.75" hidden="1" customHeight="1" outlineLevel="1">
      <c r="A342" s="916"/>
      <c r="B342" s="1124"/>
      <c r="C342" s="1128"/>
      <c r="D342" s="1126"/>
      <c r="E342" s="1126"/>
      <c r="F342" s="1132"/>
      <c r="G342" s="100"/>
      <c r="H342" s="824"/>
      <c r="I342" s="1126"/>
      <c r="J342" s="1135"/>
      <c r="K342" s="1135"/>
      <c r="L342" s="916"/>
      <c r="M342" s="916"/>
    </row>
    <row r="343" spans="1:13" s="103" customFormat="1" ht="15.75" hidden="1" customHeight="1" outlineLevel="1">
      <c r="A343" s="916"/>
      <c r="B343" s="1123">
        <v>111</v>
      </c>
      <c r="C343" s="1127"/>
      <c r="D343" s="1125"/>
      <c r="E343" s="1125" t="s">
        <v>18</v>
      </c>
      <c r="F343" s="1130" t="str">
        <f>VLOOKUP(E343,$N$13:$O$17,2,0)</f>
        <v>-</v>
      </c>
      <c r="G343" s="92"/>
      <c r="H343" s="823"/>
      <c r="I343" s="1125"/>
      <c r="J343" s="1133"/>
      <c r="K343" s="1133"/>
      <c r="L343" s="916"/>
      <c r="M343" s="916"/>
    </row>
    <row r="344" spans="1:13" s="103" customFormat="1" ht="15.75" hidden="1" customHeight="1" outlineLevel="1">
      <c r="A344" s="916"/>
      <c r="B344" s="1123"/>
      <c r="C344" s="1127"/>
      <c r="D344" s="1125"/>
      <c r="E344" s="1125"/>
      <c r="F344" s="1130"/>
      <c r="G344" s="95"/>
      <c r="H344" s="823"/>
      <c r="I344" s="1125"/>
      <c r="J344" s="1134"/>
      <c r="K344" s="1134"/>
      <c r="L344" s="916"/>
      <c r="M344" s="916"/>
    </row>
    <row r="345" spans="1:13" s="103" customFormat="1" ht="15.75" hidden="1" customHeight="1" outlineLevel="1">
      <c r="A345" s="916"/>
      <c r="B345" s="1124"/>
      <c r="C345" s="1128"/>
      <c r="D345" s="1126"/>
      <c r="E345" s="1126"/>
      <c r="F345" s="1132"/>
      <c r="G345" s="100"/>
      <c r="H345" s="824"/>
      <c r="I345" s="1126"/>
      <c r="J345" s="1135"/>
      <c r="K345" s="1135"/>
      <c r="L345" s="916"/>
      <c r="M345" s="916"/>
    </row>
    <row r="346" spans="1:13" s="103" customFormat="1" ht="15.75" hidden="1" customHeight="1" outlineLevel="1">
      <c r="A346" s="916"/>
      <c r="B346" s="1123">
        <v>112</v>
      </c>
      <c r="C346" s="1127"/>
      <c r="D346" s="1125"/>
      <c r="E346" s="1125" t="s">
        <v>18</v>
      </c>
      <c r="F346" s="1130" t="str">
        <f>VLOOKUP(E346,$N$13:$O$17,2,0)</f>
        <v>-</v>
      </c>
      <c r="G346" s="92"/>
      <c r="H346" s="823"/>
      <c r="I346" s="1125"/>
      <c r="J346" s="1133"/>
      <c r="K346" s="1133"/>
      <c r="L346" s="916"/>
      <c r="M346" s="916"/>
    </row>
    <row r="347" spans="1:13" s="103" customFormat="1" ht="15.75" hidden="1" customHeight="1" outlineLevel="1">
      <c r="A347" s="916"/>
      <c r="B347" s="1123"/>
      <c r="C347" s="1127"/>
      <c r="D347" s="1125"/>
      <c r="E347" s="1125"/>
      <c r="F347" s="1130"/>
      <c r="G347" s="95"/>
      <c r="H347" s="823"/>
      <c r="I347" s="1125"/>
      <c r="J347" s="1134"/>
      <c r="K347" s="1134"/>
      <c r="L347" s="916"/>
      <c r="M347" s="916"/>
    </row>
    <row r="348" spans="1:13" s="103" customFormat="1" ht="15.75" hidden="1" customHeight="1" outlineLevel="1">
      <c r="A348" s="916"/>
      <c r="B348" s="1124"/>
      <c r="C348" s="1128"/>
      <c r="D348" s="1126"/>
      <c r="E348" s="1126"/>
      <c r="F348" s="1132"/>
      <c r="G348" s="100"/>
      <c r="H348" s="824"/>
      <c r="I348" s="1126"/>
      <c r="J348" s="1135"/>
      <c r="K348" s="1135"/>
      <c r="L348" s="916"/>
      <c r="M348" s="916"/>
    </row>
    <row r="349" spans="1:13" s="103" customFormat="1" ht="15.75" hidden="1" customHeight="1" outlineLevel="1">
      <c r="A349" s="916"/>
      <c r="B349" s="1123">
        <v>113</v>
      </c>
      <c r="C349" s="1127"/>
      <c r="D349" s="1125"/>
      <c r="E349" s="1125" t="s">
        <v>18</v>
      </c>
      <c r="F349" s="1130" t="str">
        <f>VLOOKUP(E349,$N$13:$O$17,2,0)</f>
        <v>-</v>
      </c>
      <c r="G349" s="92"/>
      <c r="H349" s="823"/>
      <c r="I349" s="1125"/>
      <c r="J349" s="1133"/>
      <c r="K349" s="1133"/>
      <c r="L349" s="916"/>
      <c r="M349" s="916"/>
    </row>
    <row r="350" spans="1:13" s="103" customFormat="1" ht="15.75" hidden="1" customHeight="1" outlineLevel="1">
      <c r="A350" s="916"/>
      <c r="B350" s="1123"/>
      <c r="C350" s="1127"/>
      <c r="D350" s="1125"/>
      <c r="E350" s="1125"/>
      <c r="F350" s="1130"/>
      <c r="G350" s="95"/>
      <c r="H350" s="823"/>
      <c r="I350" s="1125"/>
      <c r="J350" s="1134"/>
      <c r="K350" s="1134"/>
      <c r="L350" s="916"/>
      <c r="M350" s="916"/>
    </row>
    <row r="351" spans="1:13" s="103" customFormat="1" ht="15.75" hidden="1" customHeight="1" outlineLevel="1">
      <c r="A351" s="916"/>
      <c r="B351" s="1124"/>
      <c r="C351" s="1128"/>
      <c r="D351" s="1126"/>
      <c r="E351" s="1126"/>
      <c r="F351" s="1132"/>
      <c r="G351" s="100"/>
      <c r="H351" s="824"/>
      <c r="I351" s="1126"/>
      <c r="J351" s="1135"/>
      <c r="K351" s="1135"/>
      <c r="L351" s="916"/>
      <c r="M351" s="916"/>
    </row>
    <row r="352" spans="1:13" s="103" customFormat="1" ht="15.75" hidden="1" customHeight="1" outlineLevel="1">
      <c r="A352" s="916"/>
      <c r="B352" s="1123">
        <v>114</v>
      </c>
      <c r="C352" s="1127"/>
      <c r="D352" s="1125"/>
      <c r="E352" s="1125" t="s">
        <v>18</v>
      </c>
      <c r="F352" s="1130" t="str">
        <f>VLOOKUP(E352,$N$13:$O$17,2,0)</f>
        <v>-</v>
      </c>
      <c r="G352" s="92"/>
      <c r="H352" s="823"/>
      <c r="I352" s="1125"/>
      <c r="J352" s="1133"/>
      <c r="K352" s="1133"/>
      <c r="L352" s="916"/>
      <c r="M352" s="916"/>
    </row>
    <row r="353" spans="1:13" s="103" customFormat="1" ht="15.75" hidden="1" customHeight="1" outlineLevel="1">
      <c r="A353" s="916"/>
      <c r="B353" s="1123"/>
      <c r="C353" s="1127"/>
      <c r="D353" s="1125"/>
      <c r="E353" s="1125"/>
      <c r="F353" s="1130"/>
      <c r="G353" s="95"/>
      <c r="H353" s="823"/>
      <c r="I353" s="1125"/>
      <c r="J353" s="1134"/>
      <c r="K353" s="1134"/>
      <c r="L353" s="916"/>
      <c r="M353" s="916"/>
    </row>
    <row r="354" spans="1:13" s="103" customFormat="1" ht="15.75" hidden="1" customHeight="1" outlineLevel="1">
      <c r="A354" s="916"/>
      <c r="B354" s="1124"/>
      <c r="C354" s="1128"/>
      <c r="D354" s="1126"/>
      <c r="E354" s="1126"/>
      <c r="F354" s="1132"/>
      <c r="G354" s="100"/>
      <c r="H354" s="824"/>
      <c r="I354" s="1126"/>
      <c r="J354" s="1135"/>
      <c r="K354" s="1135"/>
      <c r="L354" s="916"/>
      <c r="M354" s="916"/>
    </row>
    <row r="355" spans="1:13" s="103" customFormat="1" ht="15.75" hidden="1" customHeight="1" outlineLevel="1">
      <c r="A355" s="916"/>
      <c r="B355" s="1123">
        <v>115</v>
      </c>
      <c r="C355" s="1127"/>
      <c r="D355" s="1125"/>
      <c r="E355" s="1125" t="s">
        <v>18</v>
      </c>
      <c r="F355" s="1130" t="str">
        <f>VLOOKUP(E355,$N$13:$O$17,2,0)</f>
        <v>-</v>
      </c>
      <c r="G355" s="92"/>
      <c r="H355" s="823"/>
      <c r="I355" s="1125"/>
      <c r="J355" s="1133"/>
      <c r="K355" s="1133"/>
      <c r="L355" s="916"/>
      <c r="M355" s="916"/>
    </row>
    <row r="356" spans="1:13" s="103" customFormat="1" ht="15.75" hidden="1" customHeight="1" outlineLevel="1">
      <c r="A356" s="916"/>
      <c r="B356" s="1123"/>
      <c r="C356" s="1127"/>
      <c r="D356" s="1125"/>
      <c r="E356" s="1125"/>
      <c r="F356" s="1130"/>
      <c r="G356" s="95"/>
      <c r="H356" s="823"/>
      <c r="I356" s="1125"/>
      <c r="J356" s="1134"/>
      <c r="K356" s="1134"/>
      <c r="L356" s="916"/>
      <c r="M356" s="916"/>
    </row>
    <row r="357" spans="1:13" s="103" customFormat="1" ht="15.75" hidden="1" customHeight="1" outlineLevel="1">
      <c r="A357" s="916"/>
      <c r="B357" s="1124"/>
      <c r="C357" s="1128"/>
      <c r="D357" s="1126"/>
      <c r="E357" s="1126"/>
      <c r="F357" s="1132"/>
      <c r="G357" s="100"/>
      <c r="H357" s="824"/>
      <c r="I357" s="1126"/>
      <c r="J357" s="1135"/>
      <c r="K357" s="1135"/>
      <c r="L357" s="916"/>
      <c r="M357" s="916"/>
    </row>
    <row r="358" spans="1:13" s="103" customFormat="1" ht="15.75" hidden="1" customHeight="1" outlineLevel="1">
      <c r="A358" s="916"/>
      <c r="B358" s="1123">
        <v>116</v>
      </c>
      <c r="C358" s="1127"/>
      <c r="D358" s="1125"/>
      <c r="E358" s="1125" t="s">
        <v>18</v>
      </c>
      <c r="F358" s="1130" t="str">
        <f>VLOOKUP(E358,$N$13:$O$17,2,0)</f>
        <v>-</v>
      </c>
      <c r="G358" s="92"/>
      <c r="H358" s="823"/>
      <c r="I358" s="1125"/>
      <c r="J358" s="1133"/>
      <c r="K358" s="1133"/>
      <c r="L358" s="916"/>
      <c r="M358" s="916"/>
    </row>
    <row r="359" spans="1:13" s="103" customFormat="1" ht="15.75" hidden="1" customHeight="1" outlineLevel="1">
      <c r="A359" s="916"/>
      <c r="B359" s="1123"/>
      <c r="C359" s="1127"/>
      <c r="D359" s="1125"/>
      <c r="E359" s="1125"/>
      <c r="F359" s="1130"/>
      <c r="G359" s="95"/>
      <c r="H359" s="823"/>
      <c r="I359" s="1125"/>
      <c r="J359" s="1134"/>
      <c r="K359" s="1134"/>
      <c r="L359" s="916"/>
      <c r="M359" s="916"/>
    </row>
    <row r="360" spans="1:13" s="103" customFormat="1" ht="15.75" hidden="1" customHeight="1" outlineLevel="1">
      <c r="A360" s="916"/>
      <c r="B360" s="1124"/>
      <c r="C360" s="1128"/>
      <c r="D360" s="1126"/>
      <c r="E360" s="1126"/>
      <c r="F360" s="1132"/>
      <c r="G360" s="100"/>
      <c r="H360" s="824"/>
      <c r="I360" s="1126"/>
      <c r="J360" s="1135"/>
      <c r="K360" s="1135"/>
      <c r="L360" s="916"/>
      <c r="M360" s="916"/>
    </row>
    <row r="361" spans="1:13" s="103" customFormat="1" ht="15.75" hidden="1" customHeight="1" outlineLevel="1">
      <c r="A361" s="916"/>
      <c r="B361" s="1123">
        <v>117</v>
      </c>
      <c r="C361" s="1127"/>
      <c r="D361" s="1125"/>
      <c r="E361" s="1125" t="s">
        <v>18</v>
      </c>
      <c r="F361" s="1130" t="str">
        <f>VLOOKUP(E361,$N$13:$O$17,2,0)</f>
        <v>-</v>
      </c>
      <c r="G361" s="92"/>
      <c r="H361" s="823"/>
      <c r="I361" s="1125"/>
      <c r="J361" s="1133"/>
      <c r="K361" s="1133"/>
      <c r="L361" s="916"/>
      <c r="M361" s="916"/>
    </row>
    <row r="362" spans="1:13" s="103" customFormat="1" ht="15.75" hidden="1" customHeight="1" outlineLevel="1">
      <c r="A362" s="916"/>
      <c r="B362" s="1123"/>
      <c r="C362" s="1127"/>
      <c r="D362" s="1125"/>
      <c r="E362" s="1125"/>
      <c r="F362" s="1130"/>
      <c r="G362" s="95"/>
      <c r="H362" s="823"/>
      <c r="I362" s="1125"/>
      <c r="J362" s="1134"/>
      <c r="K362" s="1134"/>
      <c r="L362" s="916"/>
      <c r="M362" s="916"/>
    </row>
    <row r="363" spans="1:13" s="103" customFormat="1" ht="15.75" hidden="1" customHeight="1" outlineLevel="1">
      <c r="A363" s="916"/>
      <c r="B363" s="1124"/>
      <c r="C363" s="1128"/>
      <c r="D363" s="1126"/>
      <c r="E363" s="1126"/>
      <c r="F363" s="1132"/>
      <c r="G363" s="100"/>
      <c r="H363" s="824"/>
      <c r="I363" s="1126"/>
      <c r="J363" s="1135"/>
      <c r="K363" s="1135"/>
      <c r="L363" s="916"/>
      <c r="M363" s="916"/>
    </row>
    <row r="364" spans="1:13" s="103" customFormat="1" ht="15.75" hidden="1" customHeight="1" outlineLevel="1">
      <c r="A364" s="916"/>
      <c r="B364" s="1123">
        <v>118</v>
      </c>
      <c r="C364" s="1127"/>
      <c r="D364" s="1125"/>
      <c r="E364" s="1125" t="s">
        <v>18</v>
      </c>
      <c r="F364" s="1130" t="str">
        <f>VLOOKUP(E364,$N$13:$O$17,2,0)</f>
        <v>-</v>
      </c>
      <c r="G364" s="92"/>
      <c r="H364" s="823"/>
      <c r="I364" s="1125"/>
      <c r="J364" s="1133"/>
      <c r="K364" s="1133"/>
      <c r="L364" s="916"/>
      <c r="M364" s="916"/>
    </row>
    <row r="365" spans="1:13" s="103" customFormat="1" ht="15.75" hidden="1" customHeight="1" outlineLevel="1">
      <c r="A365" s="916"/>
      <c r="B365" s="1123"/>
      <c r="C365" s="1127"/>
      <c r="D365" s="1125"/>
      <c r="E365" s="1125"/>
      <c r="F365" s="1130"/>
      <c r="G365" s="95"/>
      <c r="H365" s="823"/>
      <c r="I365" s="1125"/>
      <c r="J365" s="1134"/>
      <c r="K365" s="1134"/>
      <c r="L365" s="916"/>
      <c r="M365" s="916"/>
    </row>
    <row r="366" spans="1:13" s="103" customFormat="1" ht="15.75" hidden="1" customHeight="1" outlineLevel="1">
      <c r="A366" s="916"/>
      <c r="B366" s="1124"/>
      <c r="C366" s="1128"/>
      <c r="D366" s="1126"/>
      <c r="E366" s="1126"/>
      <c r="F366" s="1132"/>
      <c r="G366" s="100"/>
      <c r="H366" s="824"/>
      <c r="I366" s="1126"/>
      <c r="J366" s="1135"/>
      <c r="K366" s="1135"/>
      <c r="L366" s="916"/>
      <c r="M366" s="916"/>
    </row>
    <row r="367" spans="1:13" s="103" customFormat="1" ht="15.75" hidden="1" customHeight="1" outlineLevel="1">
      <c r="A367" s="916"/>
      <c r="B367" s="1123">
        <v>119</v>
      </c>
      <c r="C367" s="1127"/>
      <c r="D367" s="1125"/>
      <c r="E367" s="1125" t="s">
        <v>18</v>
      </c>
      <c r="F367" s="1130" t="str">
        <f>VLOOKUP(E367,$N$13:$O$17,2,0)</f>
        <v>-</v>
      </c>
      <c r="G367" s="92"/>
      <c r="H367" s="823"/>
      <c r="I367" s="1125"/>
      <c r="J367" s="1133"/>
      <c r="K367" s="1133"/>
      <c r="L367" s="916"/>
      <c r="M367" s="916"/>
    </row>
    <row r="368" spans="1:13" s="103" customFormat="1" ht="15.75" hidden="1" customHeight="1" outlineLevel="1">
      <c r="A368" s="916"/>
      <c r="B368" s="1123"/>
      <c r="C368" s="1127"/>
      <c r="D368" s="1125"/>
      <c r="E368" s="1125"/>
      <c r="F368" s="1130"/>
      <c r="G368" s="95"/>
      <c r="H368" s="823"/>
      <c r="I368" s="1125"/>
      <c r="J368" s="1134"/>
      <c r="K368" s="1134"/>
      <c r="L368" s="916"/>
      <c r="M368" s="916"/>
    </row>
    <row r="369" spans="1:13" s="103" customFormat="1" ht="15.75" hidden="1" customHeight="1" outlineLevel="1">
      <c r="A369" s="916"/>
      <c r="B369" s="1124"/>
      <c r="C369" s="1128"/>
      <c r="D369" s="1126"/>
      <c r="E369" s="1126"/>
      <c r="F369" s="1132"/>
      <c r="G369" s="100"/>
      <c r="H369" s="824"/>
      <c r="I369" s="1126"/>
      <c r="J369" s="1135"/>
      <c r="K369" s="1135"/>
      <c r="L369" s="916"/>
      <c r="M369" s="916"/>
    </row>
    <row r="370" spans="1:13" s="103" customFormat="1" ht="15.75" hidden="1" customHeight="1" outlineLevel="1">
      <c r="A370" s="916"/>
      <c r="B370" s="1123">
        <v>120</v>
      </c>
      <c r="C370" s="1127"/>
      <c r="D370" s="1125"/>
      <c r="E370" s="1125" t="s">
        <v>18</v>
      </c>
      <c r="F370" s="1130" t="str">
        <f>VLOOKUP(E370,$N$13:$O$17,2,0)</f>
        <v>-</v>
      </c>
      <c r="G370" s="92"/>
      <c r="H370" s="823"/>
      <c r="I370" s="1125"/>
      <c r="J370" s="1133"/>
      <c r="K370" s="1133"/>
      <c r="L370" s="916"/>
      <c r="M370" s="916"/>
    </row>
    <row r="371" spans="1:13" s="103" customFormat="1" ht="15.75" hidden="1" customHeight="1" outlineLevel="1">
      <c r="A371" s="916"/>
      <c r="B371" s="1123"/>
      <c r="C371" s="1127"/>
      <c r="D371" s="1125"/>
      <c r="E371" s="1125"/>
      <c r="F371" s="1130"/>
      <c r="G371" s="95"/>
      <c r="H371" s="823"/>
      <c r="I371" s="1125"/>
      <c r="J371" s="1134"/>
      <c r="K371" s="1134"/>
      <c r="L371" s="916"/>
      <c r="M371" s="916"/>
    </row>
    <row r="372" spans="1:13" s="103" customFormat="1" ht="15.75" hidden="1" customHeight="1" outlineLevel="1">
      <c r="A372" s="916"/>
      <c r="B372" s="1124"/>
      <c r="C372" s="1128"/>
      <c r="D372" s="1126"/>
      <c r="E372" s="1126"/>
      <c r="F372" s="1132"/>
      <c r="G372" s="100"/>
      <c r="H372" s="824"/>
      <c r="I372" s="1126"/>
      <c r="J372" s="1135"/>
      <c r="K372" s="1135"/>
      <c r="L372" s="916"/>
      <c r="M372" s="916"/>
    </row>
    <row r="373" spans="1:13" s="103" customFormat="1" ht="15.75" hidden="1" customHeight="1" outlineLevel="1">
      <c r="A373" s="916"/>
      <c r="B373" s="1123">
        <v>121</v>
      </c>
      <c r="C373" s="1127"/>
      <c r="D373" s="1125"/>
      <c r="E373" s="1125" t="s">
        <v>18</v>
      </c>
      <c r="F373" s="1130" t="str">
        <f>VLOOKUP(E373,$N$13:$O$17,2,0)</f>
        <v>-</v>
      </c>
      <c r="G373" s="92"/>
      <c r="H373" s="823"/>
      <c r="I373" s="1125"/>
      <c r="J373" s="1133"/>
      <c r="K373" s="1133"/>
      <c r="L373" s="916"/>
      <c r="M373" s="916"/>
    </row>
    <row r="374" spans="1:13" s="103" customFormat="1" ht="15.75" hidden="1" customHeight="1" outlineLevel="1">
      <c r="A374" s="916"/>
      <c r="B374" s="1123"/>
      <c r="C374" s="1127"/>
      <c r="D374" s="1125"/>
      <c r="E374" s="1125"/>
      <c r="F374" s="1130"/>
      <c r="G374" s="95"/>
      <c r="H374" s="823"/>
      <c r="I374" s="1125"/>
      <c r="J374" s="1134"/>
      <c r="K374" s="1134"/>
      <c r="L374" s="916"/>
      <c r="M374" s="916"/>
    </row>
    <row r="375" spans="1:13" s="103" customFormat="1" ht="15.75" hidden="1" customHeight="1" outlineLevel="1">
      <c r="A375" s="916"/>
      <c r="B375" s="1124"/>
      <c r="C375" s="1128"/>
      <c r="D375" s="1126"/>
      <c r="E375" s="1126"/>
      <c r="F375" s="1132"/>
      <c r="G375" s="100"/>
      <c r="H375" s="824"/>
      <c r="I375" s="1126"/>
      <c r="J375" s="1135"/>
      <c r="K375" s="1135"/>
      <c r="L375" s="916"/>
      <c r="M375" s="916"/>
    </row>
    <row r="376" spans="1:13" s="103" customFormat="1" ht="15.75" hidden="1" customHeight="1" outlineLevel="1">
      <c r="A376" s="916"/>
      <c r="B376" s="1123">
        <v>122</v>
      </c>
      <c r="C376" s="1127"/>
      <c r="D376" s="1125"/>
      <c r="E376" s="1125" t="s">
        <v>18</v>
      </c>
      <c r="F376" s="1130" t="str">
        <f>VLOOKUP(E376,$N$13:$O$17,2,0)</f>
        <v>-</v>
      </c>
      <c r="G376" s="92"/>
      <c r="H376" s="823"/>
      <c r="I376" s="1125"/>
      <c r="J376" s="1133"/>
      <c r="K376" s="1133"/>
      <c r="L376" s="916"/>
      <c r="M376" s="916"/>
    </row>
    <row r="377" spans="1:13" s="103" customFormat="1" ht="15.75" hidden="1" customHeight="1" outlineLevel="1">
      <c r="A377" s="916"/>
      <c r="B377" s="1123"/>
      <c r="C377" s="1127"/>
      <c r="D377" s="1125"/>
      <c r="E377" s="1125"/>
      <c r="F377" s="1130"/>
      <c r="G377" s="95"/>
      <c r="H377" s="823"/>
      <c r="I377" s="1125"/>
      <c r="J377" s="1134"/>
      <c r="K377" s="1134"/>
      <c r="L377" s="916"/>
      <c r="M377" s="916"/>
    </row>
    <row r="378" spans="1:13" s="103" customFormat="1" ht="15.75" hidden="1" customHeight="1" outlineLevel="1">
      <c r="A378" s="916"/>
      <c r="B378" s="1124"/>
      <c r="C378" s="1128"/>
      <c r="D378" s="1126"/>
      <c r="E378" s="1126"/>
      <c r="F378" s="1132"/>
      <c r="G378" s="100"/>
      <c r="H378" s="824"/>
      <c r="I378" s="1126"/>
      <c r="J378" s="1135"/>
      <c r="K378" s="1135"/>
      <c r="L378" s="916"/>
      <c r="M378" s="916"/>
    </row>
    <row r="379" spans="1:13" s="103" customFormat="1" ht="15.75" hidden="1" customHeight="1" outlineLevel="1">
      <c r="A379" s="916"/>
      <c r="B379" s="1123">
        <v>123</v>
      </c>
      <c r="C379" s="1127"/>
      <c r="D379" s="1125"/>
      <c r="E379" s="1125" t="s">
        <v>18</v>
      </c>
      <c r="F379" s="1130" t="str">
        <f>VLOOKUP(E379,$N$13:$O$17,2,0)</f>
        <v>-</v>
      </c>
      <c r="G379" s="92"/>
      <c r="H379" s="823"/>
      <c r="I379" s="1125"/>
      <c r="J379" s="1133"/>
      <c r="K379" s="1133"/>
      <c r="L379" s="916"/>
      <c r="M379" s="916"/>
    </row>
    <row r="380" spans="1:13" s="103" customFormat="1" ht="15.75" hidden="1" customHeight="1" outlineLevel="1">
      <c r="A380" s="916"/>
      <c r="B380" s="1123"/>
      <c r="C380" s="1127"/>
      <c r="D380" s="1125"/>
      <c r="E380" s="1125"/>
      <c r="F380" s="1130"/>
      <c r="G380" s="95"/>
      <c r="H380" s="823"/>
      <c r="I380" s="1125"/>
      <c r="J380" s="1134"/>
      <c r="K380" s="1134"/>
      <c r="L380" s="916"/>
      <c r="M380" s="916"/>
    </row>
    <row r="381" spans="1:13" s="103" customFormat="1" ht="15.75" hidden="1" customHeight="1" outlineLevel="1">
      <c r="A381" s="916"/>
      <c r="B381" s="1124"/>
      <c r="C381" s="1128"/>
      <c r="D381" s="1126"/>
      <c r="E381" s="1126"/>
      <c r="F381" s="1132"/>
      <c r="G381" s="100"/>
      <c r="H381" s="824"/>
      <c r="I381" s="1126"/>
      <c r="J381" s="1135"/>
      <c r="K381" s="1135"/>
      <c r="L381" s="916"/>
      <c r="M381" s="916"/>
    </row>
    <row r="382" spans="1:13" s="103" customFormat="1" ht="15.75" hidden="1" customHeight="1" outlineLevel="1">
      <c r="A382" s="916"/>
      <c r="B382" s="1123">
        <v>124</v>
      </c>
      <c r="C382" s="1127"/>
      <c r="D382" s="1125"/>
      <c r="E382" s="1125" t="s">
        <v>18</v>
      </c>
      <c r="F382" s="1130" t="str">
        <f>VLOOKUP(E382,$N$13:$O$17,2,0)</f>
        <v>-</v>
      </c>
      <c r="G382" s="92"/>
      <c r="H382" s="823"/>
      <c r="I382" s="1125"/>
      <c r="J382" s="1133"/>
      <c r="K382" s="1133"/>
      <c r="L382" s="916"/>
      <c r="M382" s="916"/>
    </row>
    <row r="383" spans="1:13" s="103" customFormat="1" ht="15.75" hidden="1" customHeight="1" outlineLevel="1">
      <c r="A383" s="916"/>
      <c r="B383" s="1123"/>
      <c r="C383" s="1127"/>
      <c r="D383" s="1125"/>
      <c r="E383" s="1125"/>
      <c r="F383" s="1130"/>
      <c r="G383" s="95"/>
      <c r="H383" s="823"/>
      <c r="I383" s="1125"/>
      <c r="J383" s="1134"/>
      <c r="K383" s="1134"/>
      <c r="L383" s="916"/>
      <c r="M383" s="916"/>
    </row>
    <row r="384" spans="1:13" s="103" customFormat="1" ht="15.75" hidden="1" customHeight="1" outlineLevel="1">
      <c r="A384" s="916"/>
      <c r="B384" s="1124"/>
      <c r="C384" s="1128"/>
      <c r="D384" s="1126"/>
      <c r="E384" s="1126"/>
      <c r="F384" s="1132"/>
      <c r="G384" s="100"/>
      <c r="H384" s="824"/>
      <c r="I384" s="1126"/>
      <c r="J384" s="1135"/>
      <c r="K384" s="1135"/>
      <c r="L384" s="916"/>
      <c r="M384" s="916"/>
    </row>
    <row r="385" spans="1:13" s="103" customFormat="1" ht="15.75" hidden="1" customHeight="1" outlineLevel="1">
      <c r="A385" s="916"/>
      <c r="B385" s="1123">
        <v>125</v>
      </c>
      <c r="C385" s="1127"/>
      <c r="D385" s="1125"/>
      <c r="E385" s="1125" t="s">
        <v>18</v>
      </c>
      <c r="F385" s="1130" t="str">
        <f>VLOOKUP(E385,$N$13:$O$17,2,0)</f>
        <v>-</v>
      </c>
      <c r="G385" s="92"/>
      <c r="H385" s="823"/>
      <c r="I385" s="1125"/>
      <c r="J385" s="1133"/>
      <c r="K385" s="1133"/>
      <c r="L385" s="916"/>
      <c r="M385" s="916"/>
    </row>
    <row r="386" spans="1:13" s="103" customFormat="1" ht="15.75" hidden="1" customHeight="1" outlineLevel="1">
      <c r="A386" s="916"/>
      <c r="B386" s="1123"/>
      <c r="C386" s="1127"/>
      <c r="D386" s="1125"/>
      <c r="E386" s="1125"/>
      <c r="F386" s="1130"/>
      <c r="G386" s="95"/>
      <c r="H386" s="823"/>
      <c r="I386" s="1125"/>
      <c r="J386" s="1134"/>
      <c r="K386" s="1134"/>
      <c r="L386" s="916"/>
      <c r="M386" s="916"/>
    </row>
    <row r="387" spans="1:13" s="103" customFormat="1" ht="15.75" hidden="1" customHeight="1" outlineLevel="1">
      <c r="A387" s="916"/>
      <c r="B387" s="1124"/>
      <c r="C387" s="1128"/>
      <c r="D387" s="1126"/>
      <c r="E387" s="1126"/>
      <c r="F387" s="1132"/>
      <c r="G387" s="100"/>
      <c r="H387" s="824"/>
      <c r="I387" s="1126"/>
      <c r="J387" s="1135"/>
      <c r="K387" s="1135"/>
      <c r="L387" s="916"/>
      <c r="M387" s="916"/>
    </row>
    <row r="388" spans="1:13" s="103" customFormat="1" ht="15.75" hidden="1" customHeight="1" outlineLevel="1">
      <c r="A388" s="916"/>
      <c r="B388" s="1123">
        <v>126</v>
      </c>
      <c r="C388" s="1127"/>
      <c r="D388" s="1125"/>
      <c r="E388" s="1125" t="s">
        <v>18</v>
      </c>
      <c r="F388" s="1130" t="str">
        <f>VLOOKUP(E388,$N$13:$O$17,2,0)</f>
        <v>-</v>
      </c>
      <c r="G388" s="92"/>
      <c r="H388" s="823"/>
      <c r="I388" s="1125"/>
      <c r="J388" s="1133"/>
      <c r="K388" s="1133"/>
      <c r="L388" s="916"/>
      <c r="M388" s="916"/>
    </row>
    <row r="389" spans="1:13" s="103" customFormat="1" ht="15.75" hidden="1" customHeight="1" outlineLevel="1">
      <c r="A389" s="916"/>
      <c r="B389" s="1123"/>
      <c r="C389" s="1127"/>
      <c r="D389" s="1125"/>
      <c r="E389" s="1125"/>
      <c r="F389" s="1130"/>
      <c r="G389" s="95"/>
      <c r="H389" s="823"/>
      <c r="I389" s="1125"/>
      <c r="J389" s="1134"/>
      <c r="K389" s="1134"/>
      <c r="L389" s="916"/>
      <c r="M389" s="916"/>
    </row>
    <row r="390" spans="1:13" s="103" customFormat="1" ht="15.75" hidden="1" customHeight="1" outlineLevel="1">
      <c r="A390" s="916"/>
      <c r="B390" s="1124"/>
      <c r="C390" s="1128"/>
      <c r="D390" s="1126"/>
      <c r="E390" s="1126"/>
      <c r="F390" s="1132"/>
      <c r="G390" s="100"/>
      <c r="H390" s="824"/>
      <c r="I390" s="1126"/>
      <c r="J390" s="1135"/>
      <c r="K390" s="1135"/>
      <c r="L390" s="916"/>
      <c r="M390" s="916"/>
    </row>
    <row r="391" spans="1:13" s="103" customFormat="1" ht="15.75" hidden="1" customHeight="1" outlineLevel="1">
      <c r="A391" s="916"/>
      <c r="B391" s="1123">
        <v>127</v>
      </c>
      <c r="C391" s="1127"/>
      <c r="D391" s="1125"/>
      <c r="E391" s="1125" t="s">
        <v>18</v>
      </c>
      <c r="F391" s="1130" t="str">
        <f>VLOOKUP(E391,$N$13:$O$17,2,0)</f>
        <v>-</v>
      </c>
      <c r="G391" s="92"/>
      <c r="H391" s="823"/>
      <c r="I391" s="1125"/>
      <c r="J391" s="1133"/>
      <c r="K391" s="1133"/>
      <c r="L391" s="916"/>
      <c r="M391" s="916"/>
    </row>
    <row r="392" spans="1:13" s="103" customFormat="1" ht="15.75" hidden="1" customHeight="1" outlineLevel="1">
      <c r="A392" s="916"/>
      <c r="B392" s="1123"/>
      <c r="C392" s="1127"/>
      <c r="D392" s="1125"/>
      <c r="E392" s="1125"/>
      <c r="F392" s="1130"/>
      <c r="G392" s="95"/>
      <c r="H392" s="823"/>
      <c r="I392" s="1125"/>
      <c r="J392" s="1134"/>
      <c r="K392" s="1134"/>
      <c r="L392" s="916"/>
      <c r="M392" s="916"/>
    </row>
    <row r="393" spans="1:13" s="103" customFormat="1" ht="15.75" hidden="1" customHeight="1" outlineLevel="1">
      <c r="A393" s="916"/>
      <c r="B393" s="1124"/>
      <c r="C393" s="1128"/>
      <c r="D393" s="1126"/>
      <c r="E393" s="1126"/>
      <c r="F393" s="1132"/>
      <c r="G393" s="100"/>
      <c r="H393" s="824"/>
      <c r="I393" s="1126"/>
      <c r="J393" s="1135"/>
      <c r="K393" s="1135"/>
      <c r="L393" s="916"/>
      <c r="M393" s="916"/>
    </row>
    <row r="394" spans="1:13" s="103" customFormat="1" ht="15.75" hidden="1" customHeight="1" outlineLevel="1">
      <c r="A394" s="916"/>
      <c r="B394" s="1123">
        <v>128</v>
      </c>
      <c r="C394" s="1127"/>
      <c r="D394" s="1125"/>
      <c r="E394" s="1125" t="s">
        <v>18</v>
      </c>
      <c r="F394" s="1130" t="str">
        <f>VLOOKUP(E394,$N$13:$O$17,2,0)</f>
        <v>-</v>
      </c>
      <c r="G394" s="92"/>
      <c r="H394" s="823"/>
      <c r="I394" s="1125"/>
      <c r="J394" s="1133"/>
      <c r="K394" s="1133"/>
      <c r="L394" s="916"/>
      <c r="M394" s="916"/>
    </row>
    <row r="395" spans="1:13" s="103" customFormat="1" ht="15.75" hidden="1" customHeight="1" outlineLevel="1">
      <c r="A395" s="916"/>
      <c r="B395" s="1123"/>
      <c r="C395" s="1127"/>
      <c r="D395" s="1125"/>
      <c r="E395" s="1125"/>
      <c r="F395" s="1130"/>
      <c r="G395" s="95"/>
      <c r="H395" s="823"/>
      <c r="I395" s="1125"/>
      <c r="J395" s="1134"/>
      <c r="K395" s="1134"/>
      <c r="L395" s="916"/>
      <c r="M395" s="916"/>
    </row>
    <row r="396" spans="1:13" s="103" customFormat="1" ht="15.75" hidden="1" customHeight="1" outlineLevel="1">
      <c r="A396" s="916"/>
      <c r="B396" s="1124"/>
      <c r="C396" s="1128"/>
      <c r="D396" s="1126"/>
      <c r="E396" s="1126"/>
      <c r="F396" s="1132"/>
      <c r="G396" s="100"/>
      <c r="H396" s="824"/>
      <c r="I396" s="1126"/>
      <c r="J396" s="1135"/>
      <c r="K396" s="1135"/>
      <c r="L396" s="916"/>
      <c r="M396" s="916"/>
    </row>
    <row r="397" spans="1:13" s="103" customFormat="1" ht="15.75" hidden="1" customHeight="1" outlineLevel="1">
      <c r="A397" s="916"/>
      <c r="B397" s="1123">
        <v>129</v>
      </c>
      <c r="C397" s="1127"/>
      <c r="D397" s="1125"/>
      <c r="E397" s="1125" t="s">
        <v>18</v>
      </c>
      <c r="F397" s="1130" t="str">
        <f>VLOOKUP(E397,$N$13:$O$17,2,0)</f>
        <v>-</v>
      </c>
      <c r="G397" s="92"/>
      <c r="H397" s="823"/>
      <c r="I397" s="1125"/>
      <c r="J397" s="1133"/>
      <c r="K397" s="1133"/>
      <c r="L397" s="916"/>
      <c r="M397" s="916"/>
    </row>
    <row r="398" spans="1:13" s="103" customFormat="1" ht="15.75" hidden="1" customHeight="1" outlineLevel="1">
      <c r="A398" s="916"/>
      <c r="B398" s="1123"/>
      <c r="C398" s="1127"/>
      <c r="D398" s="1125"/>
      <c r="E398" s="1125"/>
      <c r="F398" s="1130"/>
      <c r="G398" s="95"/>
      <c r="H398" s="823"/>
      <c r="I398" s="1125"/>
      <c r="J398" s="1134"/>
      <c r="K398" s="1134"/>
      <c r="L398" s="916"/>
      <c r="M398" s="916"/>
    </row>
    <row r="399" spans="1:13" s="103" customFormat="1" ht="15.75" hidden="1" customHeight="1" outlineLevel="1">
      <c r="A399" s="916"/>
      <c r="B399" s="1124"/>
      <c r="C399" s="1128"/>
      <c r="D399" s="1126"/>
      <c r="E399" s="1126"/>
      <c r="F399" s="1132"/>
      <c r="G399" s="100"/>
      <c r="H399" s="824"/>
      <c r="I399" s="1126"/>
      <c r="J399" s="1135"/>
      <c r="K399" s="1135"/>
      <c r="L399" s="916"/>
      <c r="M399" s="916"/>
    </row>
    <row r="400" spans="1:13" s="103" customFormat="1" ht="15.75" hidden="1" customHeight="1" outlineLevel="1">
      <c r="A400" s="916"/>
      <c r="B400" s="1123">
        <v>130</v>
      </c>
      <c r="C400" s="1127"/>
      <c r="D400" s="1125"/>
      <c r="E400" s="1125" t="s">
        <v>18</v>
      </c>
      <c r="F400" s="1130" t="str">
        <f>VLOOKUP(E400,$N$13:$O$17,2,0)</f>
        <v>-</v>
      </c>
      <c r="G400" s="92"/>
      <c r="H400" s="823"/>
      <c r="I400" s="1125"/>
      <c r="J400" s="1133"/>
      <c r="K400" s="1133"/>
      <c r="L400" s="916"/>
      <c r="M400" s="916"/>
    </row>
    <row r="401" spans="1:13" s="103" customFormat="1" ht="15.75" hidden="1" customHeight="1" outlineLevel="1">
      <c r="A401" s="916"/>
      <c r="B401" s="1123"/>
      <c r="C401" s="1127"/>
      <c r="D401" s="1125"/>
      <c r="E401" s="1125"/>
      <c r="F401" s="1130"/>
      <c r="G401" s="95"/>
      <c r="H401" s="823"/>
      <c r="I401" s="1125"/>
      <c r="J401" s="1134"/>
      <c r="K401" s="1134"/>
      <c r="L401" s="916"/>
      <c r="M401" s="916"/>
    </row>
    <row r="402" spans="1:13" s="103" customFormat="1" ht="15.75" hidden="1" customHeight="1" outlineLevel="1">
      <c r="A402" s="916"/>
      <c r="B402" s="1124"/>
      <c r="C402" s="1128"/>
      <c r="D402" s="1126"/>
      <c r="E402" s="1126"/>
      <c r="F402" s="1132"/>
      <c r="G402" s="100"/>
      <c r="H402" s="824"/>
      <c r="I402" s="1126"/>
      <c r="J402" s="1135"/>
      <c r="K402" s="1135"/>
      <c r="L402" s="916"/>
      <c r="M402" s="916"/>
    </row>
    <row r="403" spans="1:13" s="103" customFormat="1" ht="15.75" hidden="1" customHeight="1" outlineLevel="1">
      <c r="A403" s="916"/>
      <c r="B403" s="1123">
        <v>131</v>
      </c>
      <c r="C403" s="1127"/>
      <c r="D403" s="1125"/>
      <c r="E403" s="1125" t="s">
        <v>18</v>
      </c>
      <c r="F403" s="1130" t="str">
        <f>VLOOKUP(E403,$N$13:$O$17,2,0)</f>
        <v>-</v>
      </c>
      <c r="G403" s="92"/>
      <c r="H403" s="823"/>
      <c r="I403" s="1125"/>
      <c r="J403" s="1133"/>
      <c r="K403" s="1133"/>
      <c r="L403" s="916"/>
      <c r="M403" s="916"/>
    </row>
    <row r="404" spans="1:13" s="103" customFormat="1" ht="15.75" hidden="1" customHeight="1" outlineLevel="1">
      <c r="A404" s="916"/>
      <c r="B404" s="1123"/>
      <c r="C404" s="1127"/>
      <c r="D404" s="1125"/>
      <c r="E404" s="1125"/>
      <c r="F404" s="1130"/>
      <c r="G404" s="95"/>
      <c r="H404" s="823"/>
      <c r="I404" s="1125"/>
      <c r="J404" s="1134"/>
      <c r="K404" s="1134"/>
      <c r="L404" s="916"/>
      <c r="M404" s="916"/>
    </row>
    <row r="405" spans="1:13" s="103" customFormat="1" ht="15.75" hidden="1" customHeight="1" outlineLevel="1">
      <c r="A405" s="916"/>
      <c r="B405" s="1124"/>
      <c r="C405" s="1128"/>
      <c r="D405" s="1126"/>
      <c r="E405" s="1126"/>
      <c r="F405" s="1132"/>
      <c r="G405" s="100"/>
      <c r="H405" s="824"/>
      <c r="I405" s="1126"/>
      <c r="J405" s="1135"/>
      <c r="K405" s="1135"/>
      <c r="L405" s="916"/>
      <c r="M405" s="916"/>
    </row>
    <row r="406" spans="1:13" s="103" customFormat="1" ht="15.75" hidden="1" customHeight="1" outlineLevel="1">
      <c r="A406" s="916"/>
      <c r="B406" s="1123">
        <v>132</v>
      </c>
      <c r="C406" s="1127"/>
      <c r="D406" s="1125"/>
      <c r="E406" s="1125" t="s">
        <v>18</v>
      </c>
      <c r="F406" s="1130" t="str">
        <f>VLOOKUP(E406,$N$13:$O$17,2,0)</f>
        <v>-</v>
      </c>
      <c r="G406" s="92"/>
      <c r="H406" s="823"/>
      <c r="I406" s="1125"/>
      <c r="J406" s="1133"/>
      <c r="K406" s="1133"/>
      <c r="L406" s="916"/>
      <c r="M406" s="916"/>
    </row>
    <row r="407" spans="1:13" s="103" customFormat="1" ht="15.75" hidden="1" customHeight="1" outlineLevel="1">
      <c r="A407" s="916"/>
      <c r="B407" s="1123"/>
      <c r="C407" s="1127"/>
      <c r="D407" s="1125"/>
      <c r="E407" s="1125"/>
      <c r="F407" s="1130"/>
      <c r="G407" s="95"/>
      <c r="H407" s="823"/>
      <c r="I407" s="1125"/>
      <c r="J407" s="1134"/>
      <c r="K407" s="1134"/>
      <c r="L407" s="916"/>
      <c r="M407" s="916"/>
    </row>
    <row r="408" spans="1:13" s="103" customFormat="1" ht="15.75" hidden="1" customHeight="1" outlineLevel="1">
      <c r="A408" s="916"/>
      <c r="B408" s="1124"/>
      <c r="C408" s="1128"/>
      <c r="D408" s="1126"/>
      <c r="E408" s="1126"/>
      <c r="F408" s="1132"/>
      <c r="G408" s="100"/>
      <c r="H408" s="824"/>
      <c r="I408" s="1126"/>
      <c r="J408" s="1135"/>
      <c r="K408" s="1135"/>
      <c r="L408" s="916"/>
      <c r="M408" s="916"/>
    </row>
    <row r="409" spans="1:13" s="103" customFormat="1" ht="15.75" hidden="1" customHeight="1" outlineLevel="1">
      <c r="A409" s="916"/>
      <c r="B409" s="1123">
        <v>133</v>
      </c>
      <c r="C409" s="1127"/>
      <c r="D409" s="1125"/>
      <c r="E409" s="1125" t="s">
        <v>18</v>
      </c>
      <c r="F409" s="1130" t="str">
        <f>VLOOKUP(E409,$N$13:$O$17,2,0)</f>
        <v>-</v>
      </c>
      <c r="G409" s="92"/>
      <c r="H409" s="823"/>
      <c r="I409" s="1125"/>
      <c r="J409" s="1133"/>
      <c r="K409" s="1133"/>
      <c r="L409" s="916"/>
      <c r="M409" s="916"/>
    </row>
    <row r="410" spans="1:13" s="103" customFormat="1" ht="15.75" hidden="1" customHeight="1" outlineLevel="1">
      <c r="A410" s="916"/>
      <c r="B410" s="1123"/>
      <c r="C410" s="1127"/>
      <c r="D410" s="1125"/>
      <c r="E410" s="1125"/>
      <c r="F410" s="1130"/>
      <c r="G410" s="95"/>
      <c r="H410" s="823"/>
      <c r="I410" s="1125"/>
      <c r="J410" s="1134"/>
      <c r="K410" s="1134"/>
      <c r="L410" s="916"/>
      <c r="M410" s="916"/>
    </row>
    <row r="411" spans="1:13" s="103" customFormat="1" ht="15.75" hidden="1" customHeight="1" outlineLevel="1">
      <c r="A411" s="916"/>
      <c r="B411" s="1124"/>
      <c r="C411" s="1128"/>
      <c r="D411" s="1126"/>
      <c r="E411" s="1126"/>
      <c r="F411" s="1132"/>
      <c r="G411" s="100"/>
      <c r="H411" s="824"/>
      <c r="I411" s="1126"/>
      <c r="J411" s="1135"/>
      <c r="K411" s="1135"/>
      <c r="L411" s="916"/>
      <c r="M411" s="916"/>
    </row>
    <row r="412" spans="1:13" s="103" customFormat="1" ht="15.75" hidden="1" customHeight="1" outlineLevel="1">
      <c r="A412" s="916"/>
      <c r="B412" s="1123">
        <v>134</v>
      </c>
      <c r="C412" s="1127"/>
      <c r="D412" s="1125"/>
      <c r="E412" s="1125" t="s">
        <v>18</v>
      </c>
      <c r="F412" s="1130" t="str">
        <f>VLOOKUP(E412,$N$13:$O$17,2,0)</f>
        <v>-</v>
      </c>
      <c r="G412" s="92"/>
      <c r="H412" s="823"/>
      <c r="I412" s="1125"/>
      <c r="J412" s="1133"/>
      <c r="K412" s="1133"/>
      <c r="L412" s="916"/>
      <c r="M412" s="916"/>
    </row>
    <row r="413" spans="1:13" s="103" customFormat="1" ht="15.75" hidden="1" customHeight="1" outlineLevel="1">
      <c r="A413" s="916"/>
      <c r="B413" s="1123"/>
      <c r="C413" s="1127"/>
      <c r="D413" s="1125"/>
      <c r="E413" s="1125"/>
      <c r="F413" s="1130"/>
      <c r="G413" s="95"/>
      <c r="H413" s="823"/>
      <c r="I413" s="1125"/>
      <c r="J413" s="1134"/>
      <c r="K413" s="1134"/>
      <c r="L413" s="916"/>
      <c r="M413" s="916"/>
    </row>
    <row r="414" spans="1:13" s="103" customFormat="1" ht="15.75" hidden="1" customHeight="1" outlineLevel="1">
      <c r="A414" s="916"/>
      <c r="B414" s="1124"/>
      <c r="C414" s="1128"/>
      <c r="D414" s="1126"/>
      <c r="E414" s="1126"/>
      <c r="F414" s="1132"/>
      <c r="G414" s="100"/>
      <c r="H414" s="824"/>
      <c r="I414" s="1126"/>
      <c r="J414" s="1135"/>
      <c r="K414" s="1135"/>
      <c r="L414" s="916"/>
      <c r="M414" s="916"/>
    </row>
    <row r="415" spans="1:13" s="103" customFormat="1" ht="15.75" hidden="1" customHeight="1" outlineLevel="1">
      <c r="A415" s="916"/>
      <c r="B415" s="1123">
        <v>135</v>
      </c>
      <c r="C415" s="1127"/>
      <c r="D415" s="1125"/>
      <c r="E415" s="1125" t="s">
        <v>18</v>
      </c>
      <c r="F415" s="1130" t="str">
        <f>VLOOKUP(E415,$N$13:$O$17,2,0)</f>
        <v>-</v>
      </c>
      <c r="G415" s="92"/>
      <c r="H415" s="823"/>
      <c r="I415" s="1125"/>
      <c r="J415" s="1133"/>
      <c r="K415" s="1133"/>
      <c r="L415" s="916"/>
      <c r="M415" s="916"/>
    </row>
    <row r="416" spans="1:13" s="103" customFormat="1" ht="15.75" hidden="1" customHeight="1" outlineLevel="1">
      <c r="A416" s="916"/>
      <c r="B416" s="1123"/>
      <c r="C416" s="1127"/>
      <c r="D416" s="1125"/>
      <c r="E416" s="1125"/>
      <c r="F416" s="1130"/>
      <c r="G416" s="95"/>
      <c r="H416" s="823"/>
      <c r="I416" s="1125"/>
      <c r="J416" s="1134"/>
      <c r="K416" s="1134"/>
      <c r="L416" s="916"/>
      <c r="M416" s="916"/>
    </row>
    <row r="417" spans="1:13" s="103" customFormat="1" ht="15.75" hidden="1" customHeight="1" outlineLevel="1">
      <c r="A417" s="916"/>
      <c r="B417" s="1124"/>
      <c r="C417" s="1128"/>
      <c r="D417" s="1126"/>
      <c r="E417" s="1126"/>
      <c r="F417" s="1132"/>
      <c r="G417" s="100"/>
      <c r="H417" s="824"/>
      <c r="I417" s="1126"/>
      <c r="J417" s="1135"/>
      <c r="K417" s="1135"/>
      <c r="L417" s="916"/>
      <c r="M417" s="916"/>
    </row>
    <row r="418" spans="1:13" s="103" customFormat="1" ht="15.75" hidden="1" customHeight="1" outlineLevel="1">
      <c r="A418" s="916"/>
      <c r="B418" s="1123">
        <v>136</v>
      </c>
      <c r="C418" s="1127"/>
      <c r="D418" s="1125"/>
      <c r="E418" s="1125" t="s">
        <v>18</v>
      </c>
      <c r="F418" s="1130" t="str">
        <f>VLOOKUP(E418,$N$13:$O$17,2,0)</f>
        <v>-</v>
      </c>
      <c r="G418" s="92"/>
      <c r="H418" s="823"/>
      <c r="I418" s="1125"/>
      <c r="J418" s="1133"/>
      <c r="K418" s="1133"/>
      <c r="L418" s="916"/>
      <c r="M418" s="916"/>
    </row>
    <row r="419" spans="1:13" s="103" customFormat="1" ht="15.75" hidden="1" customHeight="1" outlineLevel="1">
      <c r="A419" s="916"/>
      <c r="B419" s="1123"/>
      <c r="C419" s="1127"/>
      <c r="D419" s="1125"/>
      <c r="E419" s="1125"/>
      <c r="F419" s="1130"/>
      <c r="G419" s="95"/>
      <c r="H419" s="823"/>
      <c r="I419" s="1125"/>
      <c r="J419" s="1134"/>
      <c r="K419" s="1134"/>
      <c r="L419" s="916"/>
      <c r="M419" s="916"/>
    </row>
    <row r="420" spans="1:13" s="103" customFormat="1" ht="15.75" hidden="1" customHeight="1" outlineLevel="1">
      <c r="A420" s="916"/>
      <c r="B420" s="1124"/>
      <c r="C420" s="1128"/>
      <c r="D420" s="1126"/>
      <c r="E420" s="1126"/>
      <c r="F420" s="1132"/>
      <c r="G420" s="100"/>
      <c r="H420" s="824"/>
      <c r="I420" s="1126"/>
      <c r="J420" s="1135"/>
      <c r="K420" s="1135"/>
      <c r="L420" s="916"/>
      <c r="M420" s="916"/>
    </row>
    <row r="421" spans="1:13" s="103" customFormat="1" ht="15.75" hidden="1" customHeight="1" outlineLevel="1">
      <c r="A421" s="916"/>
      <c r="B421" s="1123">
        <v>137</v>
      </c>
      <c r="C421" s="1127"/>
      <c r="D421" s="1125"/>
      <c r="E421" s="1125" t="s">
        <v>18</v>
      </c>
      <c r="F421" s="1130" t="str">
        <f>VLOOKUP(E421,$N$13:$O$17,2,0)</f>
        <v>-</v>
      </c>
      <c r="G421" s="92"/>
      <c r="H421" s="823"/>
      <c r="I421" s="1125"/>
      <c r="J421" s="1133"/>
      <c r="K421" s="1133"/>
      <c r="L421" s="916"/>
      <c r="M421" s="916"/>
    </row>
    <row r="422" spans="1:13" s="103" customFormat="1" ht="15.75" hidden="1" customHeight="1" outlineLevel="1">
      <c r="A422" s="916"/>
      <c r="B422" s="1123"/>
      <c r="C422" s="1127"/>
      <c r="D422" s="1125"/>
      <c r="E422" s="1125"/>
      <c r="F422" s="1130"/>
      <c r="G422" s="95"/>
      <c r="H422" s="823"/>
      <c r="I422" s="1125"/>
      <c r="J422" s="1134"/>
      <c r="K422" s="1134"/>
      <c r="L422" s="916"/>
      <c r="M422" s="916"/>
    </row>
    <row r="423" spans="1:13" s="103" customFormat="1" ht="15.75" hidden="1" customHeight="1" outlineLevel="1">
      <c r="A423" s="916"/>
      <c r="B423" s="1124"/>
      <c r="C423" s="1128"/>
      <c r="D423" s="1126"/>
      <c r="E423" s="1126"/>
      <c r="F423" s="1132"/>
      <c r="G423" s="100"/>
      <c r="H423" s="824"/>
      <c r="I423" s="1126"/>
      <c r="J423" s="1135"/>
      <c r="K423" s="1135"/>
      <c r="L423" s="916"/>
      <c r="M423" s="916"/>
    </row>
    <row r="424" spans="1:13" s="103" customFormat="1" ht="15.75" hidden="1" customHeight="1" outlineLevel="1">
      <c r="A424" s="916"/>
      <c r="B424" s="1123">
        <v>138</v>
      </c>
      <c r="C424" s="1127"/>
      <c r="D424" s="1125"/>
      <c r="E424" s="1125" t="s">
        <v>18</v>
      </c>
      <c r="F424" s="1130" t="str">
        <f>VLOOKUP(E424,$N$13:$O$17,2,0)</f>
        <v>-</v>
      </c>
      <c r="G424" s="92"/>
      <c r="H424" s="823"/>
      <c r="I424" s="1125"/>
      <c r="J424" s="1133"/>
      <c r="K424" s="1133"/>
      <c r="L424" s="916"/>
      <c r="M424" s="916"/>
    </row>
    <row r="425" spans="1:13" s="103" customFormat="1" ht="15.75" hidden="1" customHeight="1" outlineLevel="1">
      <c r="A425" s="916"/>
      <c r="B425" s="1123"/>
      <c r="C425" s="1127"/>
      <c r="D425" s="1125"/>
      <c r="E425" s="1125"/>
      <c r="F425" s="1130"/>
      <c r="G425" s="95"/>
      <c r="H425" s="823"/>
      <c r="I425" s="1125"/>
      <c r="J425" s="1134"/>
      <c r="K425" s="1134"/>
      <c r="L425" s="916"/>
      <c r="M425" s="916"/>
    </row>
    <row r="426" spans="1:13" s="103" customFormat="1" ht="15.75" hidden="1" customHeight="1" outlineLevel="1">
      <c r="A426" s="916"/>
      <c r="B426" s="1124"/>
      <c r="C426" s="1128"/>
      <c r="D426" s="1126"/>
      <c r="E426" s="1126"/>
      <c r="F426" s="1132"/>
      <c r="G426" s="100"/>
      <c r="H426" s="824"/>
      <c r="I426" s="1126"/>
      <c r="J426" s="1135"/>
      <c r="K426" s="1135"/>
      <c r="L426" s="916"/>
      <c r="M426" s="916"/>
    </row>
    <row r="427" spans="1:13" s="103" customFormat="1" ht="15.75" hidden="1" customHeight="1" outlineLevel="1">
      <c r="A427" s="916"/>
      <c r="B427" s="1123">
        <v>139</v>
      </c>
      <c r="C427" s="1127"/>
      <c r="D427" s="1125"/>
      <c r="E427" s="1125" t="s">
        <v>18</v>
      </c>
      <c r="F427" s="1130" t="str">
        <f>VLOOKUP(E427,$N$13:$O$17,2,0)</f>
        <v>-</v>
      </c>
      <c r="G427" s="92"/>
      <c r="H427" s="823"/>
      <c r="I427" s="1125"/>
      <c r="J427" s="1133"/>
      <c r="K427" s="1133"/>
      <c r="L427" s="916"/>
      <c r="M427" s="916"/>
    </row>
    <row r="428" spans="1:13" s="103" customFormat="1" ht="15.75" hidden="1" customHeight="1" outlineLevel="1">
      <c r="A428" s="916"/>
      <c r="B428" s="1123"/>
      <c r="C428" s="1127"/>
      <c r="D428" s="1125"/>
      <c r="E428" s="1125"/>
      <c r="F428" s="1130"/>
      <c r="G428" s="95"/>
      <c r="H428" s="823"/>
      <c r="I428" s="1125"/>
      <c r="J428" s="1134"/>
      <c r="K428" s="1134"/>
      <c r="L428" s="916"/>
      <c r="M428" s="916"/>
    </row>
    <row r="429" spans="1:13" s="103" customFormat="1" ht="15.75" hidden="1" customHeight="1" outlineLevel="1">
      <c r="A429" s="916"/>
      <c r="B429" s="1124"/>
      <c r="C429" s="1128"/>
      <c r="D429" s="1126"/>
      <c r="E429" s="1126"/>
      <c r="F429" s="1132"/>
      <c r="G429" s="100"/>
      <c r="H429" s="824"/>
      <c r="I429" s="1126"/>
      <c r="J429" s="1135"/>
      <c r="K429" s="1135"/>
      <c r="L429" s="916"/>
      <c r="M429" s="916"/>
    </row>
    <row r="430" spans="1:13" s="103" customFormat="1" ht="15.75" hidden="1" customHeight="1" outlineLevel="1">
      <c r="A430" s="916"/>
      <c r="B430" s="1123">
        <v>140</v>
      </c>
      <c r="C430" s="1127"/>
      <c r="D430" s="1125"/>
      <c r="E430" s="1125" t="s">
        <v>18</v>
      </c>
      <c r="F430" s="1130" t="str">
        <f>VLOOKUP(E430,$N$13:$O$17,2,0)</f>
        <v>-</v>
      </c>
      <c r="G430" s="92"/>
      <c r="H430" s="823"/>
      <c r="I430" s="1125"/>
      <c r="J430" s="1133"/>
      <c r="K430" s="1133"/>
      <c r="L430" s="916"/>
      <c r="M430" s="916"/>
    </row>
    <row r="431" spans="1:13" s="103" customFormat="1" ht="15.75" hidden="1" customHeight="1" outlineLevel="1">
      <c r="A431" s="916"/>
      <c r="B431" s="1123"/>
      <c r="C431" s="1127"/>
      <c r="D431" s="1125"/>
      <c r="E431" s="1125"/>
      <c r="F431" s="1130"/>
      <c r="G431" s="95"/>
      <c r="H431" s="823"/>
      <c r="I431" s="1125"/>
      <c r="J431" s="1134"/>
      <c r="K431" s="1134"/>
      <c r="L431" s="916"/>
      <c r="M431" s="916"/>
    </row>
    <row r="432" spans="1:13" s="103" customFormat="1" ht="15.75" hidden="1" customHeight="1" outlineLevel="1">
      <c r="A432" s="916"/>
      <c r="B432" s="1124"/>
      <c r="C432" s="1128"/>
      <c r="D432" s="1126"/>
      <c r="E432" s="1126"/>
      <c r="F432" s="1132"/>
      <c r="G432" s="100"/>
      <c r="H432" s="824"/>
      <c r="I432" s="1126"/>
      <c r="J432" s="1135"/>
      <c r="K432" s="1135"/>
      <c r="L432" s="916"/>
      <c r="M432" s="916"/>
    </row>
    <row r="433" spans="1:13" s="103" customFormat="1" ht="15.75" hidden="1" customHeight="1" outlineLevel="1">
      <c r="A433" s="916"/>
      <c r="B433" s="1123">
        <v>141</v>
      </c>
      <c r="C433" s="1127"/>
      <c r="D433" s="1125"/>
      <c r="E433" s="1125" t="s">
        <v>18</v>
      </c>
      <c r="F433" s="1130" t="str">
        <f>VLOOKUP(E433,$N$13:$O$17,2,0)</f>
        <v>-</v>
      </c>
      <c r="G433" s="92"/>
      <c r="H433" s="823"/>
      <c r="I433" s="1125"/>
      <c r="J433" s="1133"/>
      <c r="K433" s="1133"/>
      <c r="L433" s="916"/>
      <c r="M433" s="916"/>
    </row>
    <row r="434" spans="1:13" s="103" customFormat="1" ht="15.75" hidden="1" customHeight="1" outlineLevel="1">
      <c r="A434" s="916"/>
      <c r="B434" s="1123"/>
      <c r="C434" s="1127"/>
      <c r="D434" s="1125"/>
      <c r="E434" s="1125"/>
      <c r="F434" s="1130"/>
      <c r="G434" s="95"/>
      <c r="H434" s="823"/>
      <c r="I434" s="1125"/>
      <c r="J434" s="1134"/>
      <c r="K434" s="1134"/>
      <c r="L434" s="916"/>
      <c r="M434" s="916"/>
    </row>
    <row r="435" spans="1:13" s="103" customFormat="1" ht="15.75" hidden="1" customHeight="1" outlineLevel="1">
      <c r="A435" s="916"/>
      <c r="B435" s="1124"/>
      <c r="C435" s="1128"/>
      <c r="D435" s="1126"/>
      <c r="E435" s="1126"/>
      <c r="F435" s="1132"/>
      <c r="G435" s="100"/>
      <c r="H435" s="824"/>
      <c r="I435" s="1126"/>
      <c r="J435" s="1135"/>
      <c r="K435" s="1135"/>
      <c r="L435" s="916"/>
      <c r="M435" s="916"/>
    </row>
    <row r="436" spans="1:13" s="103" customFormat="1" ht="15.75" hidden="1" customHeight="1" outlineLevel="1">
      <c r="A436" s="916"/>
      <c r="B436" s="1123">
        <v>142</v>
      </c>
      <c r="C436" s="1127"/>
      <c r="D436" s="1125"/>
      <c r="E436" s="1125" t="s">
        <v>18</v>
      </c>
      <c r="F436" s="1130" t="str">
        <f>VLOOKUP(E436,$N$13:$O$17,2,0)</f>
        <v>-</v>
      </c>
      <c r="G436" s="92"/>
      <c r="H436" s="823"/>
      <c r="I436" s="1125"/>
      <c r="J436" s="1133"/>
      <c r="K436" s="1133"/>
      <c r="L436" s="916"/>
      <c r="M436" s="916"/>
    </row>
    <row r="437" spans="1:13" s="103" customFormat="1" ht="15.75" hidden="1" customHeight="1" outlineLevel="1">
      <c r="A437" s="916"/>
      <c r="B437" s="1123"/>
      <c r="C437" s="1127"/>
      <c r="D437" s="1125"/>
      <c r="E437" s="1125"/>
      <c r="F437" s="1130"/>
      <c r="G437" s="95"/>
      <c r="H437" s="823"/>
      <c r="I437" s="1125"/>
      <c r="J437" s="1134"/>
      <c r="K437" s="1134"/>
      <c r="L437" s="916"/>
      <c r="M437" s="916"/>
    </row>
    <row r="438" spans="1:13" s="103" customFormat="1" ht="15.75" hidden="1" customHeight="1" outlineLevel="1">
      <c r="A438" s="916"/>
      <c r="B438" s="1124"/>
      <c r="C438" s="1128"/>
      <c r="D438" s="1126"/>
      <c r="E438" s="1126"/>
      <c r="F438" s="1132"/>
      <c r="G438" s="100"/>
      <c r="H438" s="824"/>
      <c r="I438" s="1126"/>
      <c r="J438" s="1135"/>
      <c r="K438" s="1135"/>
      <c r="L438" s="916"/>
      <c r="M438" s="916"/>
    </row>
    <row r="439" spans="1:13" s="103" customFormat="1" ht="15.75" hidden="1" customHeight="1" outlineLevel="1">
      <c r="A439" s="916"/>
      <c r="B439" s="1123">
        <v>143</v>
      </c>
      <c r="C439" s="1127"/>
      <c r="D439" s="1125"/>
      <c r="E439" s="1125" t="s">
        <v>18</v>
      </c>
      <c r="F439" s="1130" t="str">
        <f>VLOOKUP(E439,$N$13:$O$17,2,0)</f>
        <v>-</v>
      </c>
      <c r="G439" s="92"/>
      <c r="H439" s="823"/>
      <c r="I439" s="1125"/>
      <c r="J439" s="1133"/>
      <c r="K439" s="1133"/>
      <c r="L439" s="916"/>
      <c r="M439" s="916"/>
    </row>
    <row r="440" spans="1:13" s="103" customFormat="1" ht="15.75" hidden="1" customHeight="1" outlineLevel="1">
      <c r="A440" s="916"/>
      <c r="B440" s="1123"/>
      <c r="C440" s="1127"/>
      <c r="D440" s="1125"/>
      <c r="E440" s="1125"/>
      <c r="F440" s="1130"/>
      <c r="G440" s="95"/>
      <c r="H440" s="823"/>
      <c r="I440" s="1125"/>
      <c r="J440" s="1134"/>
      <c r="K440" s="1134"/>
      <c r="L440" s="916"/>
      <c r="M440" s="916"/>
    </row>
    <row r="441" spans="1:13" s="103" customFormat="1" ht="15.75" hidden="1" customHeight="1" outlineLevel="1">
      <c r="A441" s="916"/>
      <c r="B441" s="1124"/>
      <c r="C441" s="1128"/>
      <c r="D441" s="1126"/>
      <c r="E441" s="1126"/>
      <c r="F441" s="1132"/>
      <c r="G441" s="100"/>
      <c r="H441" s="824"/>
      <c r="I441" s="1126"/>
      <c r="J441" s="1135"/>
      <c r="K441" s="1135"/>
      <c r="L441" s="916"/>
      <c r="M441" s="916"/>
    </row>
    <row r="442" spans="1:13" s="103" customFormat="1" ht="15.75" hidden="1" customHeight="1" outlineLevel="1">
      <c r="A442" s="916"/>
      <c r="B442" s="1123">
        <v>144</v>
      </c>
      <c r="C442" s="1127"/>
      <c r="D442" s="1125"/>
      <c r="E442" s="1125" t="s">
        <v>18</v>
      </c>
      <c r="F442" s="1130" t="str">
        <f>VLOOKUP(E442,$N$13:$O$17,2,0)</f>
        <v>-</v>
      </c>
      <c r="G442" s="92"/>
      <c r="H442" s="823"/>
      <c r="I442" s="1125"/>
      <c r="J442" s="1133"/>
      <c r="K442" s="1133"/>
      <c r="L442" s="916"/>
      <c r="M442" s="916"/>
    </row>
    <row r="443" spans="1:13" s="103" customFormat="1" ht="15.75" hidden="1" customHeight="1" outlineLevel="1">
      <c r="A443" s="916"/>
      <c r="B443" s="1123"/>
      <c r="C443" s="1127"/>
      <c r="D443" s="1125"/>
      <c r="E443" s="1125"/>
      <c r="F443" s="1130"/>
      <c r="G443" s="95"/>
      <c r="H443" s="823"/>
      <c r="I443" s="1125"/>
      <c r="J443" s="1134"/>
      <c r="K443" s="1134"/>
      <c r="L443" s="916"/>
      <c r="M443" s="916"/>
    </row>
    <row r="444" spans="1:13" s="103" customFormat="1" ht="15.75" hidden="1" customHeight="1" outlineLevel="1">
      <c r="A444" s="916"/>
      <c r="B444" s="1124"/>
      <c r="C444" s="1128"/>
      <c r="D444" s="1126"/>
      <c r="E444" s="1126"/>
      <c r="F444" s="1132"/>
      <c r="G444" s="100"/>
      <c r="H444" s="824"/>
      <c r="I444" s="1126"/>
      <c r="J444" s="1135"/>
      <c r="K444" s="1135"/>
      <c r="L444" s="916"/>
      <c r="M444" s="916"/>
    </row>
    <row r="445" spans="1:13" s="103" customFormat="1" ht="15.75" hidden="1" customHeight="1" outlineLevel="1">
      <c r="A445" s="916"/>
      <c r="B445" s="1123">
        <v>145</v>
      </c>
      <c r="C445" s="1127"/>
      <c r="D445" s="1125"/>
      <c r="E445" s="1125" t="s">
        <v>18</v>
      </c>
      <c r="F445" s="1130" t="str">
        <f>VLOOKUP(E445,$N$13:$O$17,2,0)</f>
        <v>-</v>
      </c>
      <c r="G445" s="92"/>
      <c r="H445" s="823"/>
      <c r="I445" s="1125"/>
      <c r="J445" s="1133"/>
      <c r="K445" s="1133"/>
      <c r="L445" s="916"/>
      <c r="M445" s="916"/>
    </row>
    <row r="446" spans="1:13" s="103" customFormat="1" ht="15.75" hidden="1" customHeight="1" outlineLevel="1">
      <c r="A446" s="916"/>
      <c r="B446" s="1123"/>
      <c r="C446" s="1127"/>
      <c r="D446" s="1125"/>
      <c r="E446" s="1125"/>
      <c r="F446" s="1130"/>
      <c r="G446" s="95"/>
      <c r="H446" s="823"/>
      <c r="I446" s="1125"/>
      <c r="J446" s="1134"/>
      <c r="K446" s="1134"/>
      <c r="L446" s="916"/>
      <c r="M446" s="916"/>
    </row>
    <row r="447" spans="1:13" s="103" customFormat="1" ht="15.75" hidden="1" customHeight="1" outlineLevel="1">
      <c r="A447" s="916"/>
      <c r="B447" s="1124"/>
      <c r="C447" s="1128"/>
      <c r="D447" s="1126"/>
      <c r="E447" s="1126"/>
      <c r="F447" s="1132"/>
      <c r="G447" s="100"/>
      <c r="H447" s="824"/>
      <c r="I447" s="1126"/>
      <c r="J447" s="1135"/>
      <c r="K447" s="1135"/>
      <c r="L447" s="916"/>
      <c r="M447" s="916"/>
    </row>
    <row r="448" spans="1:13" s="103" customFormat="1" ht="15.75" hidden="1" customHeight="1" outlineLevel="1">
      <c r="A448" s="916"/>
      <c r="B448" s="1123">
        <v>146</v>
      </c>
      <c r="C448" s="1127"/>
      <c r="D448" s="1125"/>
      <c r="E448" s="1125" t="s">
        <v>18</v>
      </c>
      <c r="F448" s="1130" t="str">
        <f>VLOOKUP(E448,$N$13:$O$17,2,0)</f>
        <v>-</v>
      </c>
      <c r="G448" s="92"/>
      <c r="H448" s="823"/>
      <c r="I448" s="1125"/>
      <c r="J448" s="1133"/>
      <c r="K448" s="1133"/>
      <c r="L448" s="916"/>
      <c r="M448" s="916"/>
    </row>
    <row r="449" spans="1:13" s="103" customFormat="1" ht="15.75" hidden="1" customHeight="1" outlineLevel="1">
      <c r="A449" s="916"/>
      <c r="B449" s="1123"/>
      <c r="C449" s="1127"/>
      <c r="D449" s="1125"/>
      <c r="E449" s="1125"/>
      <c r="F449" s="1130"/>
      <c r="G449" s="95"/>
      <c r="H449" s="823"/>
      <c r="I449" s="1125"/>
      <c r="J449" s="1134"/>
      <c r="K449" s="1134"/>
      <c r="L449" s="916"/>
      <c r="M449" s="916"/>
    </row>
    <row r="450" spans="1:13" s="103" customFormat="1" ht="15.75" hidden="1" customHeight="1" outlineLevel="1">
      <c r="A450" s="916"/>
      <c r="B450" s="1124"/>
      <c r="C450" s="1128"/>
      <c r="D450" s="1126"/>
      <c r="E450" s="1126"/>
      <c r="F450" s="1132"/>
      <c r="G450" s="100"/>
      <c r="H450" s="824"/>
      <c r="I450" s="1126"/>
      <c r="J450" s="1135"/>
      <c r="K450" s="1135"/>
      <c r="L450" s="916"/>
      <c r="M450" s="916"/>
    </row>
    <row r="451" spans="1:13" s="103" customFormat="1" ht="15.75" hidden="1" customHeight="1" outlineLevel="1">
      <c r="A451" s="916"/>
      <c r="B451" s="1123">
        <v>147</v>
      </c>
      <c r="C451" s="1127"/>
      <c r="D451" s="1125"/>
      <c r="E451" s="1125" t="s">
        <v>18</v>
      </c>
      <c r="F451" s="1130" t="str">
        <f>VLOOKUP(E451,$N$13:$O$17,2,0)</f>
        <v>-</v>
      </c>
      <c r="G451" s="92"/>
      <c r="H451" s="823"/>
      <c r="I451" s="1125"/>
      <c r="J451" s="1133"/>
      <c r="K451" s="1133"/>
      <c r="L451" s="916"/>
      <c r="M451" s="916"/>
    </row>
    <row r="452" spans="1:13" s="103" customFormat="1" ht="15.75" hidden="1" customHeight="1" outlineLevel="1">
      <c r="A452" s="916"/>
      <c r="B452" s="1123"/>
      <c r="C452" s="1127"/>
      <c r="D452" s="1125"/>
      <c r="E452" s="1125"/>
      <c r="F452" s="1130"/>
      <c r="G452" s="95"/>
      <c r="H452" s="823"/>
      <c r="I452" s="1125"/>
      <c r="J452" s="1134"/>
      <c r="K452" s="1134"/>
      <c r="L452" s="916"/>
      <c r="M452" s="916"/>
    </row>
    <row r="453" spans="1:13" s="103" customFormat="1" ht="15.75" hidden="1" customHeight="1" outlineLevel="1">
      <c r="A453" s="916"/>
      <c r="B453" s="1124"/>
      <c r="C453" s="1128"/>
      <c r="D453" s="1126"/>
      <c r="E453" s="1126"/>
      <c r="F453" s="1132"/>
      <c r="G453" s="100"/>
      <c r="H453" s="824"/>
      <c r="I453" s="1126"/>
      <c r="J453" s="1135"/>
      <c r="K453" s="1135"/>
      <c r="L453" s="916"/>
      <c r="M453" s="916"/>
    </row>
    <row r="454" spans="1:13" s="103" customFormat="1" ht="15.75" hidden="1" customHeight="1" outlineLevel="1">
      <c r="A454" s="916"/>
      <c r="B454" s="1123">
        <v>148</v>
      </c>
      <c r="C454" s="1127"/>
      <c r="D454" s="1125"/>
      <c r="E454" s="1125" t="s">
        <v>18</v>
      </c>
      <c r="F454" s="1130" t="str">
        <f>VLOOKUP(E454,$N$13:$O$17,2,0)</f>
        <v>-</v>
      </c>
      <c r="G454" s="92"/>
      <c r="H454" s="823"/>
      <c r="I454" s="1125"/>
      <c r="J454" s="1133"/>
      <c r="K454" s="1133"/>
      <c r="L454" s="916"/>
      <c r="M454" s="916"/>
    </row>
    <row r="455" spans="1:13" s="103" customFormat="1" ht="15.75" hidden="1" customHeight="1" outlineLevel="1">
      <c r="A455" s="916"/>
      <c r="B455" s="1123"/>
      <c r="C455" s="1127"/>
      <c r="D455" s="1125"/>
      <c r="E455" s="1125"/>
      <c r="F455" s="1130"/>
      <c r="G455" s="95"/>
      <c r="H455" s="823"/>
      <c r="I455" s="1125"/>
      <c r="J455" s="1134"/>
      <c r="K455" s="1134"/>
      <c r="L455" s="916"/>
      <c r="M455" s="916"/>
    </row>
    <row r="456" spans="1:13" s="103" customFormat="1" ht="15.75" hidden="1" customHeight="1" outlineLevel="1">
      <c r="A456" s="916"/>
      <c r="B456" s="1124"/>
      <c r="C456" s="1128"/>
      <c r="D456" s="1126"/>
      <c r="E456" s="1126"/>
      <c r="F456" s="1132"/>
      <c r="G456" s="100"/>
      <c r="H456" s="824"/>
      <c r="I456" s="1126"/>
      <c r="J456" s="1135"/>
      <c r="K456" s="1135"/>
      <c r="L456" s="916"/>
      <c r="M456" s="916"/>
    </row>
    <row r="457" spans="1:13" s="103" customFormat="1" ht="15.75" hidden="1" customHeight="1" outlineLevel="1">
      <c r="A457" s="916"/>
      <c r="B457" s="1123">
        <v>149</v>
      </c>
      <c r="C457" s="1127"/>
      <c r="D457" s="1125"/>
      <c r="E457" s="1125" t="s">
        <v>18</v>
      </c>
      <c r="F457" s="1130" t="str">
        <f>VLOOKUP(E457,$N$13:$O$17,2,0)</f>
        <v>-</v>
      </c>
      <c r="G457" s="92"/>
      <c r="H457" s="823"/>
      <c r="I457" s="1125"/>
      <c r="J457" s="1133"/>
      <c r="K457" s="1133"/>
      <c r="L457" s="916"/>
      <c r="M457" s="916"/>
    </row>
    <row r="458" spans="1:13" s="103" customFormat="1" ht="15.75" hidden="1" customHeight="1" outlineLevel="1">
      <c r="A458" s="916"/>
      <c r="B458" s="1123"/>
      <c r="C458" s="1127"/>
      <c r="D458" s="1125"/>
      <c r="E458" s="1125"/>
      <c r="F458" s="1130"/>
      <c r="G458" s="95"/>
      <c r="H458" s="823"/>
      <c r="I458" s="1125"/>
      <c r="J458" s="1134"/>
      <c r="K458" s="1134"/>
      <c r="L458" s="916"/>
      <c r="M458" s="916"/>
    </row>
    <row r="459" spans="1:13" s="103" customFormat="1" ht="15.75" hidden="1" customHeight="1" outlineLevel="1">
      <c r="A459" s="916"/>
      <c r="B459" s="1124"/>
      <c r="C459" s="1128"/>
      <c r="D459" s="1126"/>
      <c r="E459" s="1126"/>
      <c r="F459" s="1132"/>
      <c r="G459" s="100"/>
      <c r="H459" s="824"/>
      <c r="I459" s="1126"/>
      <c r="J459" s="1135"/>
      <c r="K459" s="1135"/>
      <c r="L459" s="916"/>
      <c r="M459" s="916"/>
    </row>
    <row r="460" spans="1:13" s="103" customFormat="1" ht="15.75" hidden="1" customHeight="1" outlineLevel="1">
      <c r="A460" s="916"/>
      <c r="B460" s="1123">
        <v>150</v>
      </c>
      <c r="C460" s="1127"/>
      <c r="D460" s="1125"/>
      <c r="E460" s="1125" t="s">
        <v>18</v>
      </c>
      <c r="F460" s="1130" t="str">
        <f>VLOOKUP(E460,$N$13:$O$17,2,0)</f>
        <v>-</v>
      </c>
      <c r="G460" s="92"/>
      <c r="H460" s="823"/>
      <c r="I460" s="1125"/>
      <c r="J460" s="1133"/>
      <c r="K460" s="1133"/>
      <c r="L460" s="916"/>
      <c r="M460" s="916"/>
    </row>
    <row r="461" spans="1:13" s="103" customFormat="1" ht="15.75" hidden="1" customHeight="1" outlineLevel="1">
      <c r="A461" s="916"/>
      <c r="B461" s="1123"/>
      <c r="C461" s="1127"/>
      <c r="D461" s="1125"/>
      <c r="E461" s="1125"/>
      <c r="F461" s="1130"/>
      <c r="G461" s="95"/>
      <c r="H461" s="823"/>
      <c r="I461" s="1125"/>
      <c r="J461" s="1134"/>
      <c r="K461" s="1134"/>
      <c r="L461" s="916"/>
      <c r="M461" s="916"/>
    </row>
    <row r="462" spans="1:13" s="103" customFormat="1" ht="15.75" hidden="1" customHeight="1" outlineLevel="1">
      <c r="A462" s="916"/>
      <c r="B462" s="1124"/>
      <c r="C462" s="1128"/>
      <c r="D462" s="1126"/>
      <c r="E462" s="1126"/>
      <c r="F462" s="1132"/>
      <c r="G462" s="100"/>
      <c r="H462" s="824"/>
      <c r="I462" s="1126"/>
      <c r="J462" s="1135"/>
      <c r="K462" s="1135"/>
      <c r="L462" s="916"/>
      <c r="M462" s="916"/>
    </row>
    <row r="463" spans="1:13" s="103" customFormat="1" ht="15.75" hidden="1" customHeight="1" outlineLevel="1">
      <c r="A463" s="916"/>
      <c r="B463" s="1123">
        <v>151</v>
      </c>
      <c r="C463" s="1127"/>
      <c r="D463" s="1125"/>
      <c r="E463" s="1125" t="s">
        <v>18</v>
      </c>
      <c r="F463" s="1130" t="str">
        <f>VLOOKUP(E463,$N$13:$O$17,2,0)</f>
        <v>-</v>
      </c>
      <c r="G463" s="92"/>
      <c r="H463" s="823"/>
      <c r="I463" s="1125"/>
      <c r="J463" s="1133"/>
      <c r="K463" s="1133"/>
      <c r="L463" s="916"/>
      <c r="M463" s="916"/>
    </row>
    <row r="464" spans="1:13" s="103" customFormat="1" ht="15.75" hidden="1" customHeight="1" outlineLevel="1">
      <c r="A464" s="916"/>
      <c r="B464" s="1123"/>
      <c r="C464" s="1127"/>
      <c r="D464" s="1125"/>
      <c r="E464" s="1125"/>
      <c r="F464" s="1130"/>
      <c r="G464" s="95"/>
      <c r="H464" s="823"/>
      <c r="I464" s="1125"/>
      <c r="J464" s="1134"/>
      <c r="K464" s="1134"/>
      <c r="L464" s="916"/>
      <c r="M464" s="916"/>
    </row>
    <row r="465" spans="1:13" s="103" customFormat="1" ht="15.75" hidden="1" customHeight="1" outlineLevel="1">
      <c r="A465" s="916"/>
      <c r="B465" s="1124"/>
      <c r="C465" s="1128"/>
      <c r="D465" s="1126"/>
      <c r="E465" s="1126"/>
      <c r="F465" s="1132"/>
      <c r="G465" s="100"/>
      <c r="H465" s="824"/>
      <c r="I465" s="1126"/>
      <c r="J465" s="1135"/>
      <c r="K465" s="1135"/>
      <c r="L465" s="916"/>
      <c r="M465" s="916"/>
    </row>
    <row r="466" spans="1:13" s="103" customFormat="1" ht="15.75" hidden="1" customHeight="1" outlineLevel="1">
      <c r="A466" s="916"/>
      <c r="B466" s="1123">
        <v>152</v>
      </c>
      <c r="C466" s="1127"/>
      <c r="D466" s="1125"/>
      <c r="E466" s="1125" t="s">
        <v>18</v>
      </c>
      <c r="F466" s="1130" t="str">
        <f>VLOOKUP(E466,$N$13:$O$17,2,0)</f>
        <v>-</v>
      </c>
      <c r="G466" s="92"/>
      <c r="H466" s="823"/>
      <c r="I466" s="1125"/>
      <c r="J466" s="1133"/>
      <c r="K466" s="1133"/>
      <c r="L466" s="916"/>
      <c r="M466" s="916"/>
    </row>
    <row r="467" spans="1:13" s="103" customFormat="1" ht="15.75" hidden="1" customHeight="1" outlineLevel="1">
      <c r="A467" s="916"/>
      <c r="B467" s="1123"/>
      <c r="C467" s="1127"/>
      <c r="D467" s="1125"/>
      <c r="E467" s="1125"/>
      <c r="F467" s="1130"/>
      <c r="G467" s="95"/>
      <c r="H467" s="823"/>
      <c r="I467" s="1125"/>
      <c r="J467" s="1134"/>
      <c r="K467" s="1134"/>
      <c r="L467" s="916"/>
      <c r="M467" s="916"/>
    </row>
    <row r="468" spans="1:13" s="103" customFormat="1" ht="15.75" hidden="1" customHeight="1" outlineLevel="1">
      <c r="A468" s="916"/>
      <c r="B468" s="1124"/>
      <c r="C468" s="1128"/>
      <c r="D468" s="1126"/>
      <c r="E468" s="1126"/>
      <c r="F468" s="1132"/>
      <c r="G468" s="100"/>
      <c r="H468" s="824"/>
      <c r="I468" s="1126"/>
      <c r="J468" s="1135"/>
      <c r="K468" s="1135"/>
      <c r="L468" s="916"/>
      <c r="M468" s="916"/>
    </row>
    <row r="469" spans="1:13" s="103" customFormat="1" ht="15.75" hidden="1" customHeight="1" outlineLevel="1">
      <c r="A469" s="916"/>
      <c r="B469" s="1123">
        <v>153</v>
      </c>
      <c r="C469" s="1127"/>
      <c r="D469" s="1125"/>
      <c r="E469" s="1125" t="s">
        <v>18</v>
      </c>
      <c r="F469" s="1130" t="str">
        <f>VLOOKUP(E469,$N$13:$O$17,2,0)</f>
        <v>-</v>
      </c>
      <c r="G469" s="92"/>
      <c r="H469" s="823"/>
      <c r="I469" s="1125"/>
      <c r="J469" s="1133"/>
      <c r="K469" s="1133"/>
      <c r="L469" s="916"/>
      <c r="M469" s="916"/>
    </row>
    <row r="470" spans="1:13" s="103" customFormat="1" ht="15.75" hidden="1" customHeight="1" outlineLevel="1">
      <c r="A470" s="916"/>
      <c r="B470" s="1123"/>
      <c r="C470" s="1127"/>
      <c r="D470" s="1125"/>
      <c r="E470" s="1125"/>
      <c r="F470" s="1130"/>
      <c r="G470" s="95"/>
      <c r="H470" s="823"/>
      <c r="I470" s="1125"/>
      <c r="J470" s="1134"/>
      <c r="K470" s="1134"/>
      <c r="L470" s="916"/>
      <c r="M470" s="916"/>
    </row>
    <row r="471" spans="1:13" s="103" customFormat="1" ht="15.75" hidden="1" customHeight="1" outlineLevel="1">
      <c r="A471" s="916"/>
      <c r="B471" s="1124"/>
      <c r="C471" s="1128"/>
      <c r="D471" s="1126"/>
      <c r="E471" s="1126"/>
      <c r="F471" s="1132"/>
      <c r="G471" s="100"/>
      <c r="H471" s="824"/>
      <c r="I471" s="1126"/>
      <c r="J471" s="1135"/>
      <c r="K471" s="1135"/>
      <c r="L471" s="916"/>
      <c r="M471" s="916"/>
    </row>
    <row r="472" spans="1:13" s="103" customFormat="1" ht="15.75" hidden="1" customHeight="1" outlineLevel="1">
      <c r="A472" s="916"/>
      <c r="B472" s="1123">
        <v>154</v>
      </c>
      <c r="C472" s="1127"/>
      <c r="D472" s="1125"/>
      <c r="E472" s="1125" t="s">
        <v>18</v>
      </c>
      <c r="F472" s="1130" t="str">
        <f>VLOOKUP(E472,$N$13:$O$17,2,0)</f>
        <v>-</v>
      </c>
      <c r="G472" s="92"/>
      <c r="H472" s="823"/>
      <c r="I472" s="1125"/>
      <c r="J472" s="1133"/>
      <c r="K472" s="1133"/>
      <c r="L472" s="916"/>
      <c r="M472" s="916"/>
    </row>
    <row r="473" spans="1:13" s="103" customFormat="1" ht="15.75" hidden="1" customHeight="1" outlineLevel="1">
      <c r="A473" s="916"/>
      <c r="B473" s="1123"/>
      <c r="C473" s="1127"/>
      <c r="D473" s="1125"/>
      <c r="E473" s="1125"/>
      <c r="F473" s="1130"/>
      <c r="G473" s="95"/>
      <c r="H473" s="823"/>
      <c r="I473" s="1125"/>
      <c r="J473" s="1134"/>
      <c r="K473" s="1134"/>
      <c r="L473" s="916"/>
      <c r="M473" s="916"/>
    </row>
    <row r="474" spans="1:13" s="103" customFormat="1" ht="15.75" hidden="1" customHeight="1" outlineLevel="1">
      <c r="A474" s="916"/>
      <c r="B474" s="1124"/>
      <c r="C474" s="1128"/>
      <c r="D474" s="1126"/>
      <c r="E474" s="1126"/>
      <c r="F474" s="1132"/>
      <c r="G474" s="100"/>
      <c r="H474" s="824"/>
      <c r="I474" s="1126"/>
      <c r="J474" s="1135"/>
      <c r="K474" s="1135"/>
      <c r="L474" s="916"/>
      <c r="M474" s="916"/>
    </row>
    <row r="475" spans="1:13" s="103" customFormat="1" ht="15.75" hidden="1" customHeight="1" outlineLevel="1">
      <c r="A475" s="916"/>
      <c r="B475" s="1123">
        <v>155</v>
      </c>
      <c r="C475" s="1127"/>
      <c r="D475" s="1125"/>
      <c r="E475" s="1125" t="s">
        <v>18</v>
      </c>
      <c r="F475" s="1130" t="str">
        <f>VLOOKUP(E475,$N$13:$O$17,2,0)</f>
        <v>-</v>
      </c>
      <c r="G475" s="92"/>
      <c r="H475" s="823"/>
      <c r="I475" s="1125"/>
      <c r="J475" s="1133"/>
      <c r="K475" s="1133"/>
      <c r="L475" s="916"/>
      <c r="M475" s="916"/>
    </row>
    <row r="476" spans="1:13" s="103" customFormat="1" ht="15.75" hidden="1" customHeight="1" outlineLevel="1">
      <c r="A476" s="916"/>
      <c r="B476" s="1123"/>
      <c r="C476" s="1127"/>
      <c r="D476" s="1125"/>
      <c r="E476" s="1125"/>
      <c r="F476" s="1130"/>
      <c r="G476" s="95"/>
      <c r="H476" s="823"/>
      <c r="I476" s="1125"/>
      <c r="J476" s="1134"/>
      <c r="K476" s="1134"/>
      <c r="L476" s="916"/>
      <c r="M476" s="916"/>
    </row>
    <row r="477" spans="1:13" s="103" customFormat="1" ht="15.75" hidden="1" customHeight="1" outlineLevel="1">
      <c r="A477" s="916"/>
      <c r="B477" s="1124"/>
      <c r="C477" s="1128"/>
      <c r="D477" s="1126"/>
      <c r="E477" s="1126"/>
      <c r="F477" s="1132"/>
      <c r="G477" s="100"/>
      <c r="H477" s="824"/>
      <c r="I477" s="1126"/>
      <c r="J477" s="1135"/>
      <c r="K477" s="1135"/>
      <c r="L477" s="916"/>
      <c r="M477" s="916"/>
    </row>
    <row r="478" spans="1:13" s="103" customFormat="1" ht="15.75" hidden="1" customHeight="1" outlineLevel="1">
      <c r="A478" s="916"/>
      <c r="B478" s="1123">
        <v>156</v>
      </c>
      <c r="C478" s="1127"/>
      <c r="D478" s="1125"/>
      <c r="E478" s="1125" t="s">
        <v>18</v>
      </c>
      <c r="F478" s="1130" t="str">
        <f>VLOOKUP(E478,$N$13:$O$17,2,0)</f>
        <v>-</v>
      </c>
      <c r="G478" s="92"/>
      <c r="H478" s="823"/>
      <c r="I478" s="1125"/>
      <c r="J478" s="1133"/>
      <c r="K478" s="1133"/>
      <c r="L478" s="916"/>
      <c r="M478" s="916"/>
    </row>
    <row r="479" spans="1:13" s="103" customFormat="1" ht="15.75" hidden="1" customHeight="1" outlineLevel="1">
      <c r="A479" s="916"/>
      <c r="B479" s="1123"/>
      <c r="C479" s="1127"/>
      <c r="D479" s="1125"/>
      <c r="E479" s="1125"/>
      <c r="F479" s="1130"/>
      <c r="G479" s="95"/>
      <c r="H479" s="823"/>
      <c r="I479" s="1125"/>
      <c r="J479" s="1134"/>
      <c r="K479" s="1134"/>
      <c r="L479" s="916"/>
      <c r="M479" s="916"/>
    </row>
    <row r="480" spans="1:13" s="103" customFormat="1" ht="15.75" hidden="1" customHeight="1" outlineLevel="1">
      <c r="A480" s="916"/>
      <c r="B480" s="1124"/>
      <c r="C480" s="1128"/>
      <c r="D480" s="1126"/>
      <c r="E480" s="1126"/>
      <c r="F480" s="1132"/>
      <c r="G480" s="100"/>
      <c r="H480" s="824"/>
      <c r="I480" s="1126"/>
      <c r="J480" s="1135"/>
      <c r="K480" s="1135"/>
      <c r="L480" s="916"/>
      <c r="M480" s="916"/>
    </row>
    <row r="481" spans="1:13" s="103" customFormat="1" ht="15.75" hidden="1" customHeight="1" outlineLevel="1">
      <c r="A481" s="916"/>
      <c r="B481" s="1123">
        <v>157</v>
      </c>
      <c r="C481" s="1127"/>
      <c r="D481" s="1125"/>
      <c r="E481" s="1125" t="s">
        <v>18</v>
      </c>
      <c r="F481" s="1130" t="str">
        <f>VLOOKUP(E481,$N$13:$O$17,2,0)</f>
        <v>-</v>
      </c>
      <c r="G481" s="92"/>
      <c r="H481" s="823"/>
      <c r="I481" s="1125"/>
      <c r="J481" s="1133"/>
      <c r="K481" s="1133"/>
      <c r="L481" s="916"/>
      <c r="M481" s="916"/>
    </row>
    <row r="482" spans="1:13" s="103" customFormat="1" ht="15.75" hidden="1" customHeight="1" outlineLevel="1">
      <c r="A482" s="916"/>
      <c r="B482" s="1123"/>
      <c r="C482" s="1127"/>
      <c r="D482" s="1125"/>
      <c r="E482" s="1125"/>
      <c r="F482" s="1130"/>
      <c r="G482" s="95"/>
      <c r="H482" s="823"/>
      <c r="I482" s="1125"/>
      <c r="J482" s="1134"/>
      <c r="K482" s="1134"/>
      <c r="L482" s="916"/>
      <c r="M482" s="916"/>
    </row>
    <row r="483" spans="1:13" s="103" customFormat="1" ht="15.75" hidden="1" customHeight="1" outlineLevel="1">
      <c r="A483" s="916"/>
      <c r="B483" s="1124"/>
      <c r="C483" s="1128"/>
      <c r="D483" s="1126"/>
      <c r="E483" s="1126"/>
      <c r="F483" s="1132"/>
      <c r="G483" s="100"/>
      <c r="H483" s="824"/>
      <c r="I483" s="1126"/>
      <c r="J483" s="1135"/>
      <c r="K483" s="1135"/>
      <c r="L483" s="916"/>
      <c r="M483" s="916"/>
    </row>
    <row r="484" spans="1:13" s="103" customFormat="1" ht="15.75" hidden="1" customHeight="1" outlineLevel="1">
      <c r="A484" s="916"/>
      <c r="B484" s="1123">
        <v>158</v>
      </c>
      <c r="C484" s="1127"/>
      <c r="D484" s="1125"/>
      <c r="E484" s="1125" t="s">
        <v>18</v>
      </c>
      <c r="F484" s="1130" t="str">
        <f>VLOOKUP(E484,$N$13:$O$17,2,0)</f>
        <v>-</v>
      </c>
      <c r="G484" s="92"/>
      <c r="H484" s="823"/>
      <c r="I484" s="1125"/>
      <c r="J484" s="1133"/>
      <c r="K484" s="1133"/>
      <c r="L484" s="916"/>
      <c r="M484" s="916"/>
    </row>
    <row r="485" spans="1:13" s="103" customFormat="1" ht="15.75" hidden="1" customHeight="1" outlineLevel="1">
      <c r="A485" s="916"/>
      <c r="B485" s="1123"/>
      <c r="C485" s="1127"/>
      <c r="D485" s="1125"/>
      <c r="E485" s="1125"/>
      <c r="F485" s="1130"/>
      <c r="G485" s="95"/>
      <c r="H485" s="823"/>
      <c r="I485" s="1125"/>
      <c r="J485" s="1134"/>
      <c r="K485" s="1134"/>
      <c r="L485" s="916"/>
      <c r="M485" s="916"/>
    </row>
    <row r="486" spans="1:13" s="103" customFormat="1" ht="15.75" hidden="1" customHeight="1" outlineLevel="1">
      <c r="A486" s="916"/>
      <c r="B486" s="1124"/>
      <c r="C486" s="1128"/>
      <c r="D486" s="1126"/>
      <c r="E486" s="1126"/>
      <c r="F486" s="1132"/>
      <c r="G486" s="100"/>
      <c r="H486" s="824"/>
      <c r="I486" s="1126"/>
      <c r="J486" s="1135"/>
      <c r="K486" s="1135"/>
      <c r="L486" s="916"/>
      <c r="M486" s="916"/>
    </row>
    <row r="487" spans="1:13" s="103" customFormat="1" ht="15.75" hidden="1" customHeight="1" outlineLevel="1">
      <c r="A487" s="916"/>
      <c r="B487" s="1123">
        <v>159</v>
      </c>
      <c r="C487" s="1127"/>
      <c r="D487" s="1125"/>
      <c r="E487" s="1125" t="s">
        <v>18</v>
      </c>
      <c r="F487" s="1130" t="str">
        <f>VLOOKUP(E487,$N$13:$O$17,2,0)</f>
        <v>-</v>
      </c>
      <c r="G487" s="92"/>
      <c r="H487" s="823"/>
      <c r="I487" s="1125"/>
      <c r="J487" s="1133"/>
      <c r="K487" s="1133"/>
      <c r="L487" s="916"/>
      <c r="M487" s="916"/>
    </row>
    <row r="488" spans="1:13" s="103" customFormat="1" ht="15.75" hidden="1" customHeight="1" outlineLevel="1">
      <c r="A488" s="916"/>
      <c r="B488" s="1123"/>
      <c r="C488" s="1127"/>
      <c r="D488" s="1125"/>
      <c r="E488" s="1125"/>
      <c r="F488" s="1130"/>
      <c r="G488" s="95"/>
      <c r="H488" s="823"/>
      <c r="I488" s="1125"/>
      <c r="J488" s="1134"/>
      <c r="K488" s="1134"/>
      <c r="L488" s="916"/>
      <c r="M488" s="916"/>
    </row>
    <row r="489" spans="1:13" s="103" customFormat="1" ht="15.75" hidden="1" customHeight="1" outlineLevel="1">
      <c r="A489" s="916"/>
      <c r="B489" s="1124"/>
      <c r="C489" s="1128"/>
      <c r="D489" s="1126"/>
      <c r="E489" s="1126"/>
      <c r="F489" s="1132"/>
      <c r="G489" s="100"/>
      <c r="H489" s="824"/>
      <c r="I489" s="1126"/>
      <c r="J489" s="1135"/>
      <c r="K489" s="1135"/>
      <c r="L489" s="916"/>
      <c r="M489" s="916"/>
    </row>
    <row r="490" spans="1:13" s="103" customFormat="1" ht="15.75" hidden="1" customHeight="1" outlineLevel="1">
      <c r="A490" s="916"/>
      <c r="B490" s="1123">
        <v>160</v>
      </c>
      <c r="C490" s="1127"/>
      <c r="D490" s="1125"/>
      <c r="E490" s="1125" t="s">
        <v>18</v>
      </c>
      <c r="F490" s="1130" t="str">
        <f>VLOOKUP(E490,$N$13:$O$17,2,0)</f>
        <v>-</v>
      </c>
      <c r="G490" s="92"/>
      <c r="H490" s="823"/>
      <c r="I490" s="1125"/>
      <c r="J490" s="1133"/>
      <c r="K490" s="1133"/>
      <c r="L490" s="916"/>
      <c r="M490" s="916"/>
    </row>
    <row r="491" spans="1:13" s="103" customFormat="1" ht="15.75" hidden="1" customHeight="1" outlineLevel="1">
      <c r="A491" s="916"/>
      <c r="B491" s="1123"/>
      <c r="C491" s="1127"/>
      <c r="D491" s="1125"/>
      <c r="E491" s="1125"/>
      <c r="F491" s="1130"/>
      <c r="G491" s="95"/>
      <c r="H491" s="823"/>
      <c r="I491" s="1125"/>
      <c r="J491" s="1134"/>
      <c r="K491" s="1134"/>
      <c r="L491" s="916"/>
      <c r="M491" s="916"/>
    </row>
    <row r="492" spans="1:13" s="103" customFormat="1" ht="15.75" hidden="1" customHeight="1" outlineLevel="1">
      <c r="A492" s="916"/>
      <c r="B492" s="1124"/>
      <c r="C492" s="1128"/>
      <c r="D492" s="1126"/>
      <c r="E492" s="1126"/>
      <c r="F492" s="1132"/>
      <c r="G492" s="100"/>
      <c r="H492" s="824"/>
      <c r="I492" s="1126"/>
      <c r="J492" s="1135"/>
      <c r="K492" s="1135"/>
      <c r="L492" s="916"/>
      <c r="M492" s="916"/>
    </row>
    <row r="493" spans="1:13" s="103" customFormat="1" ht="15.75" hidden="1" customHeight="1" outlineLevel="1">
      <c r="A493" s="916"/>
      <c r="B493" s="1123">
        <v>161</v>
      </c>
      <c r="C493" s="1127"/>
      <c r="D493" s="1125"/>
      <c r="E493" s="1125" t="s">
        <v>18</v>
      </c>
      <c r="F493" s="1130" t="str">
        <f>VLOOKUP(E493,$N$13:$O$17,2,0)</f>
        <v>-</v>
      </c>
      <c r="G493" s="92"/>
      <c r="H493" s="823"/>
      <c r="I493" s="1125"/>
      <c r="J493" s="1133"/>
      <c r="K493" s="1133"/>
      <c r="L493" s="916"/>
      <c r="M493" s="916"/>
    </row>
    <row r="494" spans="1:13" s="103" customFormat="1" ht="15.75" hidden="1" customHeight="1" outlineLevel="1">
      <c r="A494" s="916"/>
      <c r="B494" s="1123"/>
      <c r="C494" s="1127"/>
      <c r="D494" s="1125"/>
      <c r="E494" s="1125"/>
      <c r="F494" s="1130"/>
      <c r="G494" s="95"/>
      <c r="H494" s="823"/>
      <c r="I494" s="1125"/>
      <c r="J494" s="1134"/>
      <c r="K494" s="1134"/>
      <c r="L494" s="916"/>
      <c r="M494" s="916"/>
    </row>
    <row r="495" spans="1:13" s="103" customFormat="1" ht="15.75" hidden="1" customHeight="1" outlineLevel="1">
      <c r="A495" s="916"/>
      <c r="B495" s="1124"/>
      <c r="C495" s="1128"/>
      <c r="D495" s="1126"/>
      <c r="E495" s="1126"/>
      <c r="F495" s="1132"/>
      <c r="G495" s="100"/>
      <c r="H495" s="824"/>
      <c r="I495" s="1126"/>
      <c r="J495" s="1135"/>
      <c r="K495" s="1135"/>
      <c r="L495" s="916"/>
      <c r="M495" s="916"/>
    </row>
    <row r="496" spans="1:13" s="103" customFormat="1" ht="15.75" hidden="1" customHeight="1" outlineLevel="1">
      <c r="A496" s="916"/>
      <c r="B496" s="1123">
        <v>162</v>
      </c>
      <c r="C496" s="1127"/>
      <c r="D496" s="1125"/>
      <c r="E496" s="1125" t="s">
        <v>18</v>
      </c>
      <c r="F496" s="1130" t="str">
        <f>VLOOKUP(E496,$N$13:$O$17,2,0)</f>
        <v>-</v>
      </c>
      <c r="G496" s="92"/>
      <c r="H496" s="823"/>
      <c r="I496" s="1125"/>
      <c r="J496" s="1133"/>
      <c r="K496" s="1133"/>
      <c r="L496" s="916"/>
      <c r="M496" s="916"/>
    </row>
    <row r="497" spans="1:13" s="103" customFormat="1" ht="15.75" hidden="1" customHeight="1" outlineLevel="1">
      <c r="A497" s="916"/>
      <c r="B497" s="1123"/>
      <c r="C497" s="1127"/>
      <c r="D497" s="1125"/>
      <c r="E497" s="1125"/>
      <c r="F497" s="1130"/>
      <c r="G497" s="95"/>
      <c r="H497" s="823"/>
      <c r="I497" s="1125"/>
      <c r="J497" s="1134"/>
      <c r="K497" s="1134"/>
      <c r="L497" s="916"/>
      <c r="M497" s="916"/>
    </row>
    <row r="498" spans="1:13" s="103" customFormat="1" ht="15.75" hidden="1" customHeight="1" outlineLevel="1">
      <c r="A498" s="916"/>
      <c r="B498" s="1124"/>
      <c r="C498" s="1128"/>
      <c r="D498" s="1126"/>
      <c r="E498" s="1126"/>
      <c r="F498" s="1132"/>
      <c r="G498" s="100"/>
      <c r="H498" s="824"/>
      <c r="I498" s="1126"/>
      <c r="J498" s="1135"/>
      <c r="K498" s="1135"/>
      <c r="L498" s="916"/>
      <c r="M498" s="916"/>
    </row>
    <row r="499" spans="1:13" s="103" customFormat="1" ht="15.75" hidden="1" customHeight="1" outlineLevel="1">
      <c r="A499" s="916"/>
      <c r="B499" s="1123">
        <v>163</v>
      </c>
      <c r="C499" s="1127"/>
      <c r="D499" s="1125"/>
      <c r="E499" s="1125" t="s">
        <v>18</v>
      </c>
      <c r="F499" s="1130" t="str">
        <f>VLOOKUP(E499,$N$13:$O$17,2,0)</f>
        <v>-</v>
      </c>
      <c r="G499" s="92"/>
      <c r="H499" s="823"/>
      <c r="I499" s="1125"/>
      <c r="J499" s="1133"/>
      <c r="K499" s="1133"/>
      <c r="L499" s="916"/>
      <c r="M499" s="916"/>
    </row>
    <row r="500" spans="1:13" s="103" customFormat="1" ht="15.75" hidden="1" customHeight="1" outlineLevel="1">
      <c r="A500" s="916"/>
      <c r="B500" s="1123"/>
      <c r="C500" s="1127"/>
      <c r="D500" s="1125"/>
      <c r="E500" s="1125"/>
      <c r="F500" s="1130"/>
      <c r="G500" s="95"/>
      <c r="H500" s="823"/>
      <c r="I500" s="1125"/>
      <c r="J500" s="1134"/>
      <c r="K500" s="1134"/>
      <c r="L500" s="916"/>
      <c r="M500" s="916"/>
    </row>
    <row r="501" spans="1:13" s="103" customFormat="1" ht="15.75" hidden="1" customHeight="1" outlineLevel="1">
      <c r="A501" s="916"/>
      <c r="B501" s="1124"/>
      <c r="C501" s="1128"/>
      <c r="D501" s="1126"/>
      <c r="E501" s="1126"/>
      <c r="F501" s="1132"/>
      <c r="G501" s="100"/>
      <c r="H501" s="824"/>
      <c r="I501" s="1126"/>
      <c r="J501" s="1135"/>
      <c r="K501" s="1135"/>
      <c r="L501" s="916"/>
      <c r="M501" s="916"/>
    </row>
    <row r="502" spans="1:13" s="103" customFormat="1" ht="15.75" hidden="1" customHeight="1" outlineLevel="1">
      <c r="A502" s="916"/>
      <c r="B502" s="1123">
        <v>164</v>
      </c>
      <c r="C502" s="1127"/>
      <c r="D502" s="1125"/>
      <c r="E502" s="1125" t="s">
        <v>18</v>
      </c>
      <c r="F502" s="1130" t="str">
        <f>VLOOKUP(E502,$N$13:$O$17,2,0)</f>
        <v>-</v>
      </c>
      <c r="G502" s="92"/>
      <c r="H502" s="823"/>
      <c r="I502" s="1125"/>
      <c r="J502" s="1133"/>
      <c r="K502" s="1133"/>
      <c r="L502" s="916"/>
      <c r="M502" s="916"/>
    </row>
    <row r="503" spans="1:13" s="103" customFormat="1" ht="15.75" hidden="1" customHeight="1" outlineLevel="1">
      <c r="A503" s="916"/>
      <c r="B503" s="1123"/>
      <c r="C503" s="1127"/>
      <c r="D503" s="1125"/>
      <c r="E503" s="1125"/>
      <c r="F503" s="1130"/>
      <c r="G503" s="95"/>
      <c r="H503" s="823"/>
      <c r="I503" s="1125"/>
      <c r="J503" s="1134"/>
      <c r="K503" s="1134"/>
      <c r="L503" s="916"/>
      <c r="M503" s="916"/>
    </row>
    <row r="504" spans="1:13" s="103" customFormat="1" ht="15.75" hidden="1" customHeight="1" outlineLevel="1">
      <c r="A504" s="916"/>
      <c r="B504" s="1124"/>
      <c r="C504" s="1128"/>
      <c r="D504" s="1126"/>
      <c r="E504" s="1126"/>
      <c r="F504" s="1132"/>
      <c r="G504" s="100"/>
      <c r="H504" s="824"/>
      <c r="I504" s="1126"/>
      <c r="J504" s="1135"/>
      <c r="K504" s="1135"/>
      <c r="L504" s="916"/>
      <c r="M504" s="916"/>
    </row>
    <row r="505" spans="1:13" s="103" customFormat="1" ht="15.75" hidden="1" customHeight="1" outlineLevel="1">
      <c r="A505" s="916"/>
      <c r="B505" s="1123">
        <v>165</v>
      </c>
      <c r="C505" s="1127"/>
      <c r="D505" s="1125"/>
      <c r="E505" s="1125" t="s">
        <v>18</v>
      </c>
      <c r="F505" s="1130" t="str">
        <f>VLOOKUP(E505,$N$13:$O$17,2,0)</f>
        <v>-</v>
      </c>
      <c r="G505" s="92"/>
      <c r="H505" s="823"/>
      <c r="I505" s="1125"/>
      <c r="J505" s="1133"/>
      <c r="K505" s="1133"/>
      <c r="L505" s="916"/>
      <c r="M505" s="916"/>
    </row>
    <row r="506" spans="1:13" s="103" customFormat="1" ht="15.75" hidden="1" customHeight="1" outlineLevel="1">
      <c r="A506" s="916"/>
      <c r="B506" s="1123"/>
      <c r="C506" s="1127"/>
      <c r="D506" s="1125"/>
      <c r="E506" s="1125"/>
      <c r="F506" s="1130"/>
      <c r="G506" s="95"/>
      <c r="H506" s="823"/>
      <c r="I506" s="1125"/>
      <c r="J506" s="1134"/>
      <c r="K506" s="1134"/>
      <c r="L506" s="916"/>
      <c r="M506" s="916"/>
    </row>
    <row r="507" spans="1:13" s="103" customFormat="1" ht="15.75" hidden="1" customHeight="1" outlineLevel="1">
      <c r="A507" s="916"/>
      <c r="B507" s="1124"/>
      <c r="C507" s="1128"/>
      <c r="D507" s="1126"/>
      <c r="E507" s="1126"/>
      <c r="F507" s="1132"/>
      <c r="G507" s="100"/>
      <c r="H507" s="824"/>
      <c r="I507" s="1126"/>
      <c r="J507" s="1135"/>
      <c r="K507" s="1135"/>
      <c r="L507" s="916"/>
      <c r="M507" s="916"/>
    </row>
    <row r="508" spans="1:13" s="103" customFormat="1" ht="15.75" hidden="1" customHeight="1" outlineLevel="1">
      <c r="A508" s="916"/>
      <c r="B508" s="1123">
        <v>166</v>
      </c>
      <c r="C508" s="1127"/>
      <c r="D508" s="1125"/>
      <c r="E508" s="1125" t="s">
        <v>18</v>
      </c>
      <c r="F508" s="1130" t="str">
        <f>VLOOKUP(E508,$N$13:$O$17,2,0)</f>
        <v>-</v>
      </c>
      <c r="G508" s="92"/>
      <c r="H508" s="823"/>
      <c r="I508" s="1125"/>
      <c r="J508" s="1133"/>
      <c r="K508" s="1133"/>
      <c r="L508" s="916"/>
      <c r="M508" s="916"/>
    </row>
    <row r="509" spans="1:13" s="103" customFormat="1" ht="15.75" hidden="1" customHeight="1" outlineLevel="1">
      <c r="A509" s="916"/>
      <c r="B509" s="1123"/>
      <c r="C509" s="1127"/>
      <c r="D509" s="1125"/>
      <c r="E509" s="1125"/>
      <c r="F509" s="1130"/>
      <c r="G509" s="95"/>
      <c r="H509" s="823"/>
      <c r="I509" s="1125"/>
      <c r="J509" s="1134"/>
      <c r="K509" s="1134"/>
      <c r="L509" s="916"/>
      <c r="M509" s="916"/>
    </row>
    <row r="510" spans="1:13" s="103" customFormat="1" ht="15.75" hidden="1" customHeight="1" outlineLevel="1">
      <c r="A510" s="916"/>
      <c r="B510" s="1124"/>
      <c r="C510" s="1128"/>
      <c r="D510" s="1126"/>
      <c r="E510" s="1126"/>
      <c r="F510" s="1132"/>
      <c r="G510" s="100"/>
      <c r="H510" s="824"/>
      <c r="I510" s="1126"/>
      <c r="J510" s="1135"/>
      <c r="K510" s="1135"/>
      <c r="L510" s="916"/>
      <c r="M510" s="916"/>
    </row>
    <row r="511" spans="1:13" s="103" customFormat="1" ht="15.75" hidden="1" customHeight="1" outlineLevel="1">
      <c r="A511" s="916"/>
      <c r="B511" s="1123">
        <v>167</v>
      </c>
      <c r="C511" s="1127"/>
      <c r="D511" s="1125"/>
      <c r="E511" s="1125" t="s">
        <v>18</v>
      </c>
      <c r="F511" s="1130" t="str">
        <f>VLOOKUP(E511,$N$13:$O$17,2,0)</f>
        <v>-</v>
      </c>
      <c r="G511" s="92"/>
      <c r="H511" s="823"/>
      <c r="I511" s="1125"/>
      <c r="J511" s="1133"/>
      <c r="K511" s="1133"/>
      <c r="L511" s="916"/>
      <c r="M511" s="916"/>
    </row>
    <row r="512" spans="1:13" s="103" customFormat="1" ht="15.75" hidden="1" customHeight="1" outlineLevel="1">
      <c r="A512" s="916"/>
      <c r="B512" s="1123"/>
      <c r="C512" s="1127"/>
      <c r="D512" s="1125"/>
      <c r="E512" s="1125"/>
      <c r="F512" s="1130"/>
      <c r="G512" s="95"/>
      <c r="H512" s="823"/>
      <c r="I512" s="1125"/>
      <c r="J512" s="1134"/>
      <c r="K512" s="1134"/>
      <c r="L512" s="916"/>
      <c r="M512" s="916"/>
    </row>
    <row r="513" spans="1:13" s="103" customFormat="1" ht="15.75" hidden="1" customHeight="1" outlineLevel="1">
      <c r="A513" s="916"/>
      <c r="B513" s="1124"/>
      <c r="C513" s="1128"/>
      <c r="D513" s="1126"/>
      <c r="E513" s="1126"/>
      <c r="F513" s="1132"/>
      <c r="G513" s="100"/>
      <c r="H513" s="824"/>
      <c r="I513" s="1126"/>
      <c r="J513" s="1135"/>
      <c r="K513" s="1135"/>
      <c r="L513" s="916"/>
      <c r="M513" s="916"/>
    </row>
    <row r="514" spans="1:13" s="103" customFormat="1" ht="15.75" hidden="1" customHeight="1" outlineLevel="1">
      <c r="A514" s="916"/>
      <c r="B514" s="1123">
        <v>168</v>
      </c>
      <c r="C514" s="1127"/>
      <c r="D514" s="1125"/>
      <c r="E514" s="1125" t="s">
        <v>18</v>
      </c>
      <c r="F514" s="1130" t="str">
        <f>VLOOKUP(E514,$N$13:$O$17,2,0)</f>
        <v>-</v>
      </c>
      <c r="G514" s="92"/>
      <c r="H514" s="823"/>
      <c r="I514" s="1125"/>
      <c r="J514" s="1133"/>
      <c r="K514" s="1133"/>
      <c r="L514" s="916"/>
      <c r="M514" s="916"/>
    </row>
    <row r="515" spans="1:13" s="103" customFormat="1" ht="15.75" hidden="1" customHeight="1" outlineLevel="1">
      <c r="A515" s="916"/>
      <c r="B515" s="1123"/>
      <c r="C515" s="1127"/>
      <c r="D515" s="1125"/>
      <c r="E515" s="1125"/>
      <c r="F515" s="1130"/>
      <c r="G515" s="95"/>
      <c r="H515" s="823"/>
      <c r="I515" s="1125"/>
      <c r="J515" s="1134"/>
      <c r="K515" s="1134"/>
      <c r="L515" s="916"/>
      <c r="M515" s="916"/>
    </row>
    <row r="516" spans="1:13" s="103" customFormat="1" ht="15.75" hidden="1" customHeight="1" outlineLevel="1">
      <c r="A516" s="916"/>
      <c r="B516" s="1124"/>
      <c r="C516" s="1128"/>
      <c r="D516" s="1126"/>
      <c r="E516" s="1126"/>
      <c r="F516" s="1132"/>
      <c r="G516" s="100"/>
      <c r="H516" s="824"/>
      <c r="I516" s="1126"/>
      <c r="J516" s="1135"/>
      <c r="K516" s="1135"/>
      <c r="L516" s="916"/>
      <c r="M516" s="916"/>
    </row>
    <row r="517" spans="1:13" s="103" customFormat="1" ht="15.75" hidden="1" customHeight="1" outlineLevel="1">
      <c r="A517" s="916"/>
      <c r="B517" s="1123">
        <v>169</v>
      </c>
      <c r="C517" s="1127"/>
      <c r="D517" s="1125"/>
      <c r="E517" s="1125" t="s">
        <v>18</v>
      </c>
      <c r="F517" s="1130" t="str">
        <f>VLOOKUP(E517,$N$13:$O$17,2,0)</f>
        <v>-</v>
      </c>
      <c r="G517" s="92"/>
      <c r="H517" s="823"/>
      <c r="I517" s="1125"/>
      <c r="J517" s="1133"/>
      <c r="K517" s="1133"/>
      <c r="L517" s="916"/>
      <c r="M517" s="916"/>
    </row>
    <row r="518" spans="1:13" s="103" customFormat="1" ht="15.75" hidden="1" customHeight="1" outlineLevel="1">
      <c r="A518" s="916"/>
      <c r="B518" s="1123"/>
      <c r="C518" s="1127"/>
      <c r="D518" s="1125"/>
      <c r="E518" s="1125"/>
      <c r="F518" s="1130"/>
      <c r="G518" s="95"/>
      <c r="H518" s="823"/>
      <c r="I518" s="1125"/>
      <c r="J518" s="1134"/>
      <c r="K518" s="1134"/>
      <c r="L518" s="916"/>
      <c r="M518" s="916"/>
    </row>
    <row r="519" spans="1:13" s="103" customFormat="1" ht="15.75" hidden="1" customHeight="1" outlineLevel="1">
      <c r="A519" s="916"/>
      <c r="B519" s="1124"/>
      <c r="C519" s="1128"/>
      <c r="D519" s="1126"/>
      <c r="E519" s="1126"/>
      <c r="F519" s="1132"/>
      <c r="G519" s="100"/>
      <c r="H519" s="824"/>
      <c r="I519" s="1126"/>
      <c r="J519" s="1135"/>
      <c r="K519" s="1135"/>
      <c r="L519" s="916"/>
      <c r="M519" s="916"/>
    </row>
    <row r="520" spans="1:13" s="103" customFormat="1" ht="15.75" hidden="1" customHeight="1" outlineLevel="1">
      <c r="A520" s="916"/>
      <c r="B520" s="1123">
        <v>170</v>
      </c>
      <c r="C520" s="1127"/>
      <c r="D520" s="1125"/>
      <c r="E520" s="1125" t="s">
        <v>18</v>
      </c>
      <c r="F520" s="1130" t="str">
        <f>VLOOKUP(E520,$N$13:$O$17,2,0)</f>
        <v>-</v>
      </c>
      <c r="G520" s="92"/>
      <c r="H520" s="823"/>
      <c r="I520" s="1125"/>
      <c r="J520" s="1133"/>
      <c r="K520" s="1133"/>
      <c r="L520" s="916"/>
      <c r="M520" s="916"/>
    </row>
    <row r="521" spans="1:13" s="103" customFormat="1" ht="15.75" hidden="1" customHeight="1" outlineLevel="1">
      <c r="A521" s="916"/>
      <c r="B521" s="1123"/>
      <c r="C521" s="1127"/>
      <c r="D521" s="1125"/>
      <c r="E521" s="1125"/>
      <c r="F521" s="1130"/>
      <c r="G521" s="95"/>
      <c r="H521" s="823"/>
      <c r="I521" s="1125"/>
      <c r="J521" s="1134"/>
      <c r="K521" s="1134"/>
      <c r="L521" s="916"/>
      <c r="M521" s="916"/>
    </row>
    <row r="522" spans="1:13" s="103" customFormat="1" ht="15.75" hidden="1" customHeight="1" outlineLevel="1">
      <c r="A522" s="916"/>
      <c r="B522" s="1124"/>
      <c r="C522" s="1128"/>
      <c r="D522" s="1126"/>
      <c r="E522" s="1126"/>
      <c r="F522" s="1132"/>
      <c r="G522" s="100"/>
      <c r="H522" s="824"/>
      <c r="I522" s="1126"/>
      <c r="J522" s="1135"/>
      <c r="K522" s="1135"/>
      <c r="L522" s="916"/>
      <c r="M522" s="916"/>
    </row>
    <row r="523" spans="1:13" s="103" customFormat="1" ht="15.75" hidden="1" customHeight="1" outlineLevel="1">
      <c r="A523" s="916"/>
      <c r="B523" s="1123">
        <v>171</v>
      </c>
      <c r="C523" s="1127"/>
      <c r="D523" s="1125"/>
      <c r="E523" s="1125" t="s">
        <v>18</v>
      </c>
      <c r="F523" s="1130" t="str">
        <f>VLOOKUP(E523,$N$13:$O$17,2,0)</f>
        <v>-</v>
      </c>
      <c r="G523" s="92"/>
      <c r="H523" s="823"/>
      <c r="I523" s="1125"/>
      <c r="J523" s="1133"/>
      <c r="K523" s="1133"/>
      <c r="L523" s="916"/>
      <c r="M523" s="916"/>
    </row>
    <row r="524" spans="1:13" s="103" customFormat="1" ht="15.75" hidden="1" customHeight="1" outlineLevel="1">
      <c r="A524" s="916"/>
      <c r="B524" s="1123"/>
      <c r="C524" s="1127"/>
      <c r="D524" s="1125"/>
      <c r="E524" s="1125"/>
      <c r="F524" s="1130"/>
      <c r="G524" s="95"/>
      <c r="H524" s="823"/>
      <c r="I524" s="1125"/>
      <c r="J524" s="1134"/>
      <c r="K524" s="1134"/>
      <c r="L524" s="916"/>
      <c r="M524" s="916"/>
    </row>
    <row r="525" spans="1:13" s="103" customFormat="1" ht="15.75" hidden="1" customHeight="1" outlineLevel="1">
      <c r="A525" s="916"/>
      <c r="B525" s="1124"/>
      <c r="C525" s="1128"/>
      <c r="D525" s="1126"/>
      <c r="E525" s="1126"/>
      <c r="F525" s="1132"/>
      <c r="G525" s="100"/>
      <c r="H525" s="824"/>
      <c r="I525" s="1126"/>
      <c r="J525" s="1135"/>
      <c r="K525" s="1135"/>
      <c r="L525" s="916"/>
      <c r="M525" s="916"/>
    </row>
    <row r="526" spans="1:13" s="103" customFormat="1" ht="15.75" hidden="1" customHeight="1" outlineLevel="1">
      <c r="A526" s="916"/>
      <c r="B526" s="1123">
        <v>172</v>
      </c>
      <c r="C526" s="1127"/>
      <c r="D526" s="1125"/>
      <c r="E526" s="1125" t="s">
        <v>18</v>
      </c>
      <c r="F526" s="1130" t="str">
        <f>VLOOKUP(E526,$N$13:$O$17,2,0)</f>
        <v>-</v>
      </c>
      <c r="G526" s="92"/>
      <c r="H526" s="823"/>
      <c r="I526" s="1125"/>
      <c r="J526" s="1133"/>
      <c r="K526" s="1133"/>
      <c r="L526" s="916"/>
      <c r="M526" s="916"/>
    </row>
    <row r="527" spans="1:13" s="103" customFormat="1" ht="15.75" hidden="1" customHeight="1" outlineLevel="1">
      <c r="A527" s="916"/>
      <c r="B527" s="1123"/>
      <c r="C527" s="1127"/>
      <c r="D527" s="1125"/>
      <c r="E527" s="1125"/>
      <c r="F527" s="1130"/>
      <c r="G527" s="95"/>
      <c r="H527" s="823"/>
      <c r="I527" s="1125"/>
      <c r="J527" s="1134"/>
      <c r="K527" s="1134"/>
      <c r="L527" s="916"/>
      <c r="M527" s="916"/>
    </row>
    <row r="528" spans="1:13" s="103" customFormat="1" ht="15.75" hidden="1" customHeight="1" outlineLevel="1">
      <c r="A528" s="916"/>
      <c r="B528" s="1124"/>
      <c r="C528" s="1128"/>
      <c r="D528" s="1126"/>
      <c r="E528" s="1126"/>
      <c r="F528" s="1132"/>
      <c r="G528" s="100"/>
      <c r="H528" s="824"/>
      <c r="I528" s="1126"/>
      <c r="J528" s="1135"/>
      <c r="K528" s="1135"/>
      <c r="L528" s="916"/>
      <c r="M528" s="916"/>
    </row>
    <row r="529" spans="1:13" s="103" customFormat="1" ht="15.75" hidden="1" customHeight="1" outlineLevel="1">
      <c r="A529" s="916"/>
      <c r="B529" s="1123">
        <v>173</v>
      </c>
      <c r="C529" s="1127"/>
      <c r="D529" s="1125"/>
      <c r="E529" s="1125" t="s">
        <v>18</v>
      </c>
      <c r="F529" s="1130" t="str">
        <f>VLOOKUP(E529,$N$13:$O$17,2,0)</f>
        <v>-</v>
      </c>
      <c r="G529" s="92"/>
      <c r="H529" s="823"/>
      <c r="I529" s="1125"/>
      <c r="J529" s="1133"/>
      <c r="K529" s="1133"/>
      <c r="L529" s="916"/>
      <c r="M529" s="916"/>
    </row>
    <row r="530" spans="1:13" s="103" customFormat="1" ht="15.75" hidden="1" customHeight="1" outlineLevel="1">
      <c r="A530" s="916"/>
      <c r="B530" s="1123"/>
      <c r="C530" s="1127"/>
      <c r="D530" s="1125"/>
      <c r="E530" s="1125"/>
      <c r="F530" s="1130"/>
      <c r="G530" s="95"/>
      <c r="H530" s="823"/>
      <c r="I530" s="1125"/>
      <c r="J530" s="1134"/>
      <c r="K530" s="1134"/>
      <c r="L530" s="916"/>
      <c r="M530" s="916"/>
    </row>
    <row r="531" spans="1:13" s="103" customFormat="1" ht="15.75" hidden="1" customHeight="1" outlineLevel="1">
      <c r="A531" s="916"/>
      <c r="B531" s="1124"/>
      <c r="C531" s="1128"/>
      <c r="D531" s="1126"/>
      <c r="E531" s="1126"/>
      <c r="F531" s="1132"/>
      <c r="G531" s="100"/>
      <c r="H531" s="824"/>
      <c r="I531" s="1126"/>
      <c r="J531" s="1135"/>
      <c r="K531" s="1135"/>
      <c r="L531" s="916"/>
      <c r="M531" s="916"/>
    </row>
    <row r="532" spans="1:13" s="103" customFormat="1" ht="15.75" hidden="1" customHeight="1" outlineLevel="1">
      <c r="A532" s="916"/>
      <c r="B532" s="1123">
        <v>174</v>
      </c>
      <c r="C532" s="1127"/>
      <c r="D532" s="1125"/>
      <c r="E532" s="1125" t="s">
        <v>18</v>
      </c>
      <c r="F532" s="1130" t="str">
        <f>VLOOKUP(E532,$N$13:$O$17,2,0)</f>
        <v>-</v>
      </c>
      <c r="G532" s="92"/>
      <c r="H532" s="823"/>
      <c r="I532" s="1125"/>
      <c r="J532" s="1133"/>
      <c r="K532" s="1133"/>
      <c r="L532" s="916"/>
      <c r="M532" s="916"/>
    </row>
    <row r="533" spans="1:13" s="103" customFormat="1" ht="15.75" hidden="1" customHeight="1" outlineLevel="1">
      <c r="A533" s="916"/>
      <c r="B533" s="1123"/>
      <c r="C533" s="1127"/>
      <c r="D533" s="1125"/>
      <c r="E533" s="1125"/>
      <c r="F533" s="1130"/>
      <c r="G533" s="95"/>
      <c r="H533" s="823"/>
      <c r="I533" s="1125"/>
      <c r="J533" s="1134"/>
      <c r="K533" s="1134"/>
      <c r="L533" s="916"/>
      <c r="M533" s="916"/>
    </row>
    <row r="534" spans="1:13" s="103" customFormat="1" ht="15.75" hidden="1" customHeight="1" outlineLevel="1">
      <c r="A534" s="916"/>
      <c r="B534" s="1124"/>
      <c r="C534" s="1128"/>
      <c r="D534" s="1126"/>
      <c r="E534" s="1126"/>
      <c r="F534" s="1132"/>
      <c r="G534" s="100"/>
      <c r="H534" s="824"/>
      <c r="I534" s="1126"/>
      <c r="J534" s="1135"/>
      <c r="K534" s="1135"/>
      <c r="L534" s="916"/>
      <c r="M534" s="916"/>
    </row>
    <row r="535" spans="1:13" s="103" customFormat="1" ht="15.75" hidden="1" customHeight="1" outlineLevel="1">
      <c r="A535" s="916"/>
      <c r="B535" s="1123">
        <v>175</v>
      </c>
      <c r="C535" s="1127"/>
      <c r="D535" s="1125"/>
      <c r="E535" s="1125" t="s">
        <v>18</v>
      </c>
      <c r="F535" s="1130" t="str">
        <f>VLOOKUP(E535,$N$13:$O$17,2,0)</f>
        <v>-</v>
      </c>
      <c r="G535" s="92"/>
      <c r="H535" s="823"/>
      <c r="I535" s="1125"/>
      <c r="J535" s="1133"/>
      <c r="K535" s="1133"/>
      <c r="L535" s="916"/>
      <c r="M535" s="916"/>
    </row>
    <row r="536" spans="1:13" s="103" customFormat="1" ht="15.75" hidden="1" customHeight="1" outlineLevel="1">
      <c r="A536" s="916"/>
      <c r="B536" s="1123"/>
      <c r="C536" s="1127"/>
      <c r="D536" s="1125"/>
      <c r="E536" s="1125"/>
      <c r="F536" s="1130"/>
      <c r="G536" s="95"/>
      <c r="H536" s="823"/>
      <c r="I536" s="1125"/>
      <c r="J536" s="1134"/>
      <c r="K536" s="1134"/>
      <c r="L536" s="916"/>
      <c r="M536" s="916"/>
    </row>
    <row r="537" spans="1:13" s="103" customFormat="1" ht="15.75" hidden="1" customHeight="1" outlineLevel="1">
      <c r="A537" s="916"/>
      <c r="B537" s="1124"/>
      <c r="C537" s="1128"/>
      <c r="D537" s="1126"/>
      <c r="E537" s="1126"/>
      <c r="F537" s="1132"/>
      <c r="G537" s="100"/>
      <c r="H537" s="824"/>
      <c r="I537" s="1126"/>
      <c r="J537" s="1135"/>
      <c r="K537" s="1135"/>
      <c r="L537" s="916"/>
      <c r="M537" s="916"/>
    </row>
    <row r="538" spans="1:13" s="103" customFormat="1" ht="15.75" hidden="1" customHeight="1" outlineLevel="1">
      <c r="A538" s="916"/>
      <c r="B538" s="1123">
        <v>176</v>
      </c>
      <c r="C538" s="1127"/>
      <c r="D538" s="1125"/>
      <c r="E538" s="1125" t="s">
        <v>18</v>
      </c>
      <c r="F538" s="1130" t="str">
        <f>VLOOKUP(E538,$N$13:$O$17,2,0)</f>
        <v>-</v>
      </c>
      <c r="G538" s="92"/>
      <c r="H538" s="823"/>
      <c r="I538" s="1125"/>
      <c r="J538" s="1133"/>
      <c r="K538" s="1133"/>
      <c r="L538" s="916"/>
      <c r="M538" s="916"/>
    </row>
    <row r="539" spans="1:13" s="103" customFormat="1" ht="15.75" hidden="1" customHeight="1" outlineLevel="1">
      <c r="A539" s="916"/>
      <c r="B539" s="1123"/>
      <c r="C539" s="1127"/>
      <c r="D539" s="1125"/>
      <c r="E539" s="1125"/>
      <c r="F539" s="1130"/>
      <c r="G539" s="95"/>
      <c r="H539" s="823"/>
      <c r="I539" s="1125"/>
      <c r="J539" s="1134"/>
      <c r="K539" s="1134"/>
      <c r="L539" s="916"/>
      <c r="M539" s="916"/>
    </row>
    <row r="540" spans="1:13" s="103" customFormat="1" ht="15.75" hidden="1" customHeight="1" outlineLevel="1">
      <c r="A540" s="916"/>
      <c r="B540" s="1124"/>
      <c r="C540" s="1128"/>
      <c r="D540" s="1126"/>
      <c r="E540" s="1126"/>
      <c r="F540" s="1132"/>
      <c r="G540" s="100"/>
      <c r="H540" s="824"/>
      <c r="I540" s="1126"/>
      <c r="J540" s="1135"/>
      <c r="K540" s="1135"/>
      <c r="L540" s="916"/>
      <c r="M540" s="916"/>
    </row>
    <row r="541" spans="1:13" s="103" customFormat="1" ht="15.75" hidden="1" customHeight="1" outlineLevel="1">
      <c r="A541" s="916"/>
      <c r="B541" s="1123">
        <v>177</v>
      </c>
      <c r="C541" s="1127"/>
      <c r="D541" s="1125"/>
      <c r="E541" s="1125" t="s">
        <v>18</v>
      </c>
      <c r="F541" s="1130" t="str">
        <f>VLOOKUP(E541,$N$13:$O$17,2,0)</f>
        <v>-</v>
      </c>
      <c r="G541" s="92"/>
      <c r="H541" s="823"/>
      <c r="I541" s="1125"/>
      <c r="J541" s="1133"/>
      <c r="K541" s="1133"/>
      <c r="L541" s="916"/>
      <c r="M541" s="916"/>
    </row>
    <row r="542" spans="1:13" s="103" customFormat="1" ht="15.75" hidden="1" customHeight="1" outlineLevel="1">
      <c r="A542" s="916"/>
      <c r="B542" s="1123"/>
      <c r="C542" s="1127"/>
      <c r="D542" s="1125"/>
      <c r="E542" s="1125"/>
      <c r="F542" s="1130"/>
      <c r="G542" s="95"/>
      <c r="H542" s="823"/>
      <c r="I542" s="1125"/>
      <c r="J542" s="1134"/>
      <c r="K542" s="1134"/>
      <c r="L542" s="916"/>
      <c r="M542" s="916"/>
    </row>
    <row r="543" spans="1:13" s="103" customFormat="1" ht="15.75" hidden="1" customHeight="1" outlineLevel="1">
      <c r="A543" s="916"/>
      <c r="B543" s="1124"/>
      <c r="C543" s="1128"/>
      <c r="D543" s="1126"/>
      <c r="E543" s="1126"/>
      <c r="F543" s="1132"/>
      <c r="G543" s="100"/>
      <c r="H543" s="824"/>
      <c r="I543" s="1126"/>
      <c r="J543" s="1135"/>
      <c r="K543" s="1135"/>
      <c r="L543" s="916"/>
      <c r="M543" s="916"/>
    </row>
    <row r="544" spans="1:13" s="103" customFormat="1" ht="15.75" hidden="1" customHeight="1" outlineLevel="1">
      <c r="A544" s="916"/>
      <c r="B544" s="1123">
        <v>178</v>
      </c>
      <c r="C544" s="1127"/>
      <c r="D544" s="1125"/>
      <c r="E544" s="1125" t="s">
        <v>18</v>
      </c>
      <c r="F544" s="1130" t="str">
        <f>VLOOKUP(E544,$N$13:$O$17,2,0)</f>
        <v>-</v>
      </c>
      <c r="G544" s="92"/>
      <c r="H544" s="823"/>
      <c r="I544" s="1125"/>
      <c r="J544" s="1133"/>
      <c r="K544" s="1133"/>
      <c r="L544" s="916"/>
      <c r="M544" s="916"/>
    </row>
    <row r="545" spans="1:13" s="103" customFormat="1" ht="15.75" hidden="1" customHeight="1" outlineLevel="1">
      <c r="A545" s="916"/>
      <c r="B545" s="1123"/>
      <c r="C545" s="1127"/>
      <c r="D545" s="1125"/>
      <c r="E545" s="1125"/>
      <c r="F545" s="1130"/>
      <c r="G545" s="95"/>
      <c r="H545" s="823"/>
      <c r="I545" s="1125"/>
      <c r="J545" s="1134"/>
      <c r="K545" s="1134"/>
      <c r="L545" s="916"/>
      <c r="M545" s="916"/>
    </row>
    <row r="546" spans="1:13" s="103" customFormat="1" ht="15.75" hidden="1" customHeight="1" outlineLevel="1">
      <c r="A546" s="916"/>
      <c r="B546" s="1124"/>
      <c r="C546" s="1128"/>
      <c r="D546" s="1126"/>
      <c r="E546" s="1126"/>
      <c r="F546" s="1132"/>
      <c r="G546" s="100"/>
      <c r="H546" s="824"/>
      <c r="I546" s="1126"/>
      <c r="J546" s="1135"/>
      <c r="K546" s="1135"/>
      <c r="L546" s="916"/>
      <c r="M546" s="916"/>
    </row>
    <row r="547" spans="1:13" s="103" customFormat="1" ht="15.75" hidden="1" customHeight="1" outlineLevel="1">
      <c r="A547" s="916"/>
      <c r="B547" s="1123">
        <v>179</v>
      </c>
      <c r="C547" s="1127"/>
      <c r="D547" s="1125"/>
      <c r="E547" s="1125" t="s">
        <v>18</v>
      </c>
      <c r="F547" s="1130" t="str">
        <f>VLOOKUP(E547,$N$13:$O$17,2,0)</f>
        <v>-</v>
      </c>
      <c r="G547" s="92"/>
      <c r="H547" s="823"/>
      <c r="I547" s="1125"/>
      <c r="J547" s="1133"/>
      <c r="K547" s="1133"/>
      <c r="L547" s="916"/>
      <c r="M547" s="916"/>
    </row>
    <row r="548" spans="1:13" s="103" customFormat="1" ht="15.75" hidden="1" customHeight="1" outlineLevel="1">
      <c r="A548" s="916"/>
      <c r="B548" s="1123"/>
      <c r="C548" s="1127"/>
      <c r="D548" s="1125"/>
      <c r="E548" s="1125"/>
      <c r="F548" s="1130"/>
      <c r="G548" s="95"/>
      <c r="H548" s="823"/>
      <c r="I548" s="1125"/>
      <c r="J548" s="1134"/>
      <c r="K548" s="1134"/>
      <c r="L548" s="916"/>
      <c r="M548" s="916"/>
    </row>
    <row r="549" spans="1:13" s="103" customFormat="1" ht="15.75" hidden="1" customHeight="1" outlineLevel="1">
      <c r="A549" s="916"/>
      <c r="B549" s="1124"/>
      <c r="C549" s="1128"/>
      <c r="D549" s="1126"/>
      <c r="E549" s="1126"/>
      <c r="F549" s="1132"/>
      <c r="G549" s="100"/>
      <c r="H549" s="824"/>
      <c r="I549" s="1126"/>
      <c r="J549" s="1135"/>
      <c r="K549" s="1135"/>
      <c r="L549" s="916"/>
      <c r="M549" s="916"/>
    </row>
    <row r="550" spans="1:13" s="103" customFormat="1" ht="15.75" hidden="1" customHeight="1" outlineLevel="1">
      <c r="A550" s="916"/>
      <c r="B550" s="1123">
        <v>180</v>
      </c>
      <c r="C550" s="1127"/>
      <c r="D550" s="1125"/>
      <c r="E550" s="1125" t="s">
        <v>18</v>
      </c>
      <c r="F550" s="1130" t="str">
        <f>VLOOKUP(E550,$N$13:$O$17,2,0)</f>
        <v>-</v>
      </c>
      <c r="G550" s="92"/>
      <c r="H550" s="823"/>
      <c r="I550" s="1125"/>
      <c r="J550" s="1133"/>
      <c r="K550" s="1133"/>
      <c r="L550" s="916"/>
      <c r="M550" s="916"/>
    </row>
    <row r="551" spans="1:13" s="103" customFormat="1" ht="15.75" hidden="1" customHeight="1" outlineLevel="1">
      <c r="A551" s="916"/>
      <c r="B551" s="1123"/>
      <c r="C551" s="1127"/>
      <c r="D551" s="1125"/>
      <c r="E551" s="1125"/>
      <c r="F551" s="1130"/>
      <c r="G551" s="95"/>
      <c r="H551" s="823"/>
      <c r="I551" s="1125"/>
      <c r="J551" s="1134"/>
      <c r="K551" s="1134"/>
      <c r="L551" s="916"/>
      <c r="M551" s="916"/>
    </row>
    <row r="552" spans="1:13" s="103" customFormat="1" ht="15.75" hidden="1" customHeight="1" outlineLevel="1">
      <c r="A552" s="916"/>
      <c r="B552" s="1124"/>
      <c r="C552" s="1128"/>
      <c r="D552" s="1126"/>
      <c r="E552" s="1126"/>
      <c r="F552" s="1132"/>
      <c r="G552" s="100"/>
      <c r="H552" s="824"/>
      <c r="I552" s="1126"/>
      <c r="J552" s="1135"/>
      <c r="K552" s="1135"/>
      <c r="L552" s="916"/>
      <c r="M552" s="916"/>
    </row>
    <row r="553" spans="1:13" s="103" customFormat="1" ht="15.75" hidden="1" customHeight="1" outlineLevel="1">
      <c r="A553" s="916"/>
      <c r="B553" s="1123">
        <v>181</v>
      </c>
      <c r="C553" s="1127"/>
      <c r="D553" s="1125"/>
      <c r="E553" s="1125" t="s">
        <v>18</v>
      </c>
      <c r="F553" s="1130" t="str">
        <f>VLOOKUP(E553,$N$13:$O$17,2,0)</f>
        <v>-</v>
      </c>
      <c r="G553" s="92"/>
      <c r="H553" s="823"/>
      <c r="I553" s="1125"/>
      <c r="J553" s="1133"/>
      <c r="K553" s="1133"/>
      <c r="L553" s="916"/>
      <c r="M553" s="916"/>
    </row>
    <row r="554" spans="1:13" s="103" customFormat="1" ht="15.75" hidden="1" customHeight="1" outlineLevel="1">
      <c r="A554" s="916"/>
      <c r="B554" s="1123"/>
      <c r="C554" s="1127"/>
      <c r="D554" s="1125"/>
      <c r="E554" s="1125"/>
      <c r="F554" s="1130"/>
      <c r="G554" s="95"/>
      <c r="H554" s="823"/>
      <c r="I554" s="1125"/>
      <c r="J554" s="1134"/>
      <c r="K554" s="1134"/>
      <c r="L554" s="916"/>
      <c r="M554" s="916"/>
    </row>
    <row r="555" spans="1:13" s="103" customFormat="1" ht="15.75" hidden="1" customHeight="1" outlineLevel="1">
      <c r="A555" s="916"/>
      <c r="B555" s="1124"/>
      <c r="C555" s="1128"/>
      <c r="D555" s="1126"/>
      <c r="E555" s="1126"/>
      <c r="F555" s="1132"/>
      <c r="G555" s="100"/>
      <c r="H555" s="824"/>
      <c r="I555" s="1126"/>
      <c r="J555" s="1135"/>
      <c r="K555" s="1135"/>
      <c r="L555" s="916"/>
      <c r="M555" s="916"/>
    </row>
    <row r="556" spans="1:13" s="103" customFormat="1" ht="15.75" hidden="1" customHeight="1" outlineLevel="1">
      <c r="A556" s="916"/>
      <c r="B556" s="1123">
        <v>182</v>
      </c>
      <c r="C556" s="1127"/>
      <c r="D556" s="1125"/>
      <c r="E556" s="1125" t="s">
        <v>18</v>
      </c>
      <c r="F556" s="1130" t="str">
        <f>VLOOKUP(E556,$N$13:$O$17,2,0)</f>
        <v>-</v>
      </c>
      <c r="G556" s="92"/>
      <c r="H556" s="823"/>
      <c r="I556" s="1125"/>
      <c r="J556" s="1133"/>
      <c r="K556" s="1133"/>
      <c r="L556" s="916"/>
      <c r="M556" s="916"/>
    </row>
    <row r="557" spans="1:13" s="103" customFormat="1" ht="15.75" hidden="1" customHeight="1" outlineLevel="1">
      <c r="A557" s="916"/>
      <c r="B557" s="1123"/>
      <c r="C557" s="1127"/>
      <c r="D557" s="1125"/>
      <c r="E557" s="1125"/>
      <c r="F557" s="1130"/>
      <c r="G557" s="95"/>
      <c r="H557" s="823"/>
      <c r="I557" s="1125"/>
      <c r="J557" s="1134"/>
      <c r="K557" s="1134"/>
      <c r="L557" s="916"/>
      <c r="M557" s="916"/>
    </row>
    <row r="558" spans="1:13" s="103" customFormat="1" ht="15.75" hidden="1" customHeight="1" outlineLevel="1">
      <c r="A558" s="916"/>
      <c r="B558" s="1124"/>
      <c r="C558" s="1128"/>
      <c r="D558" s="1126"/>
      <c r="E558" s="1126"/>
      <c r="F558" s="1132"/>
      <c r="G558" s="100"/>
      <c r="H558" s="824"/>
      <c r="I558" s="1126"/>
      <c r="J558" s="1135"/>
      <c r="K558" s="1135"/>
      <c r="L558" s="916"/>
      <c r="M558" s="916"/>
    </row>
    <row r="559" spans="1:13" s="103" customFormat="1" ht="15.75" hidden="1" customHeight="1" outlineLevel="1">
      <c r="A559" s="916"/>
      <c r="B559" s="1123">
        <v>183</v>
      </c>
      <c r="C559" s="1127"/>
      <c r="D559" s="1125"/>
      <c r="E559" s="1125" t="s">
        <v>18</v>
      </c>
      <c r="F559" s="1130" t="str">
        <f>VLOOKUP(E559,$N$13:$O$17,2,0)</f>
        <v>-</v>
      </c>
      <c r="G559" s="92"/>
      <c r="H559" s="823"/>
      <c r="I559" s="1125"/>
      <c r="J559" s="1133"/>
      <c r="K559" s="1133"/>
      <c r="L559" s="916"/>
      <c r="M559" s="916"/>
    </row>
    <row r="560" spans="1:13" s="103" customFormat="1" ht="15.75" hidden="1" customHeight="1" outlineLevel="1">
      <c r="A560" s="916"/>
      <c r="B560" s="1123"/>
      <c r="C560" s="1127"/>
      <c r="D560" s="1125"/>
      <c r="E560" s="1125"/>
      <c r="F560" s="1130"/>
      <c r="G560" s="95"/>
      <c r="H560" s="823"/>
      <c r="I560" s="1125"/>
      <c r="J560" s="1134"/>
      <c r="K560" s="1134"/>
      <c r="L560" s="916"/>
      <c r="M560" s="916"/>
    </row>
    <row r="561" spans="1:13" s="103" customFormat="1" ht="15.75" hidden="1" customHeight="1" outlineLevel="1">
      <c r="A561" s="916"/>
      <c r="B561" s="1124"/>
      <c r="C561" s="1128"/>
      <c r="D561" s="1126"/>
      <c r="E561" s="1126"/>
      <c r="F561" s="1132"/>
      <c r="G561" s="100"/>
      <c r="H561" s="824"/>
      <c r="I561" s="1126"/>
      <c r="J561" s="1135"/>
      <c r="K561" s="1135"/>
      <c r="L561" s="916"/>
      <c r="M561" s="916"/>
    </row>
    <row r="562" spans="1:13" s="103" customFormat="1" ht="15.75" hidden="1" customHeight="1" outlineLevel="1">
      <c r="A562" s="916"/>
      <c r="B562" s="1123">
        <v>184</v>
      </c>
      <c r="C562" s="1127"/>
      <c r="D562" s="1125"/>
      <c r="E562" s="1125" t="s">
        <v>18</v>
      </c>
      <c r="F562" s="1130" t="str">
        <f>VLOOKUP(E562,$N$13:$O$17,2,0)</f>
        <v>-</v>
      </c>
      <c r="G562" s="92"/>
      <c r="H562" s="823"/>
      <c r="I562" s="1125"/>
      <c r="J562" s="1133"/>
      <c r="K562" s="1133"/>
      <c r="L562" s="916"/>
      <c r="M562" s="916"/>
    </row>
    <row r="563" spans="1:13" s="103" customFormat="1" ht="15.75" hidden="1" customHeight="1" outlineLevel="1">
      <c r="A563" s="916"/>
      <c r="B563" s="1123"/>
      <c r="C563" s="1127"/>
      <c r="D563" s="1125"/>
      <c r="E563" s="1125"/>
      <c r="F563" s="1130"/>
      <c r="G563" s="95"/>
      <c r="H563" s="823"/>
      <c r="I563" s="1125"/>
      <c r="J563" s="1134"/>
      <c r="K563" s="1134"/>
      <c r="L563" s="916"/>
      <c r="M563" s="916"/>
    </row>
    <row r="564" spans="1:13" s="103" customFormat="1" ht="15.75" hidden="1" customHeight="1" outlineLevel="1">
      <c r="A564" s="916"/>
      <c r="B564" s="1124"/>
      <c r="C564" s="1128"/>
      <c r="D564" s="1126"/>
      <c r="E564" s="1126"/>
      <c r="F564" s="1132"/>
      <c r="G564" s="100"/>
      <c r="H564" s="824"/>
      <c r="I564" s="1126"/>
      <c r="J564" s="1135"/>
      <c r="K564" s="1135"/>
      <c r="L564" s="916"/>
      <c r="M564" s="916"/>
    </row>
    <row r="565" spans="1:13" s="103" customFormat="1" ht="15.75" hidden="1" customHeight="1" outlineLevel="1">
      <c r="A565" s="916"/>
      <c r="B565" s="1123">
        <v>185</v>
      </c>
      <c r="C565" s="1127"/>
      <c r="D565" s="1125"/>
      <c r="E565" s="1125" t="s">
        <v>18</v>
      </c>
      <c r="F565" s="1130" t="str">
        <f>VLOOKUP(E565,$N$13:$O$17,2,0)</f>
        <v>-</v>
      </c>
      <c r="G565" s="92"/>
      <c r="H565" s="823"/>
      <c r="I565" s="1125"/>
      <c r="J565" s="1133"/>
      <c r="K565" s="1133"/>
      <c r="L565" s="916"/>
      <c r="M565" s="916"/>
    </row>
    <row r="566" spans="1:13" s="103" customFormat="1" ht="15.75" hidden="1" customHeight="1" outlineLevel="1">
      <c r="A566" s="916"/>
      <c r="B566" s="1123"/>
      <c r="C566" s="1127"/>
      <c r="D566" s="1125"/>
      <c r="E566" s="1125"/>
      <c r="F566" s="1130"/>
      <c r="G566" s="95"/>
      <c r="H566" s="823"/>
      <c r="I566" s="1125"/>
      <c r="J566" s="1134"/>
      <c r="K566" s="1134"/>
      <c r="L566" s="916"/>
      <c r="M566" s="916"/>
    </row>
    <row r="567" spans="1:13" s="103" customFormat="1" ht="15.75" hidden="1" customHeight="1" outlineLevel="1">
      <c r="A567" s="916"/>
      <c r="B567" s="1124"/>
      <c r="C567" s="1128"/>
      <c r="D567" s="1126"/>
      <c r="E567" s="1126"/>
      <c r="F567" s="1132"/>
      <c r="G567" s="100"/>
      <c r="H567" s="824"/>
      <c r="I567" s="1126"/>
      <c r="J567" s="1135"/>
      <c r="K567" s="1135"/>
      <c r="L567" s="916"/>
      <c r="M567" s="916"/>
    </row>
    <row r="568" spans="1:13" s="103" customFormat="1" ht="15.75" hidden="1" customHeight="1" outlineLevel="1">
      <c r="A568" s="916"/>
      <c r="B568" s="1123">
        <v>186</v>
      </c>
      <c r="C568" s="1127"/>
      <c r="D568" s="1125"/>
      <c r="E568" s="1125" t="s">
        <v>18</v>
      </c>
      <c r="F568" s="1130" t="str">
        <f>VLOOKUP(E568,$N$13:$O$17,2,0)</f>
        <v>-</v>
      </c>
      <c r="G568" s="92"/>
      <c r="H568" s="823"/>
      <c r="I568" s="1125"/>
      <c r="J568" s="1133"/>
      <c r="K568" s="1133"/>
      <c r="L568" s="916"/>
      <c r="M568" s="916"/>
    </row>
    <row r="569" spans="1:13" s="103" customFormat="1" ht="15.75" hidden="1" customHeight="1" outlineLevel="1">
      <c r="A569" s="916"/>
      <c r="B569" s="1123"/>
      <c r="C569" s="1127"/>
      <c r="D569" s="1125"/>
      <c r="E569" s="1125"/>
      <c r="F569" s="1130"/>
      <c r="G569" s="95"/>
      <c r="H569" s="823"/>
      <c r="I569" s="1125"/>
      <c r="J569" s="1134"/>
      <c r="K569" s="1134"/>
      <c r="L569" s="916"/>
      <c r="M569" s="916"/>
    </row>
    <row r="570" spans="1:13" s="103" customFormat="1" ht="15.75" hidden="1" customHeight="1" outlineLevel="1">
      <c r="A570" s="916"/>
      <c r="B570" s="1124"/>
      <c r="C570" s="1128"/>
      <c r="D570" s="1126"/>
      <c r="E570" s="1126"/>
      <c r="F570" s="1132"/>
      <c r="G570" s="100"/>
      <c r="H570" s="824"/>
      <c r="I570" s="1126"/>
      <c r="J570" s="1135"/>
      <c r="K570" s="1135"/>
      <c r="L570" s="916"/>
      <c r="M570" s="916"/>
    </row>
    <row r="571" spans="1:13" s="103" customFormat="1" ht="15.75" hidden="1" customHeight="1" outlineLevel="1">
      <c r="A571" s="916"/>
      <c r="B571" s="1123">
        <v>187</v>
      </c>
      <c r="C571" s="1127"/>
      <c r="D571" s="1125"/>
      <c r="E571" s="1125" t="s">
        <v>18</v>
      </c>
      <c r="F571" s="1130" t="str">
        <f>VLOOKUP(E571,$N$13:$O$17,2,0)</f>
        <v>-</v>
      </c>
      <c r="G571" s="92"/>
      <c r="H571" s="823"/>
      <c r="I571" s="1125"/>
      <c r="J571" s="1133"/>
      <c r="K571" s="1133"/>
      <c r="L571" s="916"/>
      <c r="M571" s="916"/>
    </row>
    <row r="572" spans="1:13" s="103" customFormat="1" ht="15.75" hidden="1" customHeight="1" outlineLevel="1">
      <c r="A572" s="916"/>
      <c r="B572" s="1123"/>
      <c r="C572" s="1127"/>
      <c r="D572" s="1125"/>
      <c r="E572" s="1125"/>
      <c r="F572" s="1130"/>
      <c r="G572" s="95"/>
      <c r="H572" s="823"/>
      <c r="I572" s="1125"/>
      <c r="J572" s="1134"/>
      <c r="K572" s="1134"/>
      <c r="L572" s="916"/>
      <c r="M572" s="916"/>
    </row>
    <row r="573" spans="1:13" s="103" customFormat="1" ht="15.75" hidden="1" customHeight="1" outlineLevel="1">
      <c r="A573" s="916"/>
      <c r="B573" s="1124"/>
      <c r="C573" s="1128"/>
      <c r="D573" s="1126"/>
      <c r="E573" s="1126"/>
      <c r="F573" s="1132"/>
      <c r="G573" s="100"/>
      <c r="H573" s="824"/>
      <c r="I573" s="1126"/>
      <c r="J573" s="1135"/>
      <c r="K573" s="1135"/>
      <c r="L573" s="916"/>
      <c r="M573" s="916"/>
    </row>
    <row r="574" spans="1:13" s="103" customFormat="1" ht="15.75" hidden="1" customHeight="1" outlineLevel="1">
      <c r="A574" s="916"/>
      <c r="B574" s="1123">
        <v>188</v>
      </c>
      <c r="C574" s="1127"/>
      <c r="D574" s="1125"/>
      <c r="E574" s="1125" t="s">
        <v>18</v>
      </c>
      <c r="F574" s="1130" t="str">
        <f>VLOOKUP(E574,$N$13:$O$17,2,0)</f>
        <v>-</v>
      </c>
      <c r="G574" s="92"/>
      <c r="H574" s="823"/>
      <c r="I574" s="1125"/>
      <c r="J574" s="1133"/>
      <c r="K574" s="1133"/>
      <c r="L574" s="916"/>
      <c r="M574" s="916"/>
    </row>
    <row r="575" spans="1:13" s="103" customFormat="1" ht="15.75" hidden="1" customHeight="1" outlineLevel="1">
      <c r="A575" s="916"/>
      <c r="B575" s="1123"/>
      <c r="C575" s="1127"/>
      <c r="D575" s="1125"/>
      <c r="E575" s="1125"/>
      <c r="F575" s="1130"/>
      <c r="G575" s="95"/>
      <c r="H575" s="823"/>
      <c r="I575" s="1125"/>
      <c r="J575" s="1134"/>
      <c r="K575" s="1134"/>
      <c r="L575" s="916"/>
      <c r="M575" s="916"/>
    </row>
    <row r="576" spans="1:13" s="103" customFormat="1" ht="15.75" hidden="1" customHeight="1" outlineLevel="1">
      <c r="A576" s="916"/>
      <c r="B576" s="1124"/>
      <c r="C576" s="1128"/>
      <c r="D576" s="1126"/>
      <c r="E576" s="1126"/>
      <c r="F576" s="1132"/>
      <c r="G576" s="100"/>
      <c r="H576" s="824"/>
      <c r="I576" s="1126"/>
      <c r="J576" s="1135"/>
      <c r="K576" s="1135"/>
      <c r="L576" s="916"/>
      <c r="M576" s="916"/>
    </row>
    <row r="577" spans="1:13" s="103" customFormat="1" ht="15.75" hidden="1" customHeight="1" outlineLevel="1">
      <c r="A577" s="916"/>
      <c r="B577" s="1123">
        <v>189</v>
      </c>
      <c r="C577" s="1127"/>
      <c r="D577" s="1125"/>
      <c r="E577" s="1125" t="s">
        <v>18</v>
      </c>
      <c r="F577" s="1130" t="str">
        <f>VLOOKUP(E577,$N$13:$O$17,2,0)</f>
        <v>-</v>
      </c>
      <c r="G577" s="92"/>
      <c r="H577" s="823"/>
      <c r="I577" s="1125"/>
      <c r="J577" s="1133"/>
      <c r="K577" s="1133"/>
      <c r="L577" s="916"/>
      <c r="M577" s="916"/>
    </row>
    <row r="578" spans="1:13" s="103" customFormat="1" ht="15.75" hidden="1" customHeight="1" outlineLevel="1">
      <c r="A578" s="916"/>
      <c r="B578" s="1123"/>
      <c r="C578" s="1127"/>
      <c r="D578" s="1125"/>
      <c r="E578" s="1125"/>
      <c r="F578" s="1130"/>
      <c r="G578" s="95"/>
      <c r="H578" s="823"/>
      <c r="I578" s="1125"/>
      <c r="J578" s="1134"/>
      <c r="K578" s="1134"/>
      <c r="L578" s="916"/>
      <c r="M578" s="916"/>
    </row>
    <row r="579" spans="1:13" s="103" customFormat="1" ht="15.75" hidden="1" customHeight="1" outlineLevel="1">
      <c r="A579" s="916"/>
      <c r="B579" s="1124"/>
      <c r="C579" s="1128"/>
      <c r="D579" s="1126"/>
      <c r="E579" s="1126"/>
      <c r="F579" s="1132"/>
      <c r="G579" s="100"/>
      <c r="H579" s="824"/>
      <c r="I579" s="1126"/>
      <c r="J579" s="1135"/>
      <c r="K579" s="1135"/>
      <c r="L579" s="916"/>
      <c r="M579" s="916"/>
    </row>
    <row r="580" spans="1:13" s="103" customFormat="1" ht="15.75" hidden="1" customHeight="1" outlineLevel="1">
      <c r="A580" s="916"/>
      <c r="B580" s="1123">
        <v>190</v>
      </c>
      <c r="C580" s="1127"/>
      <c r="D580" s="1125"/>
      <c r="E580" s="1125" t="s">
        <v>18</v>
      </c>
      <c r="F580" s="1130" t="str">
        <f>VLOOKUP(E580,$N$13:$O$17,2,0)</f>
        <v>-</v>
      </c>
      <c r="G580" s="92"/>
      <c r="H580" s="823"/>
      <c r="I580" s="1125"/>
      <c r="J580" s="1133"/>
      <c r="K580" s="1133"/>
      <c r="L580" s="916"/>
      <c r="M580" s="916"/>
    </row>
    <row r="581" spans="1:13" s="103" customFormat="1" ht="15.75" hidden="1" customHeight="1" outlineLevel="1">
      <c r="A581" s="916"/>
      <c r="B581" s="1123"/>
      <c r="C581" s="1127"/>
      <c r="D581" s="1125"/>
      <c r="E581" s="1125"/>
      <c r="F581" s="1130"/>
      <c r="G581" s="95"/>
      <c r="H581" s="823"/>
      <c r="I581" s="1125"/>
      <c r="J581" s="1134"/>
      <c r="K581" s="1134"/>
      <c r="L581" s="916"/>
      <c r="M581" s="916"/>
    </row>
    <row r="582" spans="1:13" s="103" customFormat="1" ht="15.75" hidden="1" customHeight="1" outlineLevel="1">
      <c r="A582" s="916"/>
      <c r="B582" s="1124"/>
      <c r="C582" s="1128"/>
      <c r="D582" s="1126"/>
      <c r="E582" s="1126"/>
      <c r="F582" s="1132"/>
      <c r="G582" s="100"/>
      <c r="H582" s="824"/>
      <c r="I582" s="1126"/>
      <c r="J582" s="1135"/>
      <c r="K582" s="1135"/>
      <c r="L582" s="916"/>
      <c r="M582" s="916"/>
    </row>
    <row r="583" spans="1:13" s="103" customFormat="1" ht="15.75" hidden="1" customHeight="1" outlineLevel="1">
      <c r="A583" s="916"/>
      <c r="B583" s="1123">
        <v>191</v>
      </c>
      <c r="C583" s="1127"/>
      <c r="D583" s="1125"/>
      <c r="E583" s="1125" t="s">
        <v>18</v>
      </c>
      <c r="F583" s="1130" t="str">
        <f>VLOOKUP(E583,$N$13:$O$17,2,0)</f>
        <v>-</v>
      </c>
      <c r="G583" s="92"/>
      <c r="H583" s="823"/>
      <c r="I583" s="1125"/>
      <c r="J583" s="1133"/>
      <c r="K583" s="1133"/>
      <c r="L583" s="916"/>
      <c r="M583" s="916"/>
    </row>
    <row r="584" spans="1:13" s="103" customFormat="1" ht="15.75" hidden="1" customHeight="1" outlineLevel="1">
      <c r="A584" s="916"/>
      <c r="B584" s="1123"/>
      <c r="C584" s="1127"/>
      <c r="D584" s="1125"/>
      <c r="E584" s="1125"/>
      <c r="F584" s="1130"/>
      <c r="G584" s="95"/>
      <c r="H584" s="823"/>
      <c r="I584" s="1125"/>
      <c r="J584" s="1134"/>
      <c r="K584" s="1134"/>
      <c r="L584" s="916"/>
      <c r="M584" s="916"/>
    </row>
    <row r="585" spans="1:13" s="103" customFormat="1" ht="15.75" hidden="1" customHeight="1" outlineLevel="1">
      <c r="A585" s="916"/>
      <c r="B585" s="1124"/>
      <c r="C585" s="1128"/>
      <c r="D585" s="1126"/>
      <c r="E585" s="1126"/>
      <c r="F585" s="1132"/>
      <c r="G585" s="100"/>
      <c r="H585" s="824"/>
      <c r="I585" s="1126"/>
      <c r="J585" s="1135"/>
      <c r="K585" s="1135"/>
      <c r="L585" s="916"/>
      <c r="M585" s="916"/>
    </row>
    <row r="586" spans="1:13" s="103" customFormat="1" ht="15.75" hidden="1" customHeight="1" outlineLevel="1">
      <c r="A586" s="916"/>
      <c r="B586" s="1123">
        <v>192</v>
      </c>
      <c r="C586" s="1127"/>
      <c r="D586" s="1125"/>
      <c r="E586" s="1125" t="s">
        <v>18</v>
      </c>
      <c r="F586" s="1130" t="str">
        <f>VLOOKUP(E586,$N$13:$O$17,2,0)</f>
        <v>-</v>
      </c>
      <c r="G586" s="92"/>
      <c r="H586" s="823"/>
      <c r="I586" s="1125"/>
      <c r="J586" s="1133"/>
      <c r="K586" s="1133"/>
      <c r="L586" s="916"/>
      <c r="M586" s="916"/>
    </row>
    <row r="587" spans="1:13" s="103" customFormat="1" ht="15.75" hidden="1" customHeight="1" outlineLevel="1">
      <c r="A587" s="916"/>
      <c r="B587" s="1123"/>
      <c r="C587" s="1127"/>
      <c r="D587" s="1125"/>
      <c r="E587" s="1125"/>
      <c r="F587" s="1130"/>
      <c r="G587" s="95"/>
      <c r="H587" s="823"/>
      <c r="I587" s="1125"/>
      <c r="J587" s="1134"/>
      <c r="K587" s="1134"/>
      <c r="L587" s="916"/>
      <c r="M587" s="916"/>
    </row>
    <row r="588" spans="1:13" s="103" customFormat="1" ht="15.75" hidden="1" customHeight="1" outlineLevel="1">
      <c r="A588" s="916"/>
      <c r="B588" s="1124"/>
      <c r="C588" s="1128"/>
      <c r="D588" s="1126"/>
      <c r="E588" s="1126"/>
      <c r="F588" s="1132"/>
      <c r="G588" s="100"/>
      <c r="H588" s="824"/>
      <c r="I588" s="1126"/>
      <c r="J588" s="1135"/>
      <c r="K588" s="1135"/>
      <c r="L588" s="916"/>
      <c r="M588" s="916"/>
    </row>
    <row r="589" spans="1:13" s="103" customFormat="1" ht="15.75" hidden="1" customHeight="1" outlineLevel="1">
      <c r="A589" s="916"/>
      <c r="B589" s="1123">
        <v>193</v>
      </c>
      <c r="C589" s="1127"/>
      <c r="D589" s="1125"/>
      <c r="E589" s="1125" t="s">
        <v>18</v>
      </c>
      <c r="F589" s="1130" t="str">
        <f>VLOOKUP(E589,$N$13:$O$17,2,0)</f>
        <v>-</v>
      </c>
      <c r="G589" s="92"/>
      <c r="H589" s="823"/>
      <c r="I589" s="1125"/>
      <c r="J589" s="1133"/>
      <c r="K589" s="1133"/>
      <c r="L589" s="916"/>
      <c r="M589" s="916"/>
    </row>
    <row r="590" spans="1:13" s="103" customFormat="1" ht="15.75" hidden="1" customHeight="1" outlineLevel="1">
      <c r="A590" s="916"/>
      <c r="B590" s="1123"/>
      <c r="C590" s="1127"/>
      <c r="D590" s="1125"/>
      <c r="E590" s="1125"/>
      <c r="F590" s="1130"/>
      <c r="G590" s="95"/>
      <c r="H590" s="823"/>
      <c r="I590" s="1125"/>
      <c r="J590" s="1134"/>
      <c r="K590" s="1134"/>
      <c r="L590" s="916"/>
      <c r="M590" s="916"/>
    </row>
    <row r="591" spans="1:13" s="103" customFormat="1" ht="15.75" hidden="1" customHeight="1" outlineLevel="1">
      <c r="A591" s="916"/>
      <c r="B591" s="1124"/>
      <c r="C591" s="1128"/>
      <c r="D591" s="1126"/>
      <c r="E591" s="1126"/>
      <c r="F591" s="1132"/>
      <c r="G591" s="100"/>
      <c r="H591" s="824"/>
      <c r="I591" s="1126"/>
      <c r="J591" s="1135"/>
      <c r="K591" s="1135"/>
      <c r="L591" s="916"/>
      <c r="M591" s="916"/>
    </row>
    <row r="592" spans="1:13" s="103" customFormat="1" ht="15.75" hidden="1" customHeight="1" outlineLevel="1">
      <c r="A592" s="916"/>
      <c r="B592" s="1123">
        <v>194</v>
      </c>
      <c r="C592" s="1127"/>
      <c r="D592" s="1125"/>
      <c r="E592" s="1125" t="s">
        <v>18</v>
      </c>
      <c r="F592" s="1130" t="str">
        <f>VLOOKUP(E592,$N$13:$O$17,2,0)</f>
        <v>-</v>
      </c>
      <c r="G592" s="92"/>
      <c r="H592" s="823"/>
      <c r="I592" s="1125"/>
      <c r="J592" s="1133"/>
      <c r="K592" s="1133"/>
      <c r="L592" s="916"/>
      <c r="M592" s="916"/>
    </row>
    <row r="593" spans="1:13" s="103" customFormat="1" ht="15.75" hidden="1" customHeight="1" outlineLevel="1">
      <c r="A593" s="916"/>
      <c r="B593" s="1123"/>
      <c r="C593" s="1127"/>
      <c r="D593" s="1125"/>
      <c r="E593" s="1125"/>
      <c r="F593" s="1130"/>
      <c r="G593" s="95"/>
      <c r="H593" s="823"/>
      <c r="I593" s="1125"/>
      <c r="J593" s="1134"/>
      <c r="K593" s="1134"/>
      <c r="L593" s="916"/>
      <c r="M593" s="916"/>
    </row>
    <row r="594" spans="1:13" s="103" customFormat="1" ht="15.75" hidden="1" customHeight="1" outlineLevel="1">
      <c r="A594" s="916"/>
      <c r="B594" s="1124"/>
      <c r="C594" s="1128"/>
      <c r="D594" s="1126"/>
      <c r="E594" s="1126"/>
      <c r="F594" s="1132"/>
      <c r="G594" s="100"/>
      <c r="H594" s="824"/>
      <c r="I594" s="1126"/>
      <c r="J594" s="1135"/>
      <c r="K594" s="1135"/>
      <c r="L594" s="916"/>
      <c r="M594" s="916"/>
    </row>
    <row r="595" spans="1:13" s="103" customFormat="1" ht="15.75" hidden="1" customHeight="1" outlineLevel="1">
      <c r="A595" s="916"/>
      <c r="B595" s="1123">
        <v>195</v>
      </c>
      <c r="C595" s="1127"/>
      <c r="D595" s="1125"/>
      <c r="E595" s="1125" t="s">
        <v>18</v>
      </c>
      <c r="F595" s="1130" t="str">
        <f>VLOOKUP(E595,$N$13:$O$17,2,0)</f>
        <v>-</v>
      </c>
      <c r="G595" s="92"/>
      <c r="H595" s="823"/>
      <c r="I595" s="1125"/>
      <c r="J595" s="1133"/>
      <c r="K595" s="1133"/>
      <c r="L595" s="916"/>
      <c r="M595" s="916"/>
    </row>
    <row r="596" spans="1:13" s="103" customFormat="1" ht="15.75" hidden="1" customHeight="1" outlineLevel="1">
      <c r="A596" s="916"/>
      <c r="B596" s="1123"/>
      <c r="C596" s="1127"/>
      <c r="D596" s="1125"/>
      <c r="E596" s="1125"/>
      <c r="F596" s="1130"/>
      <c r="G596" s="95"/>
      <c r="H596" s="823"/>
      <c r="I596" s="1125"/>
      <c r="J596" s="1134"/>
      <c r="K596" s="1134"/>
      <c r="L596" s="916"/>
      <c r="M596" s="916"/>
    </row>
    <row r="597" spans="1:13" s="103" customFormat="1" ht="15.75" hidden="1" customHeight="1" outlineLevel="1">
      <c r="A597" s="916"/>
      <c r="B597" s="1124"/>
      <c r="C597" s="1128"/>
      <c r="D597" s="1126"/>
      <c r="E597" s="1126"/>
      <c r="F597" s="1132"/>
      <c r="G597" s="100"/>
      <c r="H597" s="824"/>
      <c r="I597" s="1126"/>
      <c r="J597" s="1135"/>
      <c r="K597" s="1135"/>
      <c r="L597" s="916"/>
      <c r="M597" s="916"/>
    </row>
    <row r="598" spans="1:13" s="103" customFormat="1" ht="15.75" hidden="1" customHeight="1" outlineLevel="1">
      <c r="A598" s="916"/>
      <c r="B598" s="1123">
        <v>196</v>
      </c>
      <c r="C598" s="1127"/>
      <c r="D598" s="1125"/>
      <c r="E598" s="1125" t="s">
        <v>18</v>
      </c>
      <c r="F598" s="1130" t="str">
        <f>VLOOKUP(E598,$N$13:$O$17,2,0)</f>
        <v>-</v>
      </c>
      <c r="G598" s="92"/>
      <c r="H598" s="823"/>
      <c r="I598" s="1125"/>
      <c r="J598" s="1133"/>
      <c r="K598" s="1133"/>
      <c r="L598" s="916"/>
      <c r="M598" s="916"/>
    </row>
    <row r="599" spans="1:13" s="103" customFormat="1" ht="15.75" hidden="1" customHeight="1" outlineLevel="1">
      <c r="A599" s="916"/>
      <c r="B599" s="1123"/>
      <c r="C599" s="1127"/>
      <c r="D599" s="1125"/>
      <c r="E599" s="1125"/>
      <c r="F599" s="1130"/>
      <c r="G599" s="95"/>
      <c r="H599" s="823"/>
      <c r="I599" s="1125"/>
      <c r="J599" s="1134"/>
      <c r="K599" s="1134"/>
      <c r="L599" s="916"/>
      <c r="M599" s="916"/>
    </row>
    <row r="600" spans="1:13" s="103" customFormat="1" ht="15.75" hidden="1" customHeight="1" outlineLevel="1">
      <c r="A600" s="916"/>
      <c r="B600" s="1124"/>
      <c r="C600" s="1128"/>
      <c r="D600" s="1126"/>
      <c r="E600" s="1126"/>
      <c r="F600" s="1132"/>
      <c r="G600" s="100"/>
      <c r="H600" s="824"/>
      <c r="I600" s="1126"/>
      <c r="J600" s="1135"/>
      <c r="K600" s="1135"/>
      <c r="L600" s="916"/>
      <c r="M600" s="916"/>
    </row>
    <row r="601" spans="1:13" s="103" customFormat="1" ht="15.75" hidden="1" customHeight="1" outlineLevel="1">
      <c r="A601" s="916"/>
      <c r="B601" s="1123">
        <v>197</v>
      </c>
      <c r="C601" s="1127"/>
      <c r="D601" s="1125"/>
      <c r="E601" s="1125" t="s">
        <v>18</v>
      </c>
      <c r="F601" s="1130" t="str">
        <f>VLOOKUP(E601,$N$13:$O$17,2,0)</f>
        <v>-</v>
      </c>
      <c r="G601" s="92"/>
      <c r="H601" s="823"/>
      <c r="I601" s="1125"/>
      <c r="J601" s="1133"/>
      <c r="K601" s="1133"/>
      <c r="L601" s="916"/>
      <c r="M601" s="916"/>
    </row>
    <row r="602" spans="1:13" s="103" customFormat="1" ht="15.75" hidden="1" customHeight="1" outlineLevel="1">
      <c r="A602" s="916"/>
      <c r="B602" s="1123"/>
      <c r="C602" s="1127"/>
      <c r="D602" s="1125"/>
      <c r="E602" s="1125"/>
      <c r="F602" s="1130"/>
      <c r="G602" s="95"/>
      <c r="H602" s="823"/>
      <c r="I602" s="1125"/>
      <c r="J602" s="1134"/>
      <c r="K602" s="1134"/>
      <c r="L602" s="916"/>
      <c r="M602" s="916"/>
    </row>
    <row r="603" spans="1:13" s="103" customFormat="1" ht="15.75" hidden="1" customHeight="1" outlineLevel="1">
      <c r="A603" s="916"/>
      <c r="B603" s="1124"/>
      <c r="C603" s="1128"/>
      <c r="D603" s="1126"/>
      <c r="E603" s="1126"/>
      <c r="F603" s="1132"/>
      <c r="G603" s="100"/>
      <c r="H603" s="824"/>
      <c r="I603" s="1126"/>
      <c r="J603" s="1135"/>
      <c r="K603" s="1135"/>
      <c r="L603" s="916"/>
      <c r="M603" s="916"/>
    </row>
    <row r="604" spans="1:13" s="103" customFormat="1" ht="15.75" hidden="1" customHeight="1" outlineLevel="1">
      <c r="A604" s="916"/>
      <c r="B604" s="1123">
        <v>198</v>
      </c>
      <c r="C604" s="1127"/>
      <c r="D604" s="1125"/>
      <c r="E604" s="1125" t="s">
        <v>18</v>
      </c>
      <c r="F604" s="1130" t="str">
        <f>VLOOKUP(E604,$N$13:$O$17,2,0)</f>
        <v>-</v>
      </c>
      <c r="G604" s="92"/>
      <c r="H604" s="823"/>
      <c r="I604" s="1125"/>
      <c r="J604" s="1133"/>
      <c r="K604" s="1133"/>
      <c r="L604" s="916"/>
      <c r="M604" s="916"/>
    </row>
    <row r="605" spans="1:13" s="103" customFormat="1" ht="15.75" hidden="1" customHeight="1" outlineLevel="1">
      <c r="A605" s="916"/>
      <c r="B605" s="1123"/>
      <c r="C605" s="1127"/>
      <c r="D605" s="1125"/>
      <c r="E605" s="1125"/>
      <c r="F605" s="1130"/>
      <c r="G605" s="95"/>
      <c r="H605" s="823"/>
      <c r="I605" s="1125"/>
      <c r="J605" s="1134"/>
      <c r="K605" s="1134"/>
      <c r="L605" s="916"/>
      <c r="M605" s="916"/>
    </row>
    <row r="606" spans="1:13" s="103" customFormat="1" ht="15.75" hidden="1" customHeight="1" outlineLevel="1">
      <c r="A606" s="916"/>
      <c r="B606" s="1124"/>
      <c r="C606" s="1128"/>
      <c r="D606" s="1126"/>
      <c r="E606" s="1126"/>
      <c r="F606" s="1132"/>
      <c r="G606" s="100"/>
      <c r="H606" s="824"/>
      <c r="I606" s="1126"/>
      <c r="J606" s="1135"/>
      <c r="K606" s="1135"/>
      <c r="L606" s="916"/>
      <c r="M606" s="916"/>
    </row>
    <row r="607" spans="1:13" s="103" customFormat="1" ht="15.75" hidden="1" customHeight="1" outlineLevel="1">
      <c r="A607" s="916"/>
      <c r="B607" s="1123">
        <v>199</v>
      </c>
      <c r="C607" s="1127"/>
      <c r="D607" s="1125"/>
      <c r="E607" s="1125" t="s">
        <v>18</v>
      </c>
      <c r="F607" s="1130" t="str">
        <f>VLOOKUP(E607,$N$13:$O$17,2,0)</f>
        <v>-</v>
      </c>
      <c r="G607" s="92"/>
      <c r="H607" s="823"/>
      <c r="I607" s="1125"/>
      <c r="J607" s="1133"/>
      <c r="K607" s="1133"/>
      <c r="L607" s="916"/>
      <c r="M607" s="916"/>
    </row>
    <row r="608" spans="1:13" s="103" customFormat="1" ht="15.75" hidden="1" customHeight="1" outlineLevel="1">
      <c r="A608" s="916"/>
      <c r="B608" s="1123"/>
      <c r="C608" s="1127"/>
      <c r="D608" s="1125"/>
      <c r="E608" s="1125"/>
      <c r="F608" s="1130"/>
      <c r="G608" s="95"/>
      <c r="H608" s="823"/>
      <c r="I608" s="1125"/>
      <c r="J608" s="1134"/>
      <c r="K608" s="1134"/>
      <c r="L608" s="916"/>
      <c r="M608" s="916"/>
    </row>
    <row r="609" spans="1:13" s="103" customFormat="1" ht="15.75" hidden="1" customHeight="1" outlineLevel="1">
      <c r="A609" s="916"/>
      <c r="B609" s="1124"/>
      <c r="C609" s="1128"/>
      <c r="D609" s="1126"/>
      <c r="E609" s="1126"/>
      <c r="F609" s="1132"/>
      <c r="G609" s="100"/>
      <c r="H609" s="824"/>
      <c r="I609" s="1126"/>
      <c r="J609" s="1135"/>
      <c r="K609" s="1135"/>
      <c r="L609" s="916"/>
      <c r="M609" s="916"/>
    </row>
    <row r="610" spans="1:13" s="103" customFormat="1" ht="15.75" hidden="1" customHeight="1" outlineLevel="1">
      <c r="A610" s="916"/>
      <c r="B610" s="1123">
        <v>200</v>
      </c>
      <c r="C610" s="1149" t="e">
        <f>CONCATENATE("Inne ",IF(#REF!=0,0,ROUND(#REF!/#REF!*100,1))," %")</f>
        <v>#REF!</v>
      </c>
      <c r="D610" s="1125"/>
      <c r="E610" s="1125" t="s">
        <v>18</v>
      </c>
      <c r="F610" s="1130" t="str">
        <f>VLOOKUP(E610,$N$13:$O$17,2,0)</f>
        <v>-</v>
      </c>
      <c r="G610" s="92"/>
      <c r="H610" s="823"/>
      <c r="I610" s="1125"/>
      <c r="J610" s="1133"/>
      <c r="K610" s="1133"/>
      <c r="L610" s="916"/>
      <c r="M610" s="916"/>
    </row>
    <row r="611" spans="1:13" s="103" customFormat="1" ht="15.75" hidden="1" customHeight="1" outlineLevel="1">
      <c r="A611" s="916"/>
      <c r="B611" s="1123"/>
      <c r="C611" s="1150"/>
      <c r="D611" s="1125"/>
      <c r="E611" s="1125"/>
      <c r="F611" s="1130"/>
      <c r="G611" s="95"/>
      <c r="H611" s="823"/>
      <c r="I611" s="1125"/>
      <c r="J611" s="1134"/>
      <c r="K611" s="1134"/>
      <c r="L611" s="916"/>
      <c r="M611" s="916"/>
    </row>
    <row r="612" spans="1:13" s="103" customFormat="1" ht="15.75" hidden="1" customHeight="1" outlineLevel="1" thickBot="1">
      <c r="A612" s="916"/>
      <c r="B612" s="1124"/>
      <c r="C612" s="1151"/>
      <c r="D612" s="1126"/>
      <c r="E612" s="1126"/>
      <c r="F612" s="1132"/>
      <c r="G612" s="100"/>
      <c r="H612" s="824"/>
      <c r="I612" s="1126"/>
      <c r="J612" s="1135"/>
      <c r="K612" s="1135"/>
      <c r="L612" s="916"/>
      <c r="M612" s="916"/>
    </row>
    <row r="613" spans="1:13" s="103" customFormat="1" ht="16.5" collapsed="1" thickBot="1">
      <c r="A613" s="916"/>
      <c r="B613" s="916"/>
      <c r="C613" s="916"/>
      <c r="D613" s="918"/>
      <c r="E613" s="916"/>
      <c r="F613" s="919"/>
      <c r="G613" s="920"/>
      <c r="H613" s="918"/>
      <c r="I613" s="71" t="s">
        <v>5</v>
      </c>
      <c r="J613" s="72">
        <f>SUM(J13:J612)</f>
        <v>0</v>
      </c>
      <c r="K613" s="72"/>
      <c r="L613" s="916"/>
      <c r="M613" s="916"/>
    </row>
    <row r="614" spans="1:13" s="106" customFormat="1">
      <c r="A614" s="917"/>
      <c r="B614" s="921"/>
      <c r="C614" s="917"/>
      <c r="D614" s="922"/>
      <c r="E614" s="917"/>
      <c r="F614" s="916"/>
      <c r="G614" s="918"/>
      <c r="H614" s="922"/>
      <c r="I614" s="922"/>
      <c r="J614" s="917"/>
      <c r="K614" s="917"/>
      <c r="L614" s="917"/>
      <c r="M614" s="917"/>
    </row>
    <row r="615" spans="1:13">
      <c r="A615" s="880"/>
      <c r="B615" s="913"/>
      <c r="C615" s="913"/>
      <c r="D615" s="909"/>
      <c r="E615" s="913"/>
      <c r="F615" s="919"/>
      <c r="G615" s="923"/>
      <c r="H615" s="903"/>
      <c r="I615" s="903"/>
      <c r="J615" s="880"/>
      <c r="K615" s="880"/>
      <c r="L615" s="880"/>
      <c r="M615" s="880"/>
    </row>
    <row r="616" spans="1:13">
      <c r="A616" s="880"/>
      <c r="B616" s="880"/>
      <c r="C616" s="880"/>
      <c r="D616" s="922"/>
      <c r="E616" s="916"/>
      <c r="F616" s="919"/>
      <c r="G616" s="923"/>
      <c r="H616" s="903"/>
      <c r="I616" s="903"/>
      <c r="J616" s="880"/>
      <c r="K616" s="880"/>
      <c r="L616" s="880"/>
      <c r="M616" s="880"/>
    </row>
    <row r="617" spans="1:13">
      <c r="F617" s="105"/>
    </row>
    <row r="618" spans="1:13">
      <c r="F618" s="105"/>
    </row>
    <row r="619" spans="1:13">
      <c r="F619" s="105"/>
    </row>
    <row r="620" spans="1:13">
      <c r="F620" s="105"/>
    </row>
    <row r="621" spans="1:13">
      <c r="F621" s="1145"/>
      <c r="G621" s="1146"/>
      <c r="H621" s="1146"/>
      <c r="I621" s="1146"/>
      <c r="J621" s="77"/>
      <c r="K621" s="76"/>
    </row>
    <row r="622" spans="1:13">
      <c r="F622" s="105"/>
    </row>
    <row r="623" spans="1:13">
      <c r="F623" s="105"/>
    </row>
    <row r="624" spans="1:13">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32 E34:E612" xr:uid="{00000000-0002-0000-0D00-000000000000}">
      <formula1>$N$13:$N$17</formula1>
    </dataValidation>
  </dataValidations>
  <hyperlinks>
    <hyperlink ref="C1" location="Spis!B37" display="&gt;&gt; powrót do spisu treści" xr:uid="{00000000-0004-0000-0D00-000000000000}"/>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68">
    <pageSetUpPr fitToPage="1"/>
  </sheetPr>
  <dimension ref="A1:S2067"/>
  <sheetViews>
    <sheetView zoomScale="90" zoomScaleNormal="90" workbookViewId="0">
      <pane ySplit="6" topLeftCell="A7" activePane="bottomLeft" state="frozen"/>
      <selection pane="bottomLeft" activeCell="B2" sqref="B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5.77734375" style="78" customWidth="1"/>
    <col min="13" max="15" width="15.77734375" style="78" hidden="1" customWidth="1"/>
    <col min="16" max="16" width="0" style="78" hidden="1" customWidth="1"/>
    <col min="17"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47" t="s">
        <v>19</v>
      </c>
      <c r="D3" s="1147"/>
      <c r="E3" s="1147"/>
      <c r="F3" s="1147"/>
      <c r="G3" s="1147"/>
      <c r="H3" s="1148"/>
      <c r="I3" s="903"/>
      <c r="J3" s="880"/>
      <c r="K3" s="880"/>
      <c r="L3" s="880"/>
    </row>
    <row r="4" spans="1:19" ht="15" customHeight="1">
      <c r="A4" s="898"/>
      <c r="B4" s="915" t="s">
        <v>27</v>
      </c>
      <c r="C4" s="1147" t="s">
        <v>177</v>
      </c>
      <c r="D4" s="1147"/>
      <c r="E4" s="1147"/>
      <c r="F4" s="1147"/>
      <c r="G4" s="1147"/>
      <c r="H4" s="1148"/>
      <c r="I4" s="903"/>
      <c r="J4" s="880"/>
      <c r="K4" s="880"/>
      <c r="L4" s="880"/>
    </row>
    <row r="5" spans="1:19" ht="15" customHeight="1">
      <c r="A5" s="880"/>
      <c r="B5" s="897" t="s">
        <v>28</v>
      </c>
      <c r="C5" s="1116" t="s">
        <v>104</v>
      </c>
      <c r="D5" s="1116"/>
      <c r="E5" s="1116"/>
      <c r="F5" s="1116"/>
      <c r="G5" s="1116"/>
      <c r="H5" s="1148"/>
      <c r="I5" s="903"/>
      <c r="J5" s="880"/>
      <c r="K5" s="880"/>
      <c r="L5" s="880"/>
    </row>
    <row r="6" spans="1:19" ht="50.1" customHeight="1">
      <c r="A6" s="880"/>
      <c r="B6" s="897" t="s">
        <v>35</v>
      </c>
      <c r="C6" s="1116" t="s">
        <v>175</v>
      </c>
      <c r="D6" s="1120"/>
      <c r="E6" s="1120"/>
      <c r="F6" s="1120"/>
      <c r="G6" s="1120"/>
      <c r="H6" s="1148"/>
      <c r="I6" s="903"/>
      <c r="J6" s="880"/>
      <c r="K6" s="880"/>
      <c r="L6" s="880"/>
    </row>
    <row r="7" spans="1:19" s="79" customFormat="1" ht="30" customHeight="1" thickBot="1">
      <c r="A7" s="907"/>
      <c r="B7" s="908" t="s">
        <v>249</v>
      </c>
      <c r="C7" s="911"/>
      <c r="D7" s="909"/>
      <c r="E7" s="907"/>
      <c r="F7" s="910"/>
      <c r="G7" s="911"/>
      <c r="H7" s="912"/>
      <c r="I7" s="912"/>
      <c r="J7" s="913"/>
      <c r="K7" s="913"/>
      <c r="L7" s="913"/>
      <c r="M7" s="81"/>
    </row>
    <row r="8" spans="1:19"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c r="P8" s="76"/>
      <c r="Q8" s="76"/>
      <c r="R8" s="76"/>
      <c r="S8" s="76"/>
    </row>
    <row r="9" spans="1:19" ht="20.100000000000001" customHeight="1" thickBot="1">
      <c r="A9" s="880"/>
      <c r="B9" s="1152"/>
      <c r="C9" s="1106"/>
      <c r="D9" s="1106"/>
      <c r="E9" s="1106"/>
      <c r="F9" s="1106"/>
      <c r="G9" s="1106"/>
      <c r="H9" s="1106"/>
      <c r="I9" s="1103"/>
      <c r="J9" s="628">
        <f>Rok_ZPR</f>
        <v>2023</v>
      </c>
      <c r="K9" s="1102"/>
      <c r="L9" s="860"/>
      <c r="M9" s="84"/>
      <c r="N9" s="76"/>
      <c r="O9" s="76"/>
      <c r="P9" s="76"/>
      <c r="Q9" s="76"/>
      <c r="R9" s="76"/>
      <c r="S9" s="76"/>
    </row>
    <row r="10" spans="1:19" ht="20.100000000000001" customHeight="1">
      <c r="A10" s="880"/>
      <c r="B10" s="1152"/>
      <c r="C10" s="1106"/>
      <c r="D10" s="1106"/>
      <c r="E10" s="1106"/>
      <c r="F10" s="1106"/>
      <c r="G10" s="1106"/>
      <c r="H10" s="1106"/>
      <c r="I10" s="1104"/>
      <c r="J10" s="628" t="str">
        <f>'Tab.G1.1-4'!$D$11</f>
        <v>[tys. zł]</v>
      </c>
      <c r="K10" s="1102"/>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row>
    <row r="14" spans="1:19" s="82" customFormat="1" ht="12.75" customHeight="1">
      <c r="A14" s="900"/>
      <c r="B14" s="1123"/>
      <c r="C14" s="1153"/>
      <c r="D14" s="1125"/>
      <c r="E14" s="1125"/>
      <c r="F14" s="1130"/>
      <c r="G14" s="95"/>
      <c r="H14" s="1125"/>
      <c r="I14" s="1125"/>
      <c r="J14" s="1134"/>
      <c r="K14" s="1134"/>
      <c r="L14" s="892"/>
      <c r="M14" s="86"/>
      <c r="N14" s="96" t="s">
        <v>22</v>
      </c>
      <c r="O14" s="97" t="s">
        <v>59</v>
      </c>
    </row>
    <row r="15" spans="1:19" s="82" customFormat="1" ht="12.75" customHeight="1">
      <c r="A15" s="900"/>
      <c r="B15" s="1124"/>
      <c r="C15" s="1154"/>
      <c r="D15" s="1126"/>
      <c r="E15" s="1126"/>
      <c r="F15" s="1132"/>
      <c r="G15" s="100"/>
      <c r="H15" s="1126"/>
      <c r="I15" s="1126"/>
      <c r="J15" s="1135"/>
      <c r="K15" s="1135"/>
      <c r="L15" s="892"/>
      <c r="M15" s="86"/>
      <c r="N15" s="96" t="s">
        <v>23</v>
      </c>
      <c r="O15" s="97" t="s">
        <v>24</v>
      </c>
    </row>
    <row r="16" spans="1:19"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row>
    <row r="17" spans="1:15" s="82" customFormat="1" ht="12.75" customHeight="1" thickBot="1">
      <c r="A17" s="900"/>
      <c r="B17" s="1123"/>
      <c r="C17" s="1127"/>
      <c r="D17" s="1125"/>
      <c r="E17" s="1125"/>
      <c r="F17" s="1130"/>
      <c r="G17" s="95"/>
      <c r="H17" s="1125"/>
      <c r="I17" s="1125"/>
      <c r="J17" s="1134"/>
      <c r="K17" s="1134"/>
      <c r="L17" s="892"/>
      <c r="M17" s="86"/>
      <c r="N17" s="101" t="s">
        <v>18</v>
      </c>
      <c r="O17" s="102" t="s">
        <v>18</v>
      </c>
    </row>
    <row r="18" spans="1:15" s="82" customFormat="1" ht="12.75" customHeight="1">
      <c r="A18" s="900"/>
      <c r="B18" s="1124"/>
      <c r="C18" s="1128"/>
      <c r="D18" s="1126"/>
      <c r="E18" s="1126"/>
      <c r="F18" s="1132"/>
      <c r="G18" s="100"/>
      <c r="H18" s="1126"/>
      <c r="I18" s="1126"/>
      <c r="J18" s="1135"/>
      <c r="K18" s="1135"/>
      <c r="L18" s="892"/>
      <c r="M18" s="86"/>
      <c r="N18" s="103"/>
      <c r="O18" s="104"/>
    </row>
    <row r="19" spans="1:15" s="82" customFormat="1" ht="12.75" customHeight="1">
      <c r="A19" s="900"/>
      <c r="B19" s="1123">
        <v>3</v>
      </c>
      <c r="C19" s="1127"/>
      <c r="D19" s="1125"/>
      <c r="E19" s="1125" t="s">
        <v>18</v>
      </c>
      <c r="F19" s="1130" t="str">
        <f>VLOOKUP(E19,$N$13:$O$17,2,0)</f>
        <v>-</v>
      </c>
      <c r="G19" s="92"/>
      <c r="H19" s="1125"/>
      <c r="I19" s="1125"/>
      <c r="J19" s="1133"/>
      <c r="K19" s="1133"/>
      <c r="L19" s="892"/>
      <c r="M19" s="86"/>
      <c r="N19" s="103"/>
      <c r="O19" s="104"/>
    </row>
    <row r="20" spans="1:15" s="82" customFormat="1" ht="12.75" customHeight="1">
      <c r="A20" s="900"/>
      <c r="B20" s="1123"/>
      <c r="C20" s="1127"/>
      <c r="D20" s="1125"/>
      <c r="E20" s="1125"/>
      <c r="F20" s="1130"/>
      <c r="G20" s="95"/>
      <c r="H20" s="1125"/>
      <c r="I20" s="1125"/>
      <c r="J20" s="1134"/>
      <c r="K20" s="1134"/>
      <c r="L20" s="892"/>
      <c r="M20" s="86"/>
      <c r="N20" s="103"/>
      <c r="O20" s="104"/>
    </row>
    <row r="21" spans="1:15" s="82" customFormat="1" ht="12.75" customHeight="1">
      <c r="A21" s="900"/>
      <c r="B21" s="1124"/>
      <c r="C21" s="1128"/>
      <c r="D21" s="1126"/>
      <c r="E21" s="1126"/>
      <c r="F21" s="1132"/>
      <c r="G21" s="100"/>
      <c r="H21" s="1126"/>
      <c r="I21" s="1126"/>
      <c r="J21" s="1135"/>
      <c r="K21" s="1135"/>
      <c r="L21" s="892"/>
      <c r="M21" s="86"/>
      <c r="N21" s="103"/>
      <c r="O21" s="104"/>
    </row>
    <row r="22" spans="1:15" s="82" customFormat="1" ht="12.75" customHeight="1">
      <c r="A22" s="900"/>
      <c r="B22" s="1123">
        <v>4</v>
      </c>
      <c r="C22" s="1127"/>
      <c r="D22" s="1125"/>
      <c r="E22" s="1125" t="s">
        <v>18</v>
      </c>
      <c r="F22" s="1130" t="str">
        <f>VLOOKUP(E22,$N$13:$O$17,2,0)</f>
        <v>-</v>
      </c>
      <c r="G22" s="92"/>
      <c r="H22" s="1125"/>
      <c r="I22" s="1125"/>
      <c r="J22" s="1133"/>
      <c r="K22" s="1133"/>
      <c r="L22" s="892"/>
      <c r="M22" s="86"/>
      <c r="N22" s="103"/>
      <c r="O22" s="104"/>
    </row>
    <row r="23" spans="1:15" s="82" customFormat="1" ht="12.75" customHeight="1">
      <c r="A23" s="900"/>
      <c r="B23" s="1123"/>
      <c r="C23" s="1127"/>
      <c r="D23" s="1125"/>
      <c r="E23" s="1125"/>
      <c r="F23" s="1130"/>
      <c r="G23" s="95"/>
      <c r="H23" s="1125"/>
      <c r="I23" s="1125"/>
      <c r="J23" s="1134"/>
      <c r="K23" s="1134"/>
      <c r="L23" s="892"/>
      <c r="M23" s="86"/>
      <c r="N23" s="103"/>
      <c r="O23" s="104"/>
    </row>
    <row r="24" spans="1:15" s="82" customFormat="1" ht="12.75" customHeight="1">
      <c r="A24" s="900"/>
      <c r="B24" s="1124"/>
      <c r="C24" s="1128"/>
      <c r="D24" s="1126"/>
      <c r="E24" s="1126"/>
      <c r="F24" s="1132"/>
      <c r="G24" s="100"/>
      <c r="H24" s="1126"/>
      <c r="I24" s="1126"/>
      <c r="J24" s="1135"/>
      <c r="K24" s="1135"/>
      <c r="L24" s="892"/>
      <c r="M24" s="86"/>
      <c r="N24" s="103"/>
      <c r="O24" s="104"/>
    </row>
    <row r="25" spans="1:15" s="82" customFormat="1" ht="12.75" customHeight="1">
      <c r="A25" s="900"/>
      <c r="B25" s="1123">
        <v>5</v>
      </c>
      <c r="C25" s="1127"/>
      <c r="D25" s="1125"/>
      <c r="E25" s="1125" t="s">
        <v>18</v>
      </c>
      <c r="F25" s="1130" t="str">
        <f>VLOOKUP(E25,$N$13:$O$17,2,0)</f>
        <v>-</v>
      </c>
      <c r="G25" s="92"/>
      <c r="H25" s="1125"/>
      <c r="I25" s="1125"/>
      <c r="J25" s="1133"/>
      <c r="K25" s="1133"/>
      <c r="L25" s="892"/>
      <c r="M25" s="86"/>
      <c r="N25" s="103"/>
      <c r="O25" s="104"/>
    </row>
    <row r="26" spans="1:15" s="82" customFormat="1" ht="12.75" customHeight="1">
      <c r="A26" s="900"/>
      <c r="B26" s="1123"/>
      <c r="C26" s="1127"/>
      <c r="D26" s="1125"/>
      <c r="E26" s="1125"/>
      <c r="F26" s="1130"/>
      <c r="G26" s="95"/>
      <c r="H26" s="1125"/>
      <c r="I26" s="1125"/>
      <c r="J26" s="1134"/>
      <c r="K26" s="1134"/>
      <c r="L26" s="892"/>
      <c r="M26" s="86"/>
      <c r="N26" s="103"/>
      <c r="O26" s="104"/>
    </row>
    <row r="27" spans="1:15" s="82" customFormat="1" ht="12.75" customHeight="1">
      <c r="A27" s="900"/>
      <c r="B27" s="1124"/>
      <c r="C27" s="1128"/>
      <c r="D27" s="1126"/>
      <c r="E27" s="1126"/>
      <c r="F27" s="1132"/>
      <c r="G27" s="100"/>
      <c r="H27" s="1126"/>
      <c r="I27" s="1126"/>
      <c r="J27" s="1135"/>
      <c r="K27" s="1135"/>
      <c r="L27" s="892"/>
      <c r="M27" s="86"/>
      <c r="N27" s="103"/>
      <c r="O27" s="104"/>
    </row>
    <row r="28" spans="1:15" s="82" customFormat="1" ht="12.75" customHeight="1">
      <c r="A28" s="900"/>
      <c r="B28" s="1123">
        <v>6</v>
      </c>
      <c r="C28" s="1127"/>
      <c r="D28" s="1125"/>
      <c r="E28" s="1125" t="s">
        <v>18</v>
      </c>
      <c r="F28" s="1130" t="str">
        <f>VLOOKUP(E28,$N$13:$O$17,2,0)</f>
        <v>-</v>
      </c>
      <c r="G28" s="92"/>
      <c r="H28" s="1125"/>
      <c r="I28" s="1125"/>
      <c r="J28" s="1133"/>
      <c r="K28" s="1133"/>
      <c r="L28" s="892"/>
      <c r="M28" s="86"/>
      <c r="N28" s="103"/>
      <c r="O28" s="104"/>
    </row>
    <row r="29" spans="1:15" s="82" customFormat="1" ht="12.75" customHeight="1">
      <c r="A29" s="900"/>
      <c r="B29" s="1123"/>
      <c r="C29" s="1127"/>
      <c r="D29" s="1125"/>
      <c r="E29" s="1125"/>
      <c r="F29" s="1130"/>
      <c r="G29" s="95"/>
      <c r="H29" s="1125"/>
      <c r="I29" s="1125"/>
      <c r="J29" s="1134"/>
      <c r="K29" s="1134"/>
      <c r="L29" s="892"/>
      <c r="M29" s="86"/>
      <c r="N29" s="103"/>
      <c r="O29" s="104"/>
    </row>
    <row r="30" spans="1:15" s="82" customFormat="1" ht="12.75" customHeight="1">
      <c r="A30" s="900"/>
      <c r="B30" s="1124"/>
      <c r="C30" s="1128"/>
      <c r="D30" s="1126"/>
      <c r="E30" s="1126"/>
      <c r="F30" s="1132"/>
      <c r="G30" s="100"/>
      <c r="H30" s="1126"/>
      <c r="I30" s="1126"/>
      <c r="J30" s="1135"/>
      <c r="K30" s="1135"/>
      <c r="L30" s="892"/>
      <c r="M30" s="86"/>
      <c r="N30" s="103"/>
      <c r="O30" s="104"/>
    </row>
    <row r="31" spans="1:15" s="82" customFormat="1" ht="12.75" customHeight="1">
      <c r="A31" s="900"/>
      <c r="B31" s="1123">
        <v>7</v>
      </c>
      <c r="C31" s="1127"/>
      <c r="D31" s="1125"/>
      <c r="E31" s="1125" t="s">
        <v>18</v>
      </c>
      <c r="F31" s="1130" t="str">
        <f>VLOOKUP(E31,$N$13:$O$17,2,0)</f>
        <v>-</v>
      </c>
      <c r="G31" s="92"/>
      <c r="H31" s="1125"/>
      <c r="I31" s="1125"/>
      <c r="J31" s="1133"/>
      <c r="K31" s="1133"/>
      <c r="L31" s="892"/>
      <c r="M31" s="86"/>
      <c r="N31" s="103"/>
      <c r="O31" s="104"/>
    </row>
    <row r="32" spans="1:15" s="82" customFormat="1" ht="12.75" customHeight="1">
      <c r="A32" s="900"/>
      <c r="B32" s="1123"/>
      <c r="C32" s="1127"/>
      <c r="D32" s="1125"/>
      <c r="E32" s="1125"/>
      <c r="F32" s="1130"/>
      <c r="G32" s="95"/>
      <c r="H32" s="1125"/>
      <c r="I32" s="1125"/>
      <c r="J32" s="1134"/>
      <c r="K32" s="1134"/>
      <c r="L32" s="892"/>
      <c r="M32" s="86"/>
      <c r="N32" s="103"/>
      <c r="O32" s="104"/>
    </row>
    <row r="33" spans="1:15" s="82" customFormat="1" ht="12.75" customHeight="1">
      <c r="A33" s="900"/>
      <c r="B33" s="1124"/>
      <c r="C33" s="1128"/>
      <c r="D33" s="1126"/>
      <c r="E33" s="1126"/>
      <c r="F33" s="1132"/>
      <c r="G33" s="100"/>
      <c r="H33" s="1126"/>
      <c r="I33" s="1126"/>
      <c r="J33" s="1135"/>
      <c r="K33" s="1135"/>
      <c r="L33" s="892"/>
      <c r="M33" s="86"/>
      <c r="N33" s="103"/>
      <c r="O33" s="104"/>
    </row>
    <row r="34" spans="1:15" s="82" customFormat="1" ht="12.75" customHeight="1">
      <c r="A34" s="900"/>
      <c r="B34" s="1123">
        <v>8</v>
      </c>
      <c r="C34" s="1127"/>
      <c r="D34" s="1125"/>
      <c r="E34" s="1125" t="s">
        <v>18</v>
      </c>
      <c r="F34" s="1130" t="str">
        <f>VLOOKUP(E34,$N$13:$O$17,2,0)</f>
        <v>-</v>
      </c>
      <c r="G34" s="92"/>
      <c r="H34" s="1125"/>
      <c r="I34" s="1125"/>
      <c r="J34" s="1133"/>
      <c r="K34" s="1133"/>
      <c r="L34" s="892"/>
      <c r="M34" s="86"/>
      <c r="N34" s="103"/>
      <c r="O34" s="104"/>
    </row>
    <row r="35" spans="1:15" s="82" customFormat="1" ht="12.75" customHeight="1">
      <c r="A35" s="900"/>
      <c r="B35" s="1123"/>
      <c r="C35" s="1127"/>
      <c r="D35" s="1125"/>
      <c r="E35" s="1125"/>
      <c r="F35" s="1130"/>
      <c r="G35" s="91"/>
      <c r="H35" s="1125"/>
      <c r="I35" s="1125"/>
      <c r="J35" s="1134"/>
      <c r="K35" s="1134"/>
      <c r="L35" s="892"/>
      <c r="M35" s="86"/>
      <c r="N35" s="103"/>
      <c r="O35" s="104"/>
    </row>
    <row r="36" spans="1:15" s="82" customFormat="1" ht="12.75" customHeight="1">
      <c r="A36" s="900"/>
      <c r="B36" s="1124"/>
      <c r="C36" s="1128"/>
      <c r="D36" s="1126"/>
      <c r="E36" s="1126"/>
      <c r="F36" s="1132"/>
      <c r="G36" s="100"/>
      <c r="H36" s="1126"/>
      <c r="I36" s="1126"/>
      <c r="J36" s="1135"/>
      <c r="K36" s="1135"/>
      <c r="L36" s="892"/>
      <c r="M36" s="86"/>
      <c r="N36" s="103"/>
      <c r="O36" s="104"/>
    </row>
    <row r="37" spans="1:15" s="82" customFormat="1" ht="12.75" customHeight="1">
      <c r="A37" s="900"/>
      <c r="B37" s="1123">
        <v>9</v>
      </c>
      <c r="C37" s="1127"/>
      <c r="D37" s="1125"/>
      <c r="E37" s="1125" t="s">
        <v>18</v>
      </c>
      <c r="F37" s="1130" t="str">
        <f>VLOOKUP(E37,$N$13:$O$17,2,0)</f>
        <v>-</v>
      </c>
      <c r="G37" s="92"/>
      <c r="H37" s="1125"/>
      <c r="I37" s="1125"/>
      <c r="J37" s="1133"/>
      <c r="K37" s="1133"/>
      <c r="L37" s="892"/>
      <c r="M37" s="86"/>
      <c r="N37" s="103"/>
      <c r="O37" s="104"/>
    </row>
    <row r="38" spans="1:15" s="82" customFormat="1" ht="12.75" customHeight="1">
      <c r="A38" s="900"/>
      <c r="B38" s="1123"/>
      <c r="C38" s="1127"/>
      <c r="D38" s="1125"/>
      <c r="E38" s="1125"/>
      <c r="F38" s="1130"/>
      <c r="G38" s="95"/>
      <c r="H38" s="1125"/>
      <c r="I38" s="1125"/>
      <c r="J38" s="1134"/>
      <c r="K38" s="1134"/>
      <c r="L38" s="892"/>
      <c r="M38" s="86"/>
      <c r="N38" s="103"/>
      <c r="O38" s="104"/>
    </row>
    <row r="39" spans="1:15" s="82" customFormat="1" ht="12.75" customHeight="1">
      <c r="A39" s="900"/>
      <c r="B39" s="1124"/>
      <c r="C39" s="1128"/>
      <c r="D39" s="1126"/>
      <c r="E39" s="1126"/>
      <c r="F39" s="1132"/>
      <c r="G39" s="100"/>
      <c r="H39" s="1126"/>
      <c r="I39" s="1126"/>
      <c r="J39" s="1135"/>
      <c r="K39" s="1135"/>
      <c r="L39" s="892"/>
      <c r="M39" s="86"/>
      <c r="N39" s="103"/>
      <c r="O39" s="104"/>
    </row>
    <row r="40" spans="1:15" s="82" customFormat="1" ht="12.75" customHeight="1">
      <c r="A40" s="900"/>
      <c r="B40" s="1123">
        <v>10</v>
      </c>
      <c r="C40" s="1127"/>
      <c r="D40" s="1125"/>
      <c r="E40" s="1125" t="s">
        <v>18</v>
      </c>
      <c r="F40" s="1130" t="str">
        <f>VLOOKUP(E40,$N$13:$O$17,2,0)</f>
        <v>-</v>
      </c>
      <c r="G40" s="92"/>
      <c r="H40" s="1125"/>
      <c r="I40" s="1125"/>
      <c r="J40" s="1133"/>
      <c r="K40" s="1133"/>
      <c r="L40" s="892"/>
      <c r="M40" s="86"/>
      <c r="N40" s="103"/>
      <c r="O40" s="104"/>
    </row>
    <row r="41" spans="1:15" s="82" customFormat="1" ht="12.75" customHeight="1">
      <c r="A41" s="900"/>
      <c r="B41" s="1123"/>
      <c r="C41" s="1127"/>
      <c r="D41" s="1125"/>
      <c r="E41" s="1125"/>
      <c r="F41" s="1130"/>
      <c r="G41" s="95"/>
      <c r="H41" s="1125"/>
      <c r="I41" s="1125"/>
      <c r="J41" s="1134"/>
      <c r="K41" s="1134"/>
      <c r="L41" s="892"/>
      <c r="M41" s="86"/>
      <c r="N41" s="103"/>
      <c r="O41" s="104"/>
    </row>
    <row r="42" spans="1:15" s="82" customFormat="1" ht="12.75" customHeight="1" thickBot="1">
      <c r="A42" s="900"/>
      <c r="B42" s="1124"/>
      <c r="C42" s="1128"/>
      <c r="D42" s="1126"/>
      <c r="E42" s="1126"/>
      <c r="F42" s="1132"/>
      <c r="G42" s="100"/>
      <c r="H42" s="1126"/>
      <c r="I42" s="1126"/>
      <c r="J42" s="1135"/>
      <c r="K42" s="1135"/>
      <c r="L42" s="892"/>
      <c r="M42" s="86"/>
      <c r="N42" s="103"/>
      <c r="O42" s="104"/>
    </row>
    <row r="43" spans="1:15" s="103" customFormat="1" ht="15.75" hidden="1" customHeight="1" outlineLevel="1">
      <c r="A43" s="916"/>
      <c r="B43" s="1123">
        <v>11</v>
      </c>
      <c r="C43" s="1127"/>
      <c r="D43" s="1125"/>
      <c r="E43" s="1125" t="s">
        <v>18</v>
      </c>
      <c r="F43" s="1130" t="str">
        <f>VLOOKUP(E43,$N$13:$O$17,2,0)</f>
        <v>-</v>
      </c>
      <c r="G43" s="92"/>
      <c r="H43" s="1125"/>
      <c r="I43" s="1125"/>
      <c r="J43" s="1133"/>
      <c r="K43" s="1133"/>
      <c r="L43" s="916"/>
    </row>
    <row r="44" spans="1:15" s="103" customFormat="1" ht="15.75" hidden="1" customHeight="1" outlineLevel="1">
      <c r="A44" s="916"/>
      <c r="B44" s="1123"/>
      <c r="C44" s="1127"/>
      <c r="D44" s="1125"/>
      <c r="E44" s="1125"/>
      <c r="F44" s="1130"/>
      <c r="G44" s="95"/>
      <c r="H44" s="1125"/>
      <c r="I44" s="1125"/>
      <c r="J44" s="1134"/>
      <c r="K44" s="1134"/>
      <c r="L44" s="916"/>
    </row>
    <row r="45" spans="1:15" s="80" customFormat="1" ht="15.75" hidden="1" customHeight="1" outlineLevel="1">
      <c r="A45" s="910"/>
      <c r="B45" s="1124"/>
      <c r="C45" s="1128"/>
      <c r="D45" s="1126"/>
      <c r="E45" s="1126"/>
      <c r="F45" s="1132"/>
      <c r="G45" s="100"/>
      <c r="H45" s="1126"/>
      <c r="I45" s="1126"/>
      <c r="J45" s="1135"/>
      <c r="K45" s="1135"/>
      <c r="L45" s="910"/>
    </row>
    <row r="46" spans="1:15" s="80" customFormat="1" ht="15.75" hidden="1" customHeight="1" outlineLevel="1">
      <c r="A46" s="910"/>
      <c r="B46" s="1123">
        <v>12</v>
      </c>
      <c r="C46" s="1127"/>
      <c r="D46" s="1125"/>
      <c r="E46" s="1125" t="s">
        <v>18</v>
      </c>
      <c r="F46" s="1130" t="str">
        <f>VLOOKUP(E46,$N$13:$O$17,2,0)</f>
        <v>-</v>
      </c>
      <c r="G46" s="92"/>
      <c r="H46" s="1125"/>
      <c r="I46" s="1125"/>
      <c r="J46" s="1133"/>
      <c r="K46" s="1133"/>
      <c r="L46" s="910"/>
    </row>
    <row r="47" spans="1:15" s="103" customFormat="1" ht="15.75" hidden="1" customHeight="1" outlineLevel="1">
      <c r="A47" s="916"/>
      <c r="B47" s="1123"/>
      <c r="C47" s="1127"/>
      <c r="D47" s="1125"/>
      <c r="E47" s="1125"/>
      <c r="F47" s="1130"/>
      <c r="G47" s="95"/>
      <c r="H47" s="1125"/>
      <c r="I47" s="1125"/>
      <c r="J47" s="1134"/>
      <c r="K47" s="1134"/>
      <c r="L47" s="916"/>
    </row>
    <row r="48" spans="1:15" s="103" customFormat="1" ht="15.75" hidden="1" customHeight="1" outlineLevel="1">
      <c r="A48" s="916"/>
      <c r="B48" s="1124"/>
      <c r="C48" s="1128"/>
      <c r="D48" s="1126"/>
      <c r="E48" s="1126"/>
      <c r="F48" s="1132"/>
      <c r="G48" s="100"/>
      <c r="H48" s="1126"/>
      <c r="I48" s="1126"/>
      <c r="J48" s="1135"/>
      <c r="K48" s="1135"/>
      <c r="L48" s="916"/>
    </row>
    <row r="49" spans="1:12" s="103" customFormat="1" ht="15.75" hidden="1" customHeight="1" outlineLevel="1">
      <c r="A49" s="916"/>
      <c r="B49" s="1123">
        <v>13</v>
      </c>
      <c r="C49" s="1127"/>
      <c r="D49" s="1125"/>
      <c r="E49" s="1125" t="s">
        <v>18</v>
      </c>
      <c r="F49" s="1130" t="str">
        <f>VLOOKUP(E49,$N$13:$O$17,2,0)</f>
        <v>-</v>
      </c>
      <c r="G49" s="92"/>
      <c r="H49" s="1125"/>
      <c r="I49" s="1125"/>
      <c r="J49" s="1133"/>
      <c r="K49" s="1133"/>
      <c r="L49" s="916"/>
    </row>
    <row r="50" spans="1:12" s="103" customFormat="1" ht="15.75" hidden="1" customHeight="1" outlineLevel="1">
      <c r="A50" s="916"/>
      <c r="B50" s="1123"/>
      <c r="C50" s="1127"/>
      <c r="D50" s="1125"/>
      <c r="E50" s="1125"/>
      <c r="F50" s="1130"/>
      <c r="G50" s="95"/>
      <c r="H50" s="1125"/>
      <c r="I50" s="1125"/>
      <c r="J50" s="1134"/>
      <c r="K50" s="1134"/>
      <c r="L50" s="916"/>
    </row>
    <row r="51" spans="1:12" s="103" customFormat="1" ht="15.75" hidden="1" customHeight="1" outlineLevel="1">
      <c r="A51" s="916"/>
      <c r="B51" s="1124"/>
      <c r="C51" s="1128"/>
      <c r="D51" s="1126"/>
      <c r="E51" s="1126"/>
      <c r="F51" s="1132"/>
      <c r="G51" s="100"/>
      <c r="H51" s="1126"/>
      <c r="I51" s="1126"/>
      <c r="J51" s="1135"/>
      <c r="K51" s="1135"/>
      <c r="L51" s="916"/>
    </row>
    <row r="52" spans="1:12" s="103" customFormat="1" ht="15.75" hidden="1" customHeight="1" outlineLevel="1">
      <c r="A52" s="916"/>
      <c r="B52" s="1123">
        <v>14</v>
      </c>
      <c r="C52" s="1127"/>
      <c r="D52" s="1125"/>
      <c r="E52" s="1125" t="s">
        <v>18</v>
      </c>
      <c r="F52" s="1130" t="str">
        <f>VLOOKUP(E52,$N$13:$O$17,2,0)</f>
        <v>-</v>
      </c>
      <c r="G52" s="92"/>
      <c r="H52" s="1125"/>
      <c r="I52" s="1125"/>
      <c r="J52" s="1133"/>
      <c r="K52" s="1133"/>
      <c r="L52" s="916"/>
    </row>
    <row r="53" spans="1:12" s="103" customFormat="1" ht="15.75" hidden="1" customHeight="1" outlineLevel="1">
      <c r="A53" s="916"/>
      <c r="B53" s="1123"/>
      <c r="C53" s="1127"/>
      <c r="D53" s="1125"/>
      <c r="E53" s="1125"/>
      <c r="F53" s="1130"/>
      <c r="G53" s="95"/>
      <c r="H53" s="1125"/>
      <c r="I53" s="1125"/>
      <c r="J53" s="1134"/>
      <c r="K53" s="1134"/>
      <c r="L53" s="916"/>
    </row>
    <row r="54" spans="1:12" s="103" customFormat="1" ht="15.75" hidden="1" customHeight="1" outlineLevel="1">
      <c r="A54" s="916"/>
      <c r="B54" s="1124"/>
      <c r="C54" s="1128"/>
      <c r="D54" s="1126"/>
      <c r="E54" s="1126"/>
      <c r="F54" s="1132"/>
      <c r="G54" s="100"/>
      <c r="H54" s="1126"/>
      <c r="I54" s="1126"/>
      <c r="J54" s="1135"/>
      <c r="K54" s="1135"/>
      <c r="L54" s="916"/>
    </row>
    <row r="55" spans="1:12" s="103" customFormat="1" ht="15.75" hidden="1" customHeight="1" outlineLevel="1">
      <c r="A55" s="916"/>
      <c r="B55" s="1123">
        <v>15</v>
      </c>
      <c r="C55" s="1127"/>
      <c r="D55" s="1125"/>
      <c r="E55" s="1125" t="s">
        <v>18</v>
      </c>
      <c r="F55" s="1130" t="str">
        <f>VLOOKUP(E55,$N$13:$O$17,2,0)</f>
        <v>-</v>
      </c>
      <c r="G55" s="92"/>
      <c r="H55" s="1125"/>
      <c r="I55" s="1125"/>
      <c r="J55" s="1133"/>
      <c r="K55" s="1133"/>
      <c r="L55" s="916"/>
    </row>
    <row r="56" spans="1:12" s="103" customFormat="1" ht="15.75" hidden="1" customHeight="1" outlineLevel="1">
      <c r="A56" s="916"/>
      <c r="B56" s="1123"/>
      <c r="C56" s="1127"/>
      <c r="D56" s="1125"/>
      <c r="E56" s="1125"/>
      <c r="F56" s="1130"/>
      <c r="G56" s="95"/>
      <c r="H56" s="1125"/>
      <c r="I56" s="1125"/>
      <c r="J56" s="1134"/>
      <c r="K56" s="1134"/>
      <c r="L56" s="916"/>
    </row>
    <row r="57" spans="1:12" s="103" customFormat="1" ht="15.75" hidden="1" customHeight="1" outlineLevel="1">
      <c r="A57" s="916"/>
      <c r="B57" s="1124"/>
      <c r="C57" s="1128"/>
      <c r="D57" s="1126"/>
      <c r="E57" s="1126"/>
      <c r="F57" s="1132"/>
      <c r="G57" s="100"/>
      <c r="H57" s="1126"/>
      <c r="I57" s="1126"/>
      <c r="J57" s="1135"/>
      <c r="K57" s="1135"/>
      <c r="L57" s="916"/>
    </row>
    <row r="58" spans="1:12" s="103" customFormat="1" ht="15.75" hidden="1" customHeight="1" outlineLevel="1">
      <c r="A58" s="916"/>
      <c r="B58" s="1123">
        <v>16</v>
      </c>
      <c r="C58" s="1127"/>
      <c r="D58" s="1125"/>
      <c r="E58" s="1125" t="s">
        <v>18</v>
      </c>
      <c r="F58" s="1130" t="str">
        <f>VLOOKUP(E58,$N$13:$O$17,2,0)</f>
        <v>-</v>
      </c>
      <c r="G58" s="92"/>
      <c r="H58" s="1125"/>
      <c r="I58" s="1125"/>
      <c r="J58" s="1133"/>
      <c r="K58" s="1133"/>
      <c r="L58" s="916"/>
    </row>
    <row r="59" spans="1:12" s="103" customFormat="1" ht="15.75" hidden="1" customHeight="1" outlineLevel="1">
      <c r="A59" s="916"/>
      <c r="B59" s="1123"/>
      <c r="C59" s="1127"/>
      <c r="D59" s="1125"/>
      <c r="E59" s="1125"/>
      <c r="F59" s="1130"/>
      <c r="G59" s="95"/>
      <c r="H59" s="1125"/>
      <c r="I59" s="1125"/>
      <c r="J59" s="1134"/>
      <c r="K59" s="1134"/>
      <c r="L59" s="916"/>
    </row>
    <row r="60" spans="1:12" s="103" customFormat="1" ht="15.75" hidden="1" customHeight="1" outlineLevel="1">
      <c r="A60" s="916"/>
      <c r="B60" s="1124"/>
      <c r="C60" s="1128"/>
      <c r="D60" s="1126"/>
      <c r="E60" s="1126"/>
      <c r="F60" s="1132"/>
      <c r="G60" s="100"/>
      <c r="H60" s="1126"/>
      <c r="I60" s="1126"/>
      <c r="J60" s="1135"/>
      <c r="K60" s="1135"/>
      <c r="L60" s="916"/>
    </row>
    <row r="61" spans="1:12" s="103" customFormat="1" ht="15.75" hidden="1" customHeight="1" outlineLevel="1">
      <c r="A61" s="916"/>
      <c r="B61" s="1123">
        <v>17</v>
      </c>
      <c r="C61" s="1127"/>
      <c r="D61" s="1125"/>
      <c r="E61" s="1125" t="s">
        <v>18</v>
      </c>
      <c r="F61" s="1130" t="str">
        <f>VLOOKUP(E61,$N$13:$O$17,2,0)</f>
        <v>-</v>
      </c>
      <c r="G61" s="92"/>
      <c r="H61" s="1125"/>
      <c r="I61" s="1125"/>
      <c r="J61" s="1133"/>
      <c r="K61" s="1133"/>
      <c r="L61" s="916"/>
    </row>
    <row r="62" spans="1:12" s="103" customFormat="1" ht="15.75" hidden="1" customHeight="1" outlineLevel="1">
      <c r="A62" s="916"/>
      <c r="B62" s="1123"/>
      <c r="C62" s="1127"/>
      <c r="D62" s="1125"/>
      <c r="E62" s="1125"/>
      <c r="F62" s="1130"/>
      <c r="G62" s="95"/>
      <c r="H62" s="1125"/>
      <c r="I62" s="1125"/>
      <c r="J62" s="1134"/>
      <c r="K62" s="1134"/>
      <c r="L62" s="916"/>
    </row>
    <row r="63" spans="1:12" s="103" customFormat="1" ht="15.75" hidden="1" customHeight="1" outlineLevel="1">
      <c r="A63" s="916"/>
      <c r="B63" s="1124"/>
      <c r="C63" s="1128"/>
      <c r="D63" s="1126"/>
      <c r="E63" s="1126"/>
      <c r="F63" s="1132"/>
      <c r="G63" s="100"/>
      <c r="H63" s="1126"/>
      <c r="I63" s="1126"/>
      <c r="J63" s="1135"/>
      <c r="K63" s="1135"/>
      <c r="L63" s="916"/>
    </row>
    <row r="64" spans="1:12" s="103" customFormat="1" ht="15.75" hidden="1" customHeight="1" outlineLevel="1">
      <c r="A64" s="916"/>
      <c r="B64" s="1123">
        <v>18</v>
      </c>
      <c r="C64" s="1127"/>
      <c r="D64" s="1125"/>
      <c r="E64" s="1125" t="s">
        <v>18</v>
      </c>
      <c r="F64" s="1130" t="str">
        <f>VLOOKUP(E64,$N$13:$O$17,2,0)</f>
        <v>-</v>
      </c>
      <c r="G64" s="92"/>
      <c r="H64" s="1125"/>
      <c r="I64" s="1125"/>
      <c r="J64" s="1133"/>
      <c r="K64" s="1133"/>
      <c r="L64" s="916"/>
    </row>
    <row r="65" spans="1:12" s="103" customFormat="1" ht="15.75" hidden="1" customHeight="1" outlineLevel="1">
      <c r="A65" s="916"/>
      <c r="B65" s="1123"/>
      <c r="C65" s="1127"/>
      <c r="D65" s="1125"/>
      <c r="E65" s="1125"/>
      <c r="F65" s="1130"/>
      <c r="G65" s="95"/>
      <c r="H65" s="1125"/>
      <c r="I65" s="1125"/>
      <c r="J65" s="1134"/>
      <c r="K65" s="1134"/>
      <c r="L65" s="916"/>
    </row>
    <row r="66" spans="1:12" s="103" customFormat="1" ht="15.75" hidden="1" customHeight="1" outlineLevel="1">
      <c r="A66" s="916"/>
      <c r="B66" s="1124"/>
      <c r="C66" s="1128"/>
      <c r="D66" s="1126"/>
      <c r="E66" s="1126"/>
      <c r="F66" s="1132"/>
      <c r="G66" s="100"/>
      <c r="H66" s="1126"/>
      <c r="I66" s="1126"/>
      <c r="J66" s="1135"/>
      <c r="K66" s="1135"/>
      <c r="L66" s="916"/>
    </row>
    <row r="67" spans="1:12" s="103" customFormat="1" ht="15.75" hidden="1" customHeight="1" outlineLevel="1">
      <c r="A67" s="916"/>
      <c r="B67" s="1123">
        <v>19</v>
      </c>
      <c r="C67" s="1127"/>
      <c r="D67" s="1125"/>
      <c r="E67" s="1125" t="s">
        <v>18</v>
      </c>
      <c r="F67" s="1130" t="str">
        <f>VLOOKUP(E67,$N$13:$O$17,2,0)</f>
        <v>-</v>
      </c>
      <c r="G67" s="92"/>
      <c r="H67" s="1125"/>
      <c r="I67" s="1125"/>
      <c r="J67" s="1133"/>
      <c r="K67" s="1133"/>
      <c r="L67" s="916"/>
    </row>
    <row r="68" spans="1:12" s="103" customFormat="1" ht="15.75" hidden="1" customHeight="1" outlineLevel="1">
      <c r="A68" s="916"/>
      <c r="B68" s="1123"/>
      <c r="C68" s="1127"/>
      <c r="D68" s="1125"/>
      <c r="E68" s="1125"/>
      <c r="F68" s="1130"/>
      <c r="G68" s="95"/>
      <c r="H68" s="1125"/>
      <c r="I68" s="1125"/>
      <c r="J68" s="1134"/>
      <c r="K68" s="1134"/>
      <c r="L68" s="916"/>
    </row>
    <row r="69" spans="1:12" s="103" customFormat="1" ht="15.75" hidden="1" customHeight="1" outlineLevel="1">
      <c r="A69" s="916"/>
      <c r="B69" s="1124"/>
      <c r="C69" s="1128"/>
      <c r="D69" s="1126"/>
      <c r="E69" s="1126"/>
      <c r="F69" s="1132"/>
      <c r="G69" s="100"/>
      <c r="H69" s="1126"/>
      <c r="I69" s="1126"/>
      <c r="J69" s="1135"/>
      <c r="K69" s="1135"/>
      <c r="L69" s="916"/>
    </row>
    <row r="70" spans="1:12" s="103" customFormat="1" ht="15.75" hidden="1" customHeight="1" outlineLevel="1">
      <c r="A70" s="916"/>
      <c r="B70" s="1123">
        <v>20</v>
      </c>
      <c r="C70" s="1127"/>
      <c r="D70" s="1125"/>
      <c r="E70" s="1125" t="s">
        <v>18</v>
      </c>
      <c r="F70" s="1130" t="str">
        <f>VLOOKUP(E70,$N$13:$O$17,2,0)</f>
        <v>-</v>
      </c>
      <c r="G70" s="92"/>
      <c r="H70" s="1125"/>
      <c r="I70" s="1125"/>
      <c r="J70" s="1133"/>
      <c r="K70" s="1133"/>
      <c r="L70" s="916"/>
    </row>
    <row r="71" spans="1:12" s="103" customFormat="1" ht="15.75" hidden="1" customHeight="1" outlineLevel="1">
      <c r="A71" s="916"/>
      <c r="B71" s="1123"/>
      <c r="C71" s="1127"/>
      <c r="D71" s="1125"/>
      <c r="E71" s="1125"/>
      <c r="F71" s="1130"/>
      <c r="G71" s="95"/>
      <c r="H71" s="1125"/>
      <c r="I71" s="1125"/>
      <c r="J71" s="1134"/>
      <c r="K71" s="1134"/>
      <c r="L71" s="916"/>
    </row>
    <row r="72" spans="1:12" s="103" customFormat="1" ht="15.75" hidden="1" customHeight="1" outlineLevel="1">
      <c r="A72" s="916"/>
      <c r="B72" s="1124"/>
      <c r="C72" s="1128"/>
      <c r="D72" s="1126"/>
      <c r="E72" s="1126"/>
      <c r="F72" s="1132"/>
      <c r="G72" s="100"/>
      <c r="H72" s="1126"/>
      <c r="I72" s="1126"/>
      <c r="J72" s="1135"/>
      <c r="K72" s="1135"/>
      <c r="L72" s="916"/>
    </row>
    <row r="73" spans="1:12" s="103" customFormat="1" ht="15.75" hidden="1" customHeight="1" outlineLevel="1">
      <c r="A73" s="916"/>
      <c r="B73" s="1123">
        <v>21</v>
      </c>
      <c r="C73" s="1127"/>
      <c r="D73" s="1125"/>
      <c r="E73" s="1125" t="s">
        <v>18</v>
      </c>
      <c r="F73" s="1130" t="str">
        <f>VLOOKUP(E73,$N$13:$O$17,2,0)</f>
        <v>-</v>
      </c>
      <c r="G73" s="92"/>
      <c r="H73" s="1125"/>
      <c r="I73" s="1125"/>
      <c r="J73" s="1133"/>
      <c r="K73" s="1133"/>
      <c r="L73" s="916"/>
    </row>
    <row r="74" spans="1:12" s="103" customFormat="1" ht="15.75" hidden="1" customHeight="1" outlineLevel="1">
      <c r="A74" s="916"/>
      <c r="B74" s="1123"/>
      <c r="C74" s="1127"/>
      <c r="D74" s="1125"/>
      <c r="E74" s="1125"/>
      <c r="F74" s="1130"/>
      <c r="G74" s="95"/>
      <c r="H74" s="1125"/>
      <c r="I74" s="1125"/>
      <c r="J74" s="1134"/>
      <c r="K74" s="1134"/>
      <c r="L74" s="916"/>
    </row>
    <row r="75" spans="1:12" s="103" customFormat="1" ht="15.75" hidden="1" customHeight="1" outlineLevel="1">
      <c r="A75" s="916"/>
      <c r="B75" s="1124"/>
      <c r="C75" s="1128"/>
      <c r="D75" s="1126"/>
      <c r="E75" s="1126"/>
      <c r="F75" s="1132"/>
      <c r="G75" s="100"/>
      <c r="H75" s="1126"/>
      <c r="I75" s="1126"/>
      <c r="J75" s="1135"/>
      <c r="K75" s="1135"/>
      <c r="L75" s="916"/>
    </row>
    <row r="76" spans="1:12" s="103" customFormat="1" ht="15.75" hidden="1" customHeight="1" outlineLevel="1">
      <c r="A76" s="916"/>
      <c r="B76" s="1123">
        <v>22</v>
      </c>
      <c r="C76" s="1127"/>
      <c r="D76" s="1125"/>
      <c r="E76" s="1125" t="s">
        <v>18</v>
      </c>
      <c r="F76" s="1130" t="str">
        <f>VLOOKUP(E76,$N$13:$O$17,2,0)</f>
        <v>-</v>
      </c>
      <c r="G76" s="92"/>
      <c r="H76" s="1125"/>
      <c r="I76" s="1125"/>
      <c r="J76" s="1133"/>
      <c r="K76" s="1133"/>
      <c r="L76" s="916"/>
    </row>
    <row r="77" spans="1:12" s="103" customFormat="1" ht="15.75" hidden="1" customHeight="1" outlineLevel="1">
      <c r="A77" s="916"/>
      <c r="B77" s="1123"/>
      <c r="C77" s="1127"/>
      <c r="D77" s="1125"/>
      <c r="E77" s="1125"/>
      <c r="F77" s="1130"/>
      <c r="G77" s="95"/>
      <c r="H77" s="1125"/>
      <c r="I77" s="1125"/>
      <c r="J77" s="1134"/>
      <c r="K77" s="1134"/>
      <c r="L77" s="916"/>
    </row>
    <row r="78" spans="1:12" s="103" customFormat="1" ht="15.75" hidden="1" customHeight="1" outlineLevel="1">
      <c r="A78" s="916"/>
      <c r="B78" s="1124"/>
      <c r="C78" s="1128"/>
      <c r="D78" s="1126"/>
      <c r="E78" s="1126"/>
      <c r="F78" s="1132"/>
      <c r="G78" s="100"/>
      <c r="H78" s="1126"/>
      <c r="I78" s="1126"/>
      <c r="J78" s="1135"/>
      <c r="K78" s="1135"/>
      <c r="L78" s="916"/>
    </row>
    <row r="79" spans="1:12" s="103" customFormat="1" ht="15.75" hidden="1" customHeight="1" outlineLevel="1">
      <c r="A79" s="916"/>
      <c r="B79" s="1123">
        <v>23</v>
      </c>
      <c r="C79" s="1127"/>
      <c r="D79" s="1125"/>
      <c r="E79" s="1125" t="s">
        <v>18</v>
      </c>
      <c r="F79" s="1130" t="str">
        <f>VLOOKUP(E79,$N$13:$O$17,2,0)</f>
        <v>-</v>
      </c>
      <c r="G79" s="92"/>
      <c r="H79" s="1125"/>
      <c r="I79" s="1125"/>
      <c r="J79" s="1133"/>
      <c r="K79" s="1133"/>
      <c r="L79" s="916"/>
    </row>
    <row r="80" spans="1:12" s="103" customFormat="1" ht="15.75" hidden="1" customHeight="1" outlineLevel="1">
      <c r="A80" s="916"/>
      <c r="B80" s="1123"/>
      <c r="C80" s="1127"/>
      <c r="D80" s="1125"/>
      <c r="E80" s="1125"/>
      <c r="F80" s="1130"/>
      <c r="G80" s="95"/>
      <c r="H80" s="1125"/>
      <c r="I80" s="1125"/>
      <c r="J80" s="1134"/>
      <c r="K80" s="1134"/>
      <c r="L80" s="916"/>
    </row>
    <row r="81" spans="1:12" s="103" customFormat="1" ht="15.75" hidden="1" customHeight="1" outlineLevel="1">
      <c r="A81" s="916"/>
      <c r="B81" s="1124"/>
      <c r="C81" s="1128"/>
      <c r="D81" s="1126"/>
      <c r="E81" s="1126"/>
      <c r="F81" s="1132"/>
      <c r="G81" s="100"/>
      <c r="H81" s="1126"/>
      <c r="I81" s="1126"/>
      <c r="J81" s="1135"/>
      <c r="K81" s="1135"/>
      <c r="L81" s="916"/>
    </row>
    <row r="82" spans="1:12" s="103" customFormat="1" ht="15.75" hidden="1" customHeight="1" outlineLevel="1">
      <c r="A82" s="916"/>
      <c r="B82" s="1123">
        <v>24</v>
      </c>
      <c r="C82" s="1127"/>
      <c r="D82" s="1125"/>
      <c r="E82" s="1125" t="s">
        <v>18</v>
      </c>
      <c r="F82" s="1130" t="str">
        <f>VLOOKUP(E82,$N$13:$O$17,2,0)</f>
        <v>-</v>
      </c>
      <c r="G82" s="92"/>
      <c r="H82" s="1125"/>
      <c r="I82" s="1125"/>
      <c r="J82" s="1133"/>
      <c r="K82" s="1133"/>
      <c r="L82" s="916"/>
    </row>
    <row r="83" spans="1:12" s="103" customFormat="1" ht="15.75" hidden="1" customHeight="1" outlineLevel="1">
      <c r="A83" s="916"/>
      <c r="B83" s="1123"/>
      <c r="C83" s="1127"/>
      <c r="D83" s="1125"/>
      <c r="E83" s="1125"/>
      <c r="F83" s="1130"/>
      <c r="G83" s="95"/>
      <c r="H83" s="1125"/>
      <c r="I83" s="1125"/>
      <c r="J83" s="1134"/>
      <c r="K83" s="1134"/>
      <c r="L83" s="916"/>
    </row>
    <row r="84" spans="1:12" s="103" customFormat="1" ht="15.75" hidden="1" customHeight="1" outlineLevel="1">
      <c r="A84" s="916"/>
      <c r="B84" s="1124"/>
      <c r="C84" s="1128"/>
      <c r="D84" s="1126"/>
      <c r="E84" s="1126"/>
      <c r="F84" s="1132"/>
      <c r="G84" s="100"/>
      <c r="H84" s="1126"/>
      <c r="I84" s="1126"/>
      <c r="J84" s="1135"/>
      <c r="K84" s="1135"/>
      <c r="L84" s="916"/>
    </row>
    <row r="85" spans="1:12" s="103" customFormat="1" ht="15.75" hidden="1" customHeight="1" outlineLevel="1">
      <c r="A85" s="916"/>
      <c r="B85" s="1123">
        <v>25</v>
      </c>
      <c r="C85" s="1127"/>
      <c r="D85" s="1125"/>
      <c r="E85" s="1125" t="s">
        <v>18</v>
      </c>
      <c r="F85" s="1130" t="str">
        <f>VLOOKUP(E85,$N$13:$O$17,2,0)</f>
        <v>-</v>
      </c>
      <c r="G85" s="92"/>
      <c r="H85" s="1125"/>
      <c r="I85" s="1125"/>
      <c r="J85" s="1133"/>
      <c r="K85" s="1133"/>
      <c r="L85" s="916"/>
    </row>
    <row r="86" spans="1:12" s="103" customFormat="1" ht="15.75" hidden="1" customHeight="1" outlineLevel="1">
      <c r="A86" s="916"/>
      <c r="B86" s="1123"/>
      <c r="C86" s="1127"/>
      <c r="D86" s="1125"/>
      <c r="E86" s="1125"/>
      <c r="F86" s="1130"/>
      <c r="G86" s="95"/>
      <c r="H86" s="1125"/>
      <c r="I86" s="1125"/>
      <c r="J86" s="1134"/>
      <c r="K86" s="1134"/>
      <c r="L86" s="916"/>
    </row>
    <row r="87" spans="1:12" s="103" customFormat="1" ht="15.75" hidden="1" customHeight="1" outlineLevel="1">
      <c r="A87" s="916"/>
      <c r="B87" s="1124"/>
      <c r="C87" s="1128"/>
      <c r="D87" s="1126"/>
      <c r="E87" s="1126"/>
      <c r="F87" s="1132"/>
      <c r="G87" s="100"/>
      <c r="H87" s="1126"/>
      <c r="I87" s="1126"/>
      <c r="J87" s="1135"/>
      <c r="K87" s="1135"/>
      <c r="L87" s="916"/>
    </row>
    <row r="88" spans="1:12" s="103" customFormat="1" ht="15.75" hidden="1" customHeight="1" outlineLevel="1">
      <c r="A88" s="916"/>
      <c r="B88" s="1123">
        <v>26</v>
      </c>
      <c r="C88" s="1127"/>
      <c r="D88" s="1125"/>
      <c r="E88" s="1125" t="s">
        <v>18</v>
      </c>
      <c r="F88" s="1130" t="str">
        <f>VLOOKUP(E88,$N$13:$O$17,2,0)</f>
        <v>-</v>
      </c>
      <c r="G88" s="92"/>
      <c r="H88" s="1125"/>
      <c r="I88" s="1125"/>
      <c r="J88" s="1133"/>
      <c r="K88" s="1133"/>
      <c r="L88" s="916"/>
    </row>
    <row r="89" spans="1:12" s="103" customFormat="1" ht="15.75" hidden="1" customHeight="1" outlineLevel="1">
      <c r="A89" s="916"/>
      <c r="B89" s="1123"/>
      <c r="C89" s="1127"/>
      <c r="D89" s="1125"/>
      <c r="E89" s="1125"/>
      <c r="F89" s="1130"/>
      <c r="G89" s="95"/>
      <c r="H89" s="1125"/>
      <c r="I89" s="1125"/>
      <c r="J89" s="1134"/>
      <c r="K89" s="1134"/>
      <c r="L89" s="916"/>
    </row>
    <row r="90" spans="1:12" s="103" customFormat="1" ht="15.75" hidden="1" customHeight="1" outlineLevel="1">
      <c r="A90" s="916"/>
      <c r="B90" s="1124"/>
      <c r="C90" s="1128"/>
      <c r="D90" s="1126"/>
      <c r="E90" s="1126"/>
      <c r="F90" s="1132"/>
      <c r="G90" s="100"/>
      <c r="H90" s="1126"/>
      <c r="I90" s="1126"/>
      <c r="J90" s="1135"/>
      <c r="K90" s="1135"/>
      <c r="L90" s="916"/>
    </row>
    <row r="91" spans="1:12" s="103" customFormat="1" ht="15.75" hidden="1" customHeight="1" outlineLevel="1">
      <c r="A91" s="916"/>
      <c r="B91" s="1123">
        <v>27</v>
      </c>
      <c r="C91" s="1127"/>
      <c r="D91" s="1125"/>
      <c r="E91" s="1125" t="s">
        <v>18</v>
      </c>
      <c r="F91" s="1130" t="str">
        <f>VLOOKUP(E91,$N$13:$O$17,2,0)</f>
        <v>-</v>
      </c>
      <c r="G91" s="92"/>
      <c r="H91" s="1125"/>
      <c r="I91" s="1125"/>
      <c r="J91" s="1133"/>
      <c r="K91" s="1133"/>
      <c r="L91" s="916"/>
    </row>
    <row r="92" spans="1:12" s="103" customFormat="1" ht="15.75" hidden="1" customHeight="1" outlineLevel="1">
      <c r="A92" s="916"/>
      <c r="B92" s="1123"/>
      <c r="C92" s="1127"/>
      <c r="D92" s="1125"/>
      <c r="E92" s="1125"/>
      <c r="F92" s="1130"/>
      <c r="G92" s="95"/>
      <c r="H92" s="1125"/>
      <c r="I92" s="1125"/>
      <c r="J92" s="1134"/>
      <c r="K92" s="1134"/>
      <c r="L92" s="916"/>
    </row>
    <row r="93" spans="1:12" s="103" customFormat="1" ht="15.75" hidden="1" customHeight="1" outlineLevel="1">
      <c r="A93" s="916"/>
      <c r="B93" s="1124"/>
      <c r="C93" s="1128"/>
      <c r="D93" s="1126"/>
      <c r="E93" s="1126"/>
      <c r="F93" s="1132"/>
      <c r="G93" s="100"/>
      <c r="H93" s="1126"/>
      <c r="I93" s="1126"/>
      <c r="J93" s="1135"/>
      <c r="K93" s="1135"/>
      <c r="L93" s="916"/>
    </row>
    <row r="94" spans="1:12" s="103" customFormat="1" ht="15.75" hidden="1" customHeight="1" outlineLevel="1">
      <c r="A94" s="916"/>
      <c r="B94" s="1123">
        <v>28</v>
      </c>
      <c r="C94" s="1127"/>
      <c r="D94" s="1125"/>
      <c r="E94" s="1125" t="s">
        <v>18</v>
      </c>
      <c r="F94" s="1130" t="str">
        <f>VLOOKUP(E94,$N$13:$O$17,2,0)</f>
        <v>-</v>
      </c>
      <c r="G94" s="92"/>
      <c r="H94" s="1125"/>
      <c r="I94" s="1125"/>
      <c r="J94" s="1133"/>
      <c r="K94" s="1133"/>
      <c r="L94" s="916"/>
    </row>
    <row r="95" spans="1:12" s="103" customFormat="1" ht="15.75" hidden="1" customHeight="1" outlineLevel="1">
      <c r="A95" s="916"/>
      <c r="B95" s="1123"/>
      <c r="C95" s="1127"/>
      <c r="D95" s="1125"/>
      <c r="E95" s="1125"/>
      <c r="F95" s="1130"/>
      <c r="G95" s="95"/>
      <c r="H95" s="1125"/>
      <c r="I95" s="1125"/>
      <c r="J95" s="1134"/>
      <c r="K95" s="1134"/>
      <c r="L95" s="916"/>
    </row>
    <row r="96" spans="1:12" s="103" customFormat="1" ht="15.75" hidden="1" customHeight="1" outlineLevel="1">
      <c r="A96" s="916"/>
      <c r="B96" s="1124"/>
      <c r="C96" s="1128"/>
      <c r="D96" s="1126"/>
      <c r="E96" s="1126"/>
      <c r="F96" s="1132"/>
      <c r="G96" s="100"/>
      <c r="H96" s="1126"/>
      <c r="I96" s="1126"/>
      <c r="J96" s="1135"/>
      <c r="K96" s="1135"/>
      <c r="L96" s="916"/>
    </row>
    <row r="97" spans="1:12" s="103" customFormat="1" ht="15.75" hidden="1" customHeight="1" outlineLevel="1">
      <c r="A97" s="916"/>
      <c r="B97" s="1123">
        <v>29</v>
      </c>
      <c r="C97" s="1127"/>
      <c r="D97" s="1125"/>
      <c r="E97" s="1125" t="s">
        <v>18</v>
      </c>
      <c r="F97" s="1130" t="str">
        <f>VLOOKUP(E97,$N$13:$O$17,2,0)</f>
        <v>-</v>
      </c>
      <c r="G97" s="92"/>
      <c r="H97" s="1125"/>
      <c r="I97" s="1125"/>
      <c r="J97" s="1133"/>
      <c r="K97" s="1133"/>
      <c r="L97" s="916"/>
    </row>
    <row r="98" spans="1:12" s="103" customFormat="1" ht="15.75" hidden="1" customHeight="1" outlineLevel="1">
      <c r="A98" s="916"/>
      <c r="B98" s="1123"/>
      <c r="C98" s="1127"/>
      <c r="D98" s="1125"/>
      <c r="E98" s="1125"/>
      <c r="F98" s="1130"/>
      <c r="G98" s="95"/>
      <c r="H98" s="1125"/>
      <c r="I98" s="1125"/>
      <c r="J98" s="1134"/>
      <c r="K98" s="1134"/>
      <c r="L98" s="916"/>
    </row>
    <row r="99" spans="1:12" s="103" customFormat="1" ht="15.75" hidden="1" customHeight="1" outlineLevel="1">
      <c r="A99" s="916"/>
      <c r="B99" s="1124"/>
      <c r="C99" s="1128"/>
      <c r="D99" s="1126"/>
      <c r="E99" s="1126"/>
      <c r="F99" s="1132"/>
      <c r="G99" s="100"/>
      <c r="H99" s="1126"/>
      <c r="I99" s="1126"/>
      <c r="J99" s="1135"/>
      <c r="K99" s="1135"/>
      <c r="L99" s="916"/>
    </row>
    <row r="100" spans="1:12" s="103" customFormat="1" ht="15.75" hidden="1" customHeight="1" outlineLevel="1">
      <c r="A100" s="916"/>
      <c r="B100" s="1123">
        <v>30</v>
      </c>
      <c r="C100" s="1127"/>
      <c r="D100" s="1125"/>
      <c r="E100" s="1125" t="s">
        <v>18</v>
      </c>
      <c r="F100" s="1130" t="str">
        <f>VLOOKUP(E100,$N$13:$O$17,2,0)</f>
        <v>-</v>
      </c>
      <c r="G100" s="92"/>
      <c r="H100" s="1125"/>
      <c r="I100" s="1125"/>
      <c r="J100" s="1133"/>
      <c r="K100" s="1133"/>
      <c r="L100" s="916"/>
    </row>
    <row r="101" spans="1:12" s="103" customFormat="1" ht="15.75" hidden="1" customHeight="1" outlineLevel="1">
      <c r="A101" s="916"/>
      <c r="B101" s="1123"/>
      <c r="C101" s="1127"/>
      <c r="D101" s="1125"/>
      <c r="E101" s="1125"/>
      <c r="F101" s="1130"/>
      <c r="G101" s="95"/>
      <c r="H101" s="1125"/>
      <c r="I101" s="1125"/>
      <c r="J101" s="1134"/>
      <c r="K101" s="1134"/>
      <c r="L101" s="916"/>
    </row>
    <row r="102" spans="1:12" s="103" customFormat="1" ht="15.75" hidden="1" customHeight="1" outlineLevel="1">
      <c r="A102" s="916"/>
      <c r="B102" s="1124"/>
      <c r="C102" s="1128"/>
      <c r="D102" s="1126"/>
      <c r="E102" s="1126"/>
      <c r="F102" s="1132"/>
      <c r="G102" s="100"/>
      <c r="H102" s="1126"/>
      <c r="I102" s="1126"/>
      <c r="J102" s="1135"/>
      <c r="K102" s="1135"/>
      <c r="L102" s="916"/>
    </row>
    <row r="103" spans="1:12" s="103" customFormat="1" ht="15.75" hidden="1" customHeight="1" outlineLevel="1">
      <c r="A103" s="916"/>
      <c r="B103" s="1123">
        <v>31</v>
      </c>
      <c r="C103" s="1127"/>
      <c r="D103" s="1125"/>
      <c r="E103" s="1125" t="s">
        <v>18</v>
      </c>
      <c r="F103" s="1130" t="str">
        <f>VLOOKUP(E103,$N$13:$O$17,2,0)</f>
        <v>-</v>
      </c>
      <c r="G103" s="92"/>
      <c r="H103" s="1125"/>
      <c r="I103" s="1125"/>
      <c r="J103" s="1133"/>
      <c r="K103" s="1133"/>
      <c r="L103" s="916"/>
    </row>
    <row r="104" spans="1:12" s="103" customFormat="1" ht="15.75" hidden="1" customHeight="1" outlineLevel="1">
      <c r="A104" s="916"/>
      <c r="B104" s="1123"/>
      <c r="C104" s="1127"/>
      <c r="D104" s="1125"/>
      <c r="E104" s="1125"/>
      <c r="F104" s="1130"/>
      <c r="G104" s="95"/>
      <c r="H104" s="1125"/>
      <c r="I104" s="1125"/>
      <c r="J104" s="1134"/>
      <c r="K104" s="1134"/>
      <c r="L104" s="916"/>
    </row>
    <row r="105" spans="1:12" s="103" customFormat="1" ht="15.75" hidden="1" customHeight="1" outlineLevel="1">
      <c r="A105" s="916"/>
      <c r="B105" s="1124"/>
      <c r="C105" s="1128"/>
      <c r="D105" s="1126"/>
      <c r="E105" s="1126"/>
      <c r="F105" s="1132"/>
      <c r="G105" s="100"/>
      <c r="H105" s="1126"/>
      <c r="I105" s="1126"/>
      <c r="J105" s="1135"/>
      <c r="K105" s="1135"/>
      <c r="L105" s="916"/>
    </row>
    <row r="106" spans="1:12" s="103" customFormat="1" ht="15.75" hidden="1" customHeight="1" outlineLevel="1">
      <c r="A106" s="916"/>
      <c r="B106" s="1123">
        <v>32</v>
      </c>
      <c r="C106" s="1127"/>
      <c r="D106" s="1125"/>
      <c r="E106" s="1125" t="s">
        <v>18</v>
      </c>
      <c r="F106" s="1130" t="str">
        <f>VLOOKUP(E106,$N$13:$O$17,2,0)</f>
        <v>-</v>
      </c>
      <c r="G106" s="92"/>
      <c r="H106" s="1125"/>
      <c r="I106" s="1125"/>
      <c r="J106" s="1133"/>
      <c r="K106" s="1133"/>
      <c r="L106" s="916"/>
    </row>
    <row r="107" spans="1:12" s="103" customFormat="1" ht="15.75" hidden="1" customHeight="1" outlineLevel="1">
      <c r="A107" s="916"/>
      <c r="B107" s="1123"/>
      <c r="C107" s="1127"/>
      <c r="D107" s="1125"/>
      <c r="E107" s="1125"/>
      <c r="F107" s="1130"/>
      <c r="G107" s="95"/>
      <c r="H107" s="1125"/>
      <c r="I107" s="1125"/>
      <c r="J107" s="1134"/>
      <c r="K107" s="1134"/>
      <c r="L107" s="916"/>
    </row>
    <row r="108" spans="1:12" s="103" customFormat="1" ht="15.75" hidden="1" customHeight="1" outlineLevel="1">
      <c r="A108" s="916"/>
      <c r="B108" s="1124"/>
      <c r="C108" s="1128"/>
      <c r="D108" s="1126"/>
      <c r="E108" s="1126"/>
      <c r="F108" s="1132"/>
      <c r="G108" s="100"/>
      <c r="H108" s="1126"/>
      <c r="I108" s="1126"/>
      <c r="J108" s="1135"/>
      <c r="K108" s="1135"/>
      <c r="L108" s="916"/>
    </row>
    <row r="109" spans="1:12" s="103" customFormat="1" ht="15.75" hidden="1" customHeight="1" outlineLevel="1">
      <c r="A109" s="916"/>
      <c r="B109" s="1123">
        <v>33</v>
      </c>
      <c r="C109" s="1127"/>
      <c r="D109" s="1125"/>
      <c r="E109" s="1125" t="s">
        <v>18</v>
      </c>
      <c r="F109" s="1130" t="str">
        <f>VLOOKUP(E109,$N$13:$O$17,2,0)</f>
        <v>-</v>
      </c>
      <c r="G109" s="92"/>
      <c r="H109" s="1125"/>
      <c r="I109" s="1125"/>
      <c r="J109" s="1133"/>
      <c r="K109" s="1133"/>
      <c r="L109" s="916"/>
    </row>
    <row r="110" spans="1:12" s="103" customFormat="1" ht="15.75" hidden="1" customHeight="1" outlineLevel="1">
      <c r="A110" s="916"/>
      <c r="B110" s="1123"/>
      <c r="C110" s="1127"/>
      <c r="D110" s="1125"/>
      <c r="E110" s="1125"/>
      <c r="F110" s="1130"/>
      <c r="G110" s="95"/>
      <c r="H110" s="1125"/>
      <c r="I110" s="1125"/>
      <c r="J110" s="1134"/>
      <c r="K110" s="1134"/>
      <c r="L110" s="916"/>
    </row>
    <row r="111" spans="1:12" s="103" customFormat="1" ht="15.75" hidden="1" customHeight="1" outlineLevel="1">
      <c r="A111" s="916"/>
      <c r="B111" s="1124"/>
      <c r="C111" s="1128"/>
      <c r="D111" s="1126"/>
      <c r="E111" s="1126"/>
      <c r="F111" s="1132"/>
      <c r="G111" s="100"/>
      <c r="H111" s="1126"/>
      <c r="I111" s="1126"/>
      <c r="J111" s="1135"/>
      <c r="K111" s="1135"/>
      <c r="L111" s="916"/>
    </row>
    <row r="112" spans="1:12" s="103" customFormat="1" ht="15.75" hidden="1" customHeight="1" outlineLevel="1">
      <c r="A112" s="916"/>
      <c r="B112" s="1123">
        <v>34</v>
      </c>
      <c r="C112" s="1127"/>
      <c r="D112" s="1125"/>
      <c r="E112" s="1125" t="s">
        <v>18</v>
      </c>
      <c r="F112" s="1130" t="str">
        <f>VLOOKUP(E112,$N$13:$O$17,2,0)</f>
        <v>-</v>
      </c>
      <c r="G112" s="92"/>
      <c r="H112" s="1125"/>
      <c r="I112" s="1125"/>
      <c r="J112" s="1133"/>
      <c r="K112" s="1133"/>
      <c r="L112" s="916"/>
    </row>
    <row r="113" spans="1:12" s="103" customFormat="1" ht="15.75" hidden="1" customHeight="1" outlineLevel="1">
      <c r="A113" s="916"/>
      <c r="B113" s="1123"/>
      <c r="C113" s="1127"/>
      <c r="D113" s="1125"/>
      <c r="E113" s="1125"/>
      <c r="F113" s="1130"/>
      <c r="G113" s="95"/>
      <c r="H113" s="1125"/>
      <c r="I113" s="1125"/>
      <c r="J113" s="1134"/>
      <c r="K113" s="1134"/>
      <c r="L113" s="916"/>
    </row>
    <row r="114" spans="1:12" s="103" customFormat="1" ht="15.75" hidden="1" customHeight="1" outlineLevel="1">
      <c r="A114" s="916"/>
      <c r="B114" s="1124"/>
      <c r="C114" s="1128"/>
      <c r="D114" s="1126"/>
      <c r="E114" s="1126"/>
      <c r="F114" s="1132"/>
      <c r="G114" s="100"/>
      <c r="H114" s="1126"/>
      <c r="I114" s="1126"/>
      <c r="J114" s="1135"/>
      <c r="K114" s="1135"/>
      <c r="L114" s="916"/>
    </row>
    <row r="115" spans="1:12" s="103" customFormat="1" ht="15.75" hidden="1" customHeight="1" outlineLevel="1">
      <c r="A115" s="916"/>
      <c r="B115" s="1123">
        <v>35</v>
      </c>
      <c r="C115" s="1127"/>
      <c r="D115" s="1125"/>
      <c r="E115" s="1125" t="s">
        <v>18</v>
      </c>
      <c r="F115" s="1130" t="str">
        <f>VLOOKUP(E115,$N$13:$O$17,2,0)</f>
        <v>-</v>
      </c>
      <c r="G115" s="92"/>
      <c r="H115" s="1125"/>
      <c r="I115" s="1125"/>
      <c r="J115" s="1133"/>
      <c r="K115" s="1133"/>
      <c r="L115" s="916"/>
    </row>
    <row r="116" spans="1:12" s="103" customFormat="1" ht="15.75" hidden="1" customHeight="1" outlineLevel="1">
      <c r="A116" s="916"/>
      <c r="B116" s="1123"/>
      <c r="C116" s="1127"/>
      <c r="D116" s="1125"/>
      <c r="E116" s="1125"/>
      <c r="F116" s="1130"/>
      <c r="G116" s="95"/>
      <c r="H116" s="1125"/>
      <c r="I116" s="1125"/>
      <c r="J116" s="1134"/>
      <c r="K116" s="1134"/>
      <c r="L116" s="916"/>
    </row>
    <row r="117" spans="1:12" s="103" customFormat="1" ht="15.75" hidden="1" customHeight="1" outlineLevel="1">
      <c r="A117" s="916"/>
      <c r="B117" s="1124"/>
      <c r="C117" s="1128"/>
      <c r="D117" s="1126"/>
      <c r="E117" s="1126"/>
      <c r="F117" s="1132"/>
      <c r="G117" s="100"/>
      <c r="H117" s="1126"/>
      <c r="I117" s="1126"/>
      <c r="J117" s="1135"/>
      <c r="K117" s="1135"/>
      <c r="L117" s="916"/>
    </row>
    <row r="118" spans="1:12" s="103" customFormat="1" ht="15.75" hidden="1" customHeight="1" outlineLevel="1">
      <c r="A118" s="916"/>
      <c r="B118" s="1123">
        <v>36</v>
      </c>
      <c r="C118" s="1127"/>
      <c r="D118" s="1125"/>
      <c r="E118" s="1125" t="s">
        <v>18</v>
      </c>
      <c r="F118" s="1130" t="str">
        <f>VLOOKUP(E118,$N$13:$O$17,2,0)</f>
        <v>-</v>
      </c>
      <c r="G118" s="92"/>
      <c r="H118" s="1125"/>
      <c r="I118" s="1125"/>
      <c r="J118" s="1133"/>
      <c r="K118" s="1133"/>
      <c r="L118" s="916"/>
    </row>
    <row r="119" spans="1:12" s="103" customFormat="1" ht="15.75" hidden="1" customHeight="1" outlineLevel="1">
      <c r="A119" s="916"/>
      <c r="B119" s="1123"/>
      <c r="C119" s="1127"/>
      <c r="D119" s="1125"/>
      <c r="E119" s="1125"/>
      <c r="F119" s="1130"/>
      <c r="G119" s="95"/>
      <c r="H119" s="1125"/>
      <c r="I119" s="1125"/>
      <c r="J119" s="1134"/>
      <c r="K119" s="1134"/>
      <c r="L119" s="916"/>
    </row>
    <row r="120" spans="1:12" s="103" customFormat="1" ht="15.75" hidden="1" customHeight="1" outlineLevel="1">
      <c r="A120" s="916"/>
      <c r="B120" s="1124"/>
      <c r="C120" s="1128"/>
      <c r="D120" s="1126"/>
      <c r="E120" s="1126"/>
      <c r="F120" s="1132"/>
      <c r="G120" s="100"/>
      <c r="H120" s="1126"/>
      <c r="I120" s="1126"/>
      <c r="J120" s="1135"/>
      <c r="K120" s="1135"/>
      <c r="L120" s="916"/>
    </row>
    <row r="121" spans="1:12" s="103" customFormat="1" ht="15.75" hidden="1" customHeight="1" outlineLevel="1">
      <c r="A121" s="916"/>
      <c r="B121" s="1123">
        <v>37</v>
      </c>
      <c r="C121" s="1127"/>
      <c r="D121" s="1125"/>
      <c r="E121" s="1125" t="s">
        <v>18</v>
      </c>
      <c r="F121" s="1130" t="str">
        <f>VLOOKUP(E121,$N$13:$O$17,2,0)</f>
        <v>-</v>
      </c>
      <c r="G121" s="92"/>
      <c r="H121" s="1125"/>
      <c r="I121" s="1125"/>
      <c r="J121" s="1133"/>
      <c r="K121" s="1133"/>
      <c r="L121" s="916"/>
    </row>
    <row r="122" spans="1:12" s="103" customFormat="1" ht="15.75" hidden="1" customHeight="1" outlineLevel="1">
      <c r="A122" s="916"/>
      <c r="B122" s="1123"/>
      <c r="C122" s="1127"/>
      <c r="D122" s="1125"/>
      <c r="E122" s="1125"/>
      <c r="F122" s="1130"/>
      <c r="G122" s="95"/>
      <c r="H122" s="1125"/>
      <c r="I122" s="1125"/>
      <c r="J122" s="1134"/>
      <c r="K122" s="1134"/>
      <c r="L122" s="916"/>
    </row>
    <row r="123" spans="1:12" s="103" customFormat="1" ht="15.75" hidden="1" customHeight="1" outlineLevel="1">
      <c r="A123" s="916"/>
      <c r="B123" s="1124"/>
      <c r="C123" s="1128"/>
      <c r="D123" s="1126"/>
      <c r="E123" s="1126"/>
      <c r="F123" s="1132"/>
      <c r="G123" s="100"/>
      <c r="H123" s="1126"/>
      <c r="I123" s="1126"/>
      <c r="J123" s="1135"/>
      <c r="K123" s="1135"/>
      <c r="L123" s="916"/>
    </row>
    <row r="124" spans="1:12" s="103" customFormat="1" ht="15.75" hidden="1" customHeight="1" outlineLevel="1">
      <c r="A124" s="916"/>
      <c r="B124" s="1123">
        <v>38</v>
      </c>
      <c r="C124" s="1127"/>
      <c r="D124" s="1125"/>
      <c r="E124" s="1125" t="s">
        <v>18</v>
      </c>
      <c r="F124" s="1130" t="str">
        <f>VLOOKUP(E124,$N$13:$O$17,2,0)</f>
        <v>-</v>
      </c>
      <c r="G124" s="92"/>
      <c r="H124" s="1125"/>
      <c r="I124" s="1125"/>
      <c r="J124" s="1133"/>
      <c r="K124" s="1133"/>
      <c r="L124" s="916"/>
    </row>
    <row r="125" spans="1:12" s="103" customFormat="1" ht="15.75" hidden="1" customHeight="1" outlineLevel="1">
      <c r="A125" s="916"/>
      <c r="B125" s="1123"/>
      <c r="C125" s="1127"/>
      <c r="D125" s="1125"/>
      <c r="E125" s="1125"/>
      <c r="F125" s="1130"/>
      <c r="G125" s="95"/>
      <c r="H125" s="1125"/>
      <c r="I125" s="1125"/>
      <c r="J125" s="1134"/>
      <c r="K125" s="1134"/>
      <c r="L125" s="916"/>
    </row>
    <row r="126" spans="1:12" s="103" customFormat="1" ht="15.75" hidden="1" customHeight="1" outlineLevel="1">
      <c r="A126" s="916"/>
      <c r="B126" s="1124"/>
      <c r="C126" s="1128"/>
      <c r="D126" s="1126"/>
      <c r="E126" s="1126"/>
      <c r="F126" s="1132"/>
      <c r="G126" s="100"/>
      <c r="H126" s="1126"/>
      <c r="I126" s="1126"/>
      <c r="J126" s="1135"/>
      <c r="K126" s="1135"/>
      <c r="L126" s="916"/>
    </row>
    <row r="127" spans="1:12" s="103" customFormat="1" ht="15.75" hidden="1" customHeight="1" outlineLevel="1">
      <c r="A127" s="916"/>
      <c r="B127" s="1123">
        <v>39</v>
      </c>
      <c r="C127" s="1127"/>
      <c r="D127" s="1125"/>
      <c r="E127" s="1125" t="s">
        <v>18</v>
      </c>
      <c r="F127" s="1130" t="str">
        <f>VLOOKUP(E127,$N$13:$O$17,2,0)</f>
        <v>-</v>
      </c>
      <c r="G127" s="92"/>
      <c r="H127" s="1125"/>
      <c r="I127" s="1125"/>
      <c r="J127" s="1133"/>
      <c r="K127" s="1133"/>
      <c r="L127" s="916"/>
    </row>
    <row r="128" spans="1:12" s="103" customFormat="1" ht="15.75" hidden="1" customHeight="1" outlineLevel="1">
      <c r="A128" s="916"/>
      <c r="B128" s="1123"/>
      <c r="C128" s="1127"/>
      <c r="D128" s="1125"/>
      <c r="E128" s="1125"/>
      <c r="F128" s="1130"/>
      <c r="G128" s="95"/>
      <c r="H128" s="1125"/>
      <c r="I128" s="1125"/>
      <c r="J128" s="1134"/>
      <c r="K128" s="1134"/>
      <c r="L128" s="916"/>
    </row>
    <row r="129" spans="1:12" s="103" customFormat="1" ht="15.75" hidden="1" customHeight="1" outlineLevel="1">
      <c r="A129" s="916"/>
      <c r="B129" s="1124"/>
      <c r="C129" s="1128"/>
      <c r="D129" s="1126"/>
      <c r="E129" s="1126"/>
      <c r="F129" s="1132"/>
      <c r="G129" s="100"/>
      <c r="H129" s="1126"/>
      <c r="I129" s="1126"/>
      <c r="J129" s="1135"/>
      <c r="K129" s="1135"/>
      <c r="L129" s="916"/>
    </row>
    <row r="130" spans="1:12" s="103" customFormat="1" ht="15.75" hidden="1" customHeight="1" outlineLevel="1">
      <c r="A130" s="916"/>
      <c r="B130" s="1123">
        <v>40</v>
      </c>
      <c r="C130" s="1127"/>
      <c r="D130" s="1125"/>
      <c r="E130" s="1125" t="s">
        <v>18</v>
      </c>
      <c r="F130" s="1130" t="str">
        <f>VLOOKUP(E130,$N$13:$O$17,2,0)</f>
        <v>-</v>
      </c>
      <c r="G130" s="92"/>
      <c r="H130" s="1125"/>
      <c r="I130" s="1125"/>
      <c r="J130" s="1133"/>
      <c r="K130" s="1133"/>
      <c r="L130" s="916"/>
    </row>
    <row r="131" spans="1:12" s="103" customFormat="1" ht="15.75" hidden="1" customHeight="1" outlineLevel="1">
      <c r="A131" s="916"/>
      <c r="B131" s="1123"/>
      <c r="C131" s="1127"/>
      <c r="D131" s="1125"/>
      <c r="E131" s="1125"/>
      <c r="F131" s="1130"/>
      <c r="G131" s="95"/>
      <c r="H131" s="1125"/>
      <c r="I131" s="1125"/>
      <c r="J131" s="1134"/>
      <c r="K131" s="1134"/>
      <c r="L131" s="916"/>
    </row>
    <row r="132" spans="1:12" s="103" customFormat="1" ht="15.75" hidden="1" customHeight="1" outlineLevel="1">
      <c r="A132" s="916"/>
      <c r="B132" s="1124"/>
      <c r="C132" s="1128"/>
      <c r="D132" s="1126"/>
      <c r="E132" s="1126"/>
      <c r="F132" s="1132"/>
      <c r="G132" s="100"/>
      <c r="H132" s="1126"/>
      <c r="I132" s="1126"/>
      <c r="J132" s="1135"/>
      <c r="K132" s="1135"/>
      <c r="L132" s="916"/>
    </row>
    <row r="133" spans="1:12" s="103" customFormat="1" ht="15.75" hidden="1" customHeight="1" outlineLevel="1">
      <c r="A133" s="916"/>
      <c r="B133" s="1123">
        <v>41</v>
      </c>
      <c r="C133" s="1127"/>
      <c r="D133" s="1125"/>
      <c r="E133" s="1125" t="s">
        <v>18</v>
      </c>
      <c r="F133" s="1130" t="str">
        <f>VLOOKUP(E133,$N$13:$O$17,2,0)</f>
        <v>-</v>
      </c>
      <c r="G133" s="92"/>
      <c r="H133" s="1125"/>
      <c r="I133" s="1125"/>
      <c r="J133" s="1133"/>
      <c r="K133" s="1133"/>
      <c r="L133" s="916"/>
    </row>
    <row r="134" spans="1:12" s="103" customFormat="1" ht="15.75" hidden="1" customHeight="1" outlineLevel="1">
      <c r="A134" s="916"/>
      <c r="B134" s="1123"/>
      <c r="C134" s="1127"/>
      <c r="D134" s="1125"/>
      <c r="E134" s="1125"/>
      <c r="F134" s="1130"/>
      <c r="G134" s="95"/>
      <c r="H134" s="1125"/>
      <c r="I134" s="1125"/>
      <c r="J134" s="1134"/>
      <c r="K134" s="1134"/>
      <c r="L134" s="916"/>
    </row>
    <row r="135" spans="1:12" s="103" customFormat="1" ht="15.75" hidden="1" customHeight="1" outlineLevel="1">
      <c r="A135" s="916"/>
      <c r="B135" s="1124"/>
      <c r="C135" s="1128"/>
      <c r="D135" s="1126"/>
      <c r="E135" s="1126"/>
      <c r="F135" s="1132"/>
      <c r="G135" s="100"/>
      <c r="H135" s="1126"/>
      <c r="I135" s="1126"/>
      <c r="J135" s="1135"/>
      <c r="K135" s="1135"/>
      <c r="L135" s="916"/>
    </row>
    <row r="136" spans="1:12" s="103" customFormat="1" ht="15.75" hidden="1" customHeight="1" outlineLevel="1">
      <c r="A136" s="916"/>
      <c r="B136" s="1123">
        <v>42</v>
      </c>
      <c r="C136" s="1127"/>
      <c r="D136" s="1125"/>
      <c r="E136" s="1125" t="s">
        <v>18</v>
      </c>
      <c r="F136" s="1130" t="str">
        <f>VLOOKUP(E136,$N$13:$O$17,2,0)</f>
        <v>-</v>
      </c>
      <c r="G136" s="92"/>
      <c r="H136" s="1125"/>
      <c r="I136" s="1125"/>
      <c r="J136" s="1133"/>
      <c r="K136" s="1133"/>
      <c r="L136" s="916"/>
    </row>
    <row r="137" spans="1:12" s="103" customFormat="1" ht="15.75" hidden="1" customHeight="1" outlineLevel="1">
      <c r="A137" s="916"/>
      <c r="B137" s="1123"/>
      <c r="C137" s="1127"/>
      <c r="D137" s="1125"/>
      <c r="E137" s="1125"/>
      <c r="F137" s="1130"/>
      <c r="G137" s="95"/>
      <c r="H137" s="1125"/>
      <c r="I137" s="1125"/>
      <c r="J137" s="1134"/>
      <c r="K137" s="1134"/>
      <c r="L137" s="916"/>
    </row>
    <row r="138" spans="1:12" s="103" customFormat="1" ht="15.75" hidden="1" customHeight="1" outlineLevel="1">
      <c r="A138" s="916"/>
      <c r="B138" s="1124"/>
      <c r="C138" s="1128"/>
      <c r="D138" s="1126"/>
      <c r="E138" s="1126"/>
      <c r="F138" s="1132"/>
      <c r="G138" s="100"/>
      <c r="H138" s="1126"/>
      <c r="I138" s="1126"/>
      <c r="J138" s="1135"/>
      <c r="K138" s="1135"/>
      <c r="L138" s="916"/>
    </row>
    <row r="139" spans="1:12" s="103" customFormat="1" ht="15.75" hidden="1" customHeight="1" outlineLevel="1">
      <c r="A139" s="916"/>
      <c r="B139" s="1123">
        <v>43</v>
      </c>
      <c r="C139" s="1127"/>
      <c r="D139" s="1125"/>
      <c r="E139" s="1125" t="s">
        <v>18</v>
      </c>
      <c r="F139" s="1130" t="str">
        <f>VLOOKUP(E139,$N$13:$O$17,2,0)</f>
        <v>-</v>
      </c>
      <c r="G139" s="92"/>
      <c r="H139" s="1125"/>
      <c r="I139" s="1125"/>
      <c r="J139" s="1133"/>
      <c r="K139" s="1133"/>
      <c r="L139" s="916"/>
    </row>
    <row r="140" spans="1:12" s="103" customFormat="1" ht="15.75" hidden="1" customHeight="1" outlineLevel="1">
      <c r="A140" s="916"/>
      <c r="B140" s="1123"/>
      <c r="C140" s="1127"/>
      <c r="D140" s="1125"/>
      <c r="E140" s="1125"/>
      <c r="F140" s="1130"/>
      <c r="G140" s="95"/>
      <c r="H140" s="1125"/>
      <c r="I140" s="1125"/>
      <c r="J140" s="1134"/>
      <c r="K140" s="1134"/>
      <c r="L140" s="916"/>
    </row>
    <row r="141" spans="1:12" s="103" customFormat="1" ht="15.75" hidden="1" customHeight="1" outlineLevel="1">
      <c r="A141" s="916"/>
      <c r="B141" s="1124"/>
      <c r="C141" s="1128"/>
      <c r="D141" s="1126"/>
      <c r="E141" s="1126"/>
      <c r="F141" s="1132"/>
      <c r="G141" s="100"/>
      <c r="H141" s="1126"/>
      <c r="I141" s="1126"/>
      <c r="J141" s="1135"/>
      <c r="K141" s="1135"/>
      <c r="L141" s="916"/>
    </row>
    <row r="142" spans="1:12" s="103" customFormat="1" ht="15.75" hidden="1" customHeight="1" outlineLevel="1">
      <c r="A142" s="916"/>
      <c r="B142" s="1123">
        <v>44</v>
      </c>
      <c r="C142" s="1127"/>
      <c r="D142" s="1125"/>
      <c r="E142" s="1125" t="s">
        <v>18</v>
      </c>
      <c r="F142" s="1130" t="str">
        <f>VLOOKUP(E142,$N$13:$O$17,2,0)</f>
        <v>-</v>
      </c>
      <c r="G142" s="92"/>
      <c r="H142" s="90"/>
      <c r="I142" s="1125"/>
      <c r="J142" s="1133"/>
      <c r="K142" s="1133"/>
      <c r="L142" s="916"/>
    </row>
    <row r="143" spans="1:12" s="103" customFormat="1" ht="15.75" hidden="1" customHeight="1" outlineLevel="1">
      <c r="A143" s="916"/>
      <c r="B143" s="1123"/>
      <c r="C143" s="1127"/>
      <c r="D143" s="1125"/>
      <c r="E143" s="1125"/>
      <c r="F143" s="1130"/>
      <c r="G143" s="95"/>
      <c r="H143" s="90"/>
      <c r="I143" s="1125"/>
      <c r="J143" s="1134"/>
      <c r="K143" s="1134"/>
      <c r="L143" s="916"/>
    </row>
    <row r="144" spans="1:12" s="103" customFormat="1" ht="15.75" hidden="1" customHeight="1" outlineLevel="1">
      <c r="A144" s="916"/>
      <c r="B144" s="1124"/>
      <c r="C144" s="1128"/>
      <c r="D144" s="1126"/>
      <c r="E144" s="1126"/>
      <c r="F144" s="1132"/>
      <c r="G144" s="100"/>
      <c r="H144" s="98"/>
      <c r="I144" s="1126"/>
      <c r="J144" s="1135"/>
      <c r="K144" s="1135"/>
      <c r="L144" s="916"/>
    </row>
    <row r="145" spans="1:12" s="103" customFormat="1" ht="15.75" hidden="1" customHeight="1" outlineLevel="1">
      <c r="A145" s="916"/>
      <c r="B145" s="1123">
        <v>45</v>
      </c>
      <c r="C145" s="1127"/>
      <c r="D145" s="1125"/>
      <c r="E145" s="1125" t="s">
        <v>18</v>
      </c>
      <c r="F145" s="1130" t="str">
        <f>VLOOKUP(E145,$N$13:$O$17,2,0)</f>
        <v>-</v>
      </c>
      <c r="G145" s="92"/>
      <c r="H145" s="90"/>
      <c r="I145" s="1125"/>
      <c r="J145" s="1133"/>
      <c r="K145" s="1133"/>
      <c r="L145" s="916"/>
    </row>
    <row r="146" spans="1:12" s="103" customFormat="1" ht="15.75" hidden="1" customHeight="1" outlineLevel="1">
      <c r="A146" s="916"/>
      <c r="B146" s="1123"/>
      <c r="C146" s="1127"/>
      <c r="D146" s="1125"/>
      <c r="E146" s="1125"/>
      <c r="F146" s="1130"/>
      <c r="G146" s="95"/>
      <c r="H146" s="90"/>
      <c r="I146" s="1125"/>
      <c r="J146" s="1134"/>
      <c r="K146" s="1134"/>
      <c r="L146" s="916"/>
    </row>
    <row r="147" spans="1:12" s="103" customFormat="1" ht="15.75" hidden="1" customHeight="1" outlineLevel="1">
      <c r="A147" s="916"/>
      <c r="B147" s="1124"/>
      <c r="C147" s="1128"/>
      <c r="D147" s="1126"/>
      <c r="E147" s="1126"/>
      <c r="F147" s="1132"/>
      <c r="G147" s="100"/>
      <c r="H147" s="98"/>
      <c r="I147" s="1126"/>
      <c r="J147" s="1135"/>
      <c r="K147" s="1135"/>
      <c r="L147" s="916"/>
    </row>
    <row r="148" spans="1:12" s="103" customFormat="1" ht="15.75" hidden="1" customHeight="1" outlineLevel="1">
      <c r="A148" s="916"/>
      <c r="B148" s="1123">
        <v>46</v>
      </c>
      <c r="C148" s="1127"/>
      <c r="D148" s="1125"/>
      <c r="E148" s="1125" t="s">
        <v>18</v>
      </c>
      <c r="F148" s="1130" t="str">
        <f>VLOOKUP(E148,$N$13:$O$17,2,0)</f>
        <v>-</v>
      </c>
      <c r="G148" s="92"/>
      <c r="H148" s="90"/>
      <c r="I148" s="1125"/>
      <c r="J148" s="1133"/>
      <c r="K148" s="1133"/>
      <c r="L148" s="916"/>
    </row>
    <row r="149" spans="1:12" s="103" customFormat="1" ht="15.75" hidden="1" customHeight="1" outlineLevel="1">
      <c r="A149" s="916"/>
      <c r="B149" s="1123"/>
      <c r="C149" s="1127"/>
      <c r="D149" s="1125"/>
      <c r="E149" s="1125"/>
      <c r="F149" s="1130"/>
      <c r="G149" s="95"/>
      <c r="H149" s="90"/>
      <c r="I149" s="1125"/>
      <c r="J149" s="1134"/>
      <c r="K149" s="1134"/>
      <c r="L149" s="916"/>
    </row>
    <row r="150" spans="1:12" s="103" customFormat="1" ht="15.75" hidden="1" customHeight="1" outlineLevel="1">
      <c r="A150" s="916"/>
      <c r="B150" s="1124"/>
      <c r="C150" s="1128"/>
      <c r="D150" s="1126"/>
      <c r="E150" s="1126"/>
      <c r="F150" s="1132"/>
      <c r="G150" s="100"/>
      <c r="H150" s="98"/>
      <c r="I150" s="1126"/>
      <c r="J150" s="1135"/>
      <c r="K150" s="1135"/>
      <c r="L150" s="916"/>
    </row>
    <row r="151" spans="1:12" s="103" customFormat="1" ht="15.75" hidden="1" customHeight="1" outlineLevel="1">
      <c r="A151" s="916"/>
      <c r="B151" s="1123">
        <v>47</v>
      </c>
      <c r="C151" s="1127"/>
      <c r="D151" s="1125"/>
      <c r="E151" s="1125" t="s">
        <v>18</v>
      </c>
      <c r="F151" s="1130" t="str">
        <f>VLOOKUP(E151,$N$13:$O$17,2,0)</f>
        <v>-</v>
      </c>
      <c r="G151" s="92"/>
      <c r="H151" s="90"/>
      <c r="I151" s="1125"/>
      <c r="J151" s="1133"/>
      <c r="K151" s="1133"/>
      <c r="L151" s="916"/>
    </row>
    <row r="152" spans="1:12" s="103" customFormat="1" ht="15.75" hidden="1" customHeight="1" outlineLevel="1">
      <c r="A152" s="916"/>
      <c r="B152" s="1123"/>
      <c r="C152" s="1127"/>
      <c r="D152" s="1125"/>
      <c r="E152" s="1125"/>
      <c r="F152" s="1130"/>
      <c r="G152" s="95"/>
      <c r="H152" s="90"/>
      <c r="I152" s="1125"/>
      <c r="J152" s="1134"/>
      <c r="K152" s="1134"/>
      <c r="L152" s="916"/>
    </row>
    <row r="153" spans="1:12" s="103" customFormat="1" ht="15.75" hidden="1" customHeight="1" outlineLevel="1">
      <c r="A153" s="916"/>
      <c r="B153" s="1124"/>
      <c r="C153" s="1128"/>
      <c r="D153" s="1126"/>
      <c r="E153" s="1126"/>
      <c r="F153" s="1132"/>
      <c r="G153" s="100"/>
      <c r="H153" s="98"/>
      <c r="I153" s="1126"/>
      <c r="J153" s="1135"/>
      <c r="K153" s="1135"/>
      <c r="L153" s="916"/>
    </row>
    <row r="154" spans="1:12" s="103" customFormat="1" ht="15.75" hidden="1" customHeight="1" outlineLevel="1">
      <c r="A154" s="916"/>
      <c r="B154" s="1123">
        <v>48</v>
      </c>
      <c r="C154" s="1127"/>
      <c r="D154" s="1125"/>
      <c r="E154" s="1125" t="s">
        <v>18</v>
      </c>
      <c r="F154" s="1130" t="str">
        <f>VLOOKUP(E154,$N$13:$O$17,2,0)</f>
        <v>-</v>
      </c>
      <c r="G154" s="92"/>
      <c r="H154" s="90"/>
      <c r="I154" s="1125"/>
      <c r="J154" s="1133"/>
      <c r="K154" s="1133"/>
      <c r="L154" s="916"/>
    </row>
    <row r="155" spans="1:12" s="103" customFormat="1" ht="15.75" hidden="1" customHeight="1" outlineLevel="1">
      <c r="A155" s="916"/>
      <c r="B155" s="1123"/>
      <c r="C155" s="1127"/>
      <c r="D155" s="1125"/>
      <c r="E155" s="1125"/>
      <c r="F155" s="1130"/>
      <c r="G155" s="95"/>
      <c r="H155" s="90"/>
      <c r="I155" s="1125"/>
      <c r="J155" s="1134"/>
      <c r="K155" s="1134"/>
      <c r="L155" s="916"/>
    </row>
    <row r="156" spans="1:12" s="103" customFormat="1" ht="15.75" hidden="1" customHeight="1" outlineLevel="1">
      <c r="A156" s="916"/>
      <c r="B156" s="1124"/>
      <c r="C156" s="1128"/>
      <c r="D156" s="1126"/>
      <c r="E156" s="1126"/>
      <c r="F156" s="1132"/>
      <c r="G156" s="100"/>
      <c r="H156" s="98"/>
      <c r="I156" s="1126"/>
      <c r="J156" s="1135"/>
      <c r="K156" s="1135"/>
      <c r="L156" s="916"/>
    </row>
    <row r="157" spans="1:12" s="103" customFormat="1" ht="15.75" hidden="1" customHeight="1" outlineLevel="1">
      <c r="A157" s="916"/>
      <c r="B157" s="1123">
        <v>49</v>
      </c>
      <c r="C157" s="1127"/>
      <c r="D157" s="1125"/>
      <c r="E157" s="1125" t="s">
        <v>18</v>
      </c>
      <c r="F157" s="1130" t="str">
        <f>VLOOKUP(E157,$N$13:$O$17,2,0)</f>
        <v>-</v>
      </c>
      <c r="G157" s="92"/>
      <c r="H157" s="90"/>
      <c r="I157" s="1125"/>
      <c r="J157" s="1133"/>
      <c r="K157" s="1133"/>
      <c r="L157" s="916"/>
    </row>
    <row r="158" spans="1:12" s="103" customFormat="1" ht="15.75" hidden="1" customHeight="1" outlineLevel="1">
      <c r="A158" s="916"/>
      <c r="B158" s="1123"/>
      <c r="C158" s="1127"/>
      <c r="D158" s="1125"/>
      <c r="E158" s="1125"/>
      <c r="F158" s="1130"/>
      <c r="G158" s="95"/>
      <c r="H158" s="90"/>
      <c r="I158" s="1125"/>
      <c r="J158" s="1134"/>
      <c r="K158" s="1134"/>
      <c r="L158" s="916"/>
    </row>
    <row r="159" spans="1:12" s="103" customFormat="1" ht="15.75" hidden="1" customHeight="1" outlineLevel="1">
      <c r="A159" s="916"/>
      <c r="B159" s="1124"/>
      <c r="C159" s="1128"/>
      <c r="D159" s="1126"/>
      <c r="E159" s="1126"/>
      <c r="F159" s="1132"/>
      <c r="G159" s="100"/>
      <c r="H159" s="98"/>
      <c r="I159" s="1126"/>
      <c r="J159" s="1135"/>
      <c r="K159" s="1135"/>
      <c r="L159" s="916"/>
    </row>
    <row r="160" spans="1:12" s="103" customFormat="1" ht="15.75" hidden="1" customHeight="1" outlineLevel="1">
      <c r="A160" s="916"/>
      <c r="B160" s="1123">
        <v>50</v>
      </c>
      <c r="C160" s="1127"/>
      <c r="D160" s="1125"/>
      <c r="E160" s="1125" t="s">
        <v>18</v>
      </c>
      <c r="F160" s="1130" t="str">
        <f>VLOOKUP(E160,$N$13:$O$17,2,0)</f>
        <v>-</v>
      </c>
      <c r="G160" s="92"/>
      <c r="H160" s="90"/>
      <c r="I160" s="1125"/>
      <c r="J160" s="1133"/>
      <c r="K160" s="1133"/>
      <c r="L160" s="916"/>
    </row>
    <row r="161" spans="1:12" s="103" customFormat="1" ht="15.75" hidden="1" customHeight="1" outlineLevel="1">
      <c r="A161" s="916"/>
      <c r="B161" s="1123"/>
      <c r="C161" s="1127"/>
      <c r="D161" s="1125"/>
      <c r="E161" s="1125"/>
      <c r="F161" s="1130"/>
      <c r="G161" s="95"/>
      <c r="H161" s="90"/>
      <c r="I161" s="1125"/>
      <c r="J161" s="1134"/>
      <c r="K161" s="1134"/>
      <c r="L161" s="916"/>
    </row>
    <row r="162" spans="1:12" s="103" customFormat="1" ht="15.75" hidden="1" customHeight="1" outlineLevel="1">
      <c r="A162" s="916"/>
      <c r="B162" s="1124"/>
      <c r="C162" s="1128"/>
      <c r="D162" s="1126"/>
      <c r="E162" s="1126"/>
      <c r="F162" s="1132"/>
      <c r="G162" s="100"/>
      <c r="H162" s="98"/>
      <c r="I162" s="1126"/>
      <c r="J162" s="1135"/>
      <c r="K162" s="1135"/>
      <c r="L162" s="916"/>
    </row>
    <row r="163" spans="1:12" s="103" customFormat="1" ht="15.75" hidden="1" customHeight="1" outlineLevel="1">
      <c r="A163" s="916"/>
      <c r="B163" s="1123">
        <v>51</v>
      </c>
      <c r="C163" s="1127"/>
      <c r="D163" s="1125"/>
      <c r="E163" s="1125" t="s">
        <v>18</v>
      </c>
      <c r="F163" s="1130" t="str">
        <f>VLOOKUP(E163,$N$13:$O$17,2,0)</f>
        <v>-</v>
      </c>
      <c r="G163" s="92"/>
      <c r="H163" s="90"/>
      <c r="I163" s="1125"/>
      <c r="J163" s="1133"/>
      <c r="K163" s="1133"/>
      <c r="L163" s="916"/>
    </row>
    <row r="164" spans="1:12" s="103" customFormat="1" ht="15.75" hidden="1" customHeight="1" outlineLevel="1">
      <c r="A164" s="916"/>
      <c r="B164" s="1123"/>
      <c r="C164" s="1127"/>
      <c r="D164" s="1125"/>
      <c r="E164" s="1125"/>
      <c r="F164" s="1130"/>
      <c r="G164" s="95"/>
      <c r="H164" s="90"/>
      <c r="I164" s="1125"/>
      <c r="J164" s="1134"/>
      <c r="K164" s="1134"/>
      <c r="L164" s="916"/>
    </row>
    <row r="165" spans="1:12" s="103" customFormat="1" ht="15.75" hidden="1" customHeight="1" outlineLevel="1">
      <c r="A165" s="916"/>
      <c r="B165" s="1124"/>
      <c r="C165" s="1128"/>
      <c r="D165" s="1126"/>
      <c r="E165" s="1126"/>
      <c r="F165" s="1132"/>
      <c r="G165" s="100"/>
      <c r="H165" s="98"/>
      <c r="I165" s="1126"/>
      <c r="J165" s="1135"/>
      <c r="K165" s="1135"/>
      <c r="L165" s="916"/>
    </row>
    <row r="166" spans="1:12" s="103" customFormat="1" ht="15.75" hidden="1" customHeight="1" outlineLevel="1">
      <c r="A166" s="916"/>
      <c r="B166" s="1123">
        <v>52</v>
      </c>
      <c r="C166" s="1127"/>
      <c r="D166" s="1125"/>
      <c r="E166" s="1125" t="s">
        <v>18</v>
      </c>
      <c r="F166" s="1130" t="str">
        <f>VLOOKUP(E166,$N$13:$O$17,2,0)</f>
        <v>-</v>
      </c>
      <c r="G166" s="92"/>
      <c r="H166" s="90"/>
      <c r="I166" s="1125"/>
      <c r="J166" s="1133"/>
      <c r="K166" s="1133"/>
      <c r="L166" s="916"/>
    </row>
    <row r="167" spans="1:12" s="103" customFormat="1" ht="15.75" hidden="1" customHeight="1" outlineLevel="1">
      <c r="A167" s="916"/>
      <c r="B167" s="1123"/>
      <c r="C167" s="1127"/>
      <c r="D167" s="1125"/>
      <c r="E167" s="1125"/>
      <c r="F167" s="1130"/>
      <c r="G167" s="95"/>
      <c r="H167" s="90"/>
      <c r="I167" s="1125"/>
      <c r="J167" s="1134"/>
      <c r="K167" s="1134"/>
      <c r="L167" s="916"/>
    </row>
    <row r="168" spans="1:12" s="103" customFormat="1" ht="15.75" hidden="1" customHeight="1" outlineLevel="1">
      <c r="A168" s="916"/>
      <c r="B168" s="1124"/>
      <c r="C168" s="1128"/>
      <c r="D168" s="1126"/>
      <c r="E168" s="1126"/>
      <c r="F168" s="1132"/>
      <c r="G168" s="100"/>
      <c r="H168" s="98"/>
      <c r="I168" s="1126"/>
      <c r="J168" s="1135"/>
      <c r="K168" s="1135"/>
      <c r="L168" s="916"/>
    </row>
    <row r="169" spans="1:12" s="103" customFormat="1" ht="15.75" hidden="1" customHeight="1" outlineLevel="1">
      <c r="A169" s="916"/>
      <c r="B169" s="1123">
        <v>53</v>
      </c>
      <c r="C169" s="1127"/>
      <c r="D169" s="1125"/>
      <c r="E169" s="1125" t="s">
        <v>18</v>
      </c>
      <c r="F169" s="1130" t="str">
        <f>VLOOKUP(E169,$N$13:$O$17,2,0)</f>
        <v>-</v>
      </c>
      <c r="G169" s="92"/>
      <c r="H169" s="90"/>
      <c r="I169" s="1125"/>
      <c r="J169" s="1133"/>
      <c r="K169" s="1133"/>
      <c r="L169" s="916"/>
    </row>
    <row r="170" spans="1:12" s="103" customFormat="1" ht="15.75" hidden="1" customHeight="1" outlineLevel="1">
      <c r="A170" s="916"/>
      <c r="B170" s="1123"/>
      <c r="C170" s="1127"/>
      <c r="D170" s="1125"/>
      <c r="E170" s="1125"/>
      <c r="F170" s="1130"/>
      <c r="G170" s="95"/>
      <c r="H170" s="90"/>
      <c r="I170" s="1125"/>
      <c r="J170" s="1134"/>
      <c r="K170" s="1134"/>
      <c r="L170" s="916"/>
    </row>
    <row r="171" spans="1:12" s="103" customFormat="1" ht="15.75" hidden="1" customHeight="1" outlineLevel="1">
      <c r="A171" s="916"/>
      <c r="B171" s="1124"/>
      <c r="C171" s="1128"/>
      <c r="D171" s="1126"/>
      <c r="E171" s="1126"/>
      <c r="F171" s="1132"/>
      <c r="G171" s="100"/>
      <c r="H171" s="98"/>
      <c r="I171" s="1126"/>
      <c r="J171" s="1135"/>
      <c r="K171" s="1135"/>
      <c r="L171" s="916"/>
    </row>
    <row r="172" spans="1:12" s="103" customFormat="1" ht="15.75" hidden="1" customHeight="1" outlineLevel="1">
      <c r="A172" s="916"/>
      <c r="B172" s="1123">
        <v>54</v>
      </c>
      <c r="C172" s="1127"/>
      <c r="D172" s="1125"/>
      <c r="E172" s="1125" t="s">
        <v>18</v>
      </c>
      <c r="F172" s="1130" t="str">
        <f>VLOOKUP(E172,$N$13:$O$17,2,0)</f>
        <v>-</v>
      </c>
      <c r="G172" s="92"/>
      <c r="H172" s="90"/>
      <c r="I172" s="1125"/>
      <c r="J172" s="1133"/>
      <c r="K172" s="1133"/>
      <c r="L172" s="916"/>
    </row>
    <row r="173" spans="1:12" s="103" customFormat="1" ht="15.75" hidden="1" customHeight="1" outlineLevel="1">
      <c r="A173" s="916"/>
      <c r="B173" s="1123"/>
      <c r="C173" s="1127"/>
      <c r="D173" s="1125"/>
      <c r="E173" s="1125"/>
      <c r="F173" s="1130"/>
      <c r="G173" s="95"/>
      <c r="H173" s="90"/>
      <c r="I173" s="1125"/>
      <c r="J173" s="1134"/>
      <c r="K173" s="1134"/>
      <c r="L173" s="916"/>
    </row>
    <row r="174" spans="1:12" s="103" customFormat="1" ht="15.75" hidden="1" customHeight="1" outlineLevel="1">
      <c r="A174" s="916"/>
      <c r="B174" s="1124"/>
      <c r="C174" s="1128"/>
      <c r="D174" s="1126"/>
      <c r="E174" s="1126"/>
      <c r="F174" s="1132"/>
      <c r="G174" s="100"/>
      <c r="H174" s="98"/>
      <c r="I174" s="1126"/>
      <c r="J174" s="1135"/>
      <c r="K174" s="1135"/>
      <c r="L174" s="916"/>
    </row>
    <row r="175" spans="1:12" s="103" customFormat="1" ht="15.75" hidden="1" customHeight="1" outlineLevel="1">
      <c r="A175" s="916"/>
      <c r="B175" s="1123">
        <v>55</v>
      </c>
      <c r="C175" s="1127"/>
      <c r="D175" s="1125"/>
      <c r="E175" s="1125" t="s">
        <v>18</v>
      </c>
      <c r="F175" s="1130" t="str">
        <f>VLOOKUP(E175,$N$13:$O$17,2,0)</f>
        <v>-</v>
      </c>
      <c r="G175" s="92"/>
      <c r="H175" s="90"/>
      <c r="I175" s="1125"/>
      <c r="J175" s="1133"/>
      <c r="K175" s="1133"/>
      <c r="L175" s="916"/>
    </row>
    <row r="176" spans="1:12" s="103" customFormat="1" ht="15.75" hidden="1" customHeight="1" outlineLevel="1">
      <c r="A176" s="916"/>
      <c r="B176" s="1123"/>
      <c r="C176" s="1127"/>
      <c r="D176" s="1125"/>
      <c r="E176" s="1125"/>
      <c r="F176" s="1130"/>
      <c r="G176" s="95"/>
      <c r="H176" s="90"/>
      <c r="I176" s="1125"/>
      <c r="J176" s="1134"/>
      <c r="K176" s="1134"/>
      <c r="L176" s="916"/>
    </row>
    <row r="177" spans="1:12" s="103" customFormat="1" ht="15.75" hidden="1" customHeight="1" outlineLevel="1">
      <c r="A177" s="916"/>
      <c r="B177" s="1124"/>
      <c r="C177" s="1128"/>
      <c r="D177" s="1126"/>
      <c r="E177" s="1126"/>
      <c r="F177" s="1132"/>
      <c r="G177" s="100"/>
      <c r="H177" s="98"/>
      <c r="I177" s="1126"/>
      <c r="J177" s="1135"/>
      <c r="K177" s="1135"/>
      <c r="L177" s="916"/>
    </row>
    <row r="178" spans="1:12" s="103" customFormat="1" ht="15.75" hidden="1" customHeight="1" outlineLevel="1">
      <c r="A178" s="916"/>
      <c r="B178" s="1123">
        <v>56</v>
      </c>
      <c r="C178" s="1127"/>
      <c r="D178" s="1125"/>
      <c r="E178" s="1125" t="s">
        <v>18</v>
      </c>
      <c r="F178" s="1130" t="str">
        <f>VLOOKUP(E178,$N$13:$O$17,2,0)</f>
        <v>-</v>
      </c>
      <c r="G178" s="92"/>
      <c r="H178" s="90"/>
      <c r="I178" s="1125"/>
      <c r="J178" s="1133"/>
      <c r="K178" s="1133"/>
      <c r="L178" s="916"/>
    </row>
    <row r="179" spans="1:12" s="103" customFormat="1" ht="15.75" hidden="1" customHeight="1" outlineLevel="1">
      <c r="A179" s="916"/>
      <c r="B179" s="1123"/>
      <c r="C179" s="1127"/>
      <c r="D179" s="1125"/>
      <c r="E179" s="1125"/>
      <c r="F179" s="1130"/>
      <c r="G179" s="95"/>
      <c r="H179" s="90"/>
      <c r="I179" s="1125"/>
      <c r="J179" s="1134"/>
      <c r="K179" s="1134"/>
      <c r="L179" s="916"/>
    </row>
    <row r="180" spans="1:12" s="103" customFormat="1" ht="15.75" hidden="1" customHeight="1" outlineLevel="1">
      <c r="A180" s="916"/>
      <c r="B180" s="1124"/>
      <c r="C180" s="1128"/>
      <c r="D180" s="1126"/>
      <c r="E180" s="1126"/>
      <c r="F180" s="1132"/>
      <c r="G180" s="100"/>
      <c r="H180" s="98"/>
      <c r="I180" s="1126"/>
      <c r="J180" s="1135"/>
      <c r="K180" s="1135"/>
      <c r="L180" s="916"/>
    </row>
    <row r="181" spans="1:12" s="103" customFormat="1" ht="15.75" hidden="1" customHeight="1" outlineLevel="1">
      <c r="A181" s="916"/>
      <c r="B181" s="1123">
        <v>57</v>
      </c>
      <c r="C181" s="1127"/>
      <c r="D181" s="1125"/>
      <c r="E181" s="1125" t="s">
        <v>18</v>
      </c>
      <c r="F181" s="1130" t="str">
        <f>VLOOKUP(E181,$N$13:$O$17,2,0)</f>
        <v>-</v>
      </c>
      <c r="G181" s="92"/>
      <c r="H181" s="90"/>
      <c r="I181" s="1125"/>
      <c r="J181" s="1133"/>
      <c r="K181" s="1133"/>
      <c r="L181" s="916"/>
    </row>
    <row r="182" spans="1:12" s="103" customFormat="1" ht="15.75" hidden="1" customHeight="1" outlineLevel="1">
      <c r="A182" s="916"/>
      <c r="B182" s="1123"/>
      <c r="C182" s="1127"/>
      <c r="D182" s="1125"/>
      <c r="E182" s="1125"/>
      <c r="F182" s="1130"/>
      <c r="G182" s="95"/>
      <c r="H182" s="90"/>
      <c r="I182" s="1125"/>
      <c r="J182" s="1134"/>
      <c r="K182" s="1134"/>
      <c r="L182" s="916"/>
    </row>
    <row r="183" spans="1:12" s="103" customFormat="1" ht="15.75" hidden="1" customHeight="1" outlineLevel="1">
      <c r="A183" s="916"/>
      <c r="B183" s="1124"/>
      <c r="C183" s="1128"/>
      <c r="D183" s="1126"/>
      <c r="E183" s="1126"/>
      <c r="F183" s="1132"/>
      <c r="G183" s="100"/>
      <c r="H183" s="98"/>
      <c r="I183" s="1126"/>
      <c r="J183" s="1135"/>
      <c r="K183" s="1135"/>
      <c r="L183" s="916"/>
    </row>
    <row r="184" spans="1:12" s="103" customFormat="1" ht="15.75" hidden="1" customHeight="1" outlineLevel="1">
      <c r="A184" s="916"/>
      <c r="B184" s="1123">
        <v>58</v>
      </c>
      <c r="C184" s="1127"/>
      <c r="D184" s="1125"/>
      <c r="E184" s="1125" t="s">
        <v>18</v>
      </c>
      <c r="F184" s="1130" t="str">
        <f>VLOOKUP(E184,$N$13:$O$17,2,0)</f>
        <v>-</v>
      </c>
      <c r="G184" s="92"/>
      <c r="H184" s="90"/>
      <c r="I184" s="1125"/>
      <c r="J184" s="1133"/>
      <c r="K184" s="1133"/>
      <c r="L184" s="916"/>
    </row>
    <row r="185" spans="1:12" s="103" customFormat="1" ht="15.75" hidden="1" customHeight="1" outlineLevel="1">
      <c r="A185" s="916"/>
      <c r="B185" s="1123"/>
      <c r="C185" s="1127"/>
      <c r="D185" s="1125"/>
      <c r="E185" s="1125"/>
      <c r="F185" s="1130"/>
      <c r="G185" s="95"/>
      <c r="H185" s="90"/>
      <c r="I185" s="1125"/>
      <c r="J185" s="1134"/>
      <c r="K185" s="1134"/>
      <c r="L185" s="916"/>
    </row>
    <row r="186" spans="1:12" s="103" customFormat="1" ht="15.75" hidden="1" customHeight="1" outlineLevel="1">
      <c r="A186" s="916"/>
      <c r="B186" s="1124"/>
      <c r="C186" s="1128"/>
      <c r="D186" s="1126"/>
      <c r="E186" s="1126"/>
      <c r="F186" s="1132"/>
      <c r="G186" s="100"/>
      <c r="H186" s="98"/>
      <c r="I186" s="1126"/>
      <c r="J186" s="1135"/>
      <c r="K186" s="1135"/>
      <c r="L186" s="916"/>
    </row>
    <row r="187" spans="1:12" s="103" customFormat="1" ht="15.75" hidden="1" customHeight="1" outlineLevel="1">
      <c r="A187" s="916"/>
      <c r="B187" s="1123">
        <v>59</v>
      </c>
      <c r="C187" s="1127"/>
      <c r="D187" s="1125"/>
      <c r="E187" s="1125" t="s">
        <v>18</v>
      </c>
      <c r="F187" s="1130" t="str">
        <f>VLOOKUP(E187,$N$13:$O$17,2,0)</f>
        <v>-</v>
      </c>
      <c r="G187" s="92"/>
      <c r="H187" s="90"/>
      <c r="I187" s="1125"/>
      <c r="J187" s="1133"/>
      <c r="K187" s="1133"/>
      <c r="L187" s="916"/>
    </row>
    <row r="188" spans="1:12" s="103" customFormat="1" ht="15.75" hidden="1" customHeight="1" outlineLevel="1">
      <c r="A188" s="916"/>
      <c r="B188" s="1123"/>
      <c r="C188" s="1127"/>
      <c r="D188" s="1125"/>
      <c r="E188" s="1125"/>
      <c r="F188" s="1130"/>
      <c r="G188" s="95"/>
      <c r="H188" s="90"/>
      <c r="I188" s="1125"/>
      <c r="J188" s="1134"/>
      <c r="K188" s="1134"/>
      <c r="L188" s="916"/>
    </row>
    <row r="189" spans="1:12" s="103" customFormat="1" ht="15.75" hidden="1" customHeight="1" outlineLevel="1">
      <c r="A189" s="916"/>
      <c r="B189" s="1124"/>
      <c r="C189" s="1128"/>
      <c r="D189" s="1126"/>
      <c r="E189" s="1126"/>
      <c r="F189" s="1132"/>
      <c r="G189" s="100"/>
      <c r="H189" s="98"/>
      <c r="I189" s="1126"/>
      <c r="J189" s="1135"/>
      <c r="K189" s="1135"/>
      <c r="L189" s="916"/>
    </row>
    <row r="190" spans="1:12" s="103" customFormat="1" ht="15.75" hidden="1" customHeight="1" outlineLevel="1">
      <c r="A190" s="916"/>
      <c r="B190" s="1123">
        <v>60</v>
      </c>
      <c r="C190" s="1127"/>
      <c r="D190" s="1125"/>
      <c r="E190" s="1125" t="s">
        <v>18</v>
      </c>
      <c r="F190" s="1130" t="str">
        <f>VLOOKUP(E190,$N$13:$O$17,2,0)</f>
        <v>-</v>
      </c>
      <c r="G190" s="92"/>
      <c r="H190" s="90"/>
      <c r="I190" s="1125"/>
      <c r="J190" s="1133"/>
      <c r="K190" s="1133"/>
      <c r="L190" s="916"/>
    </row>
    <row r="191" spans="1:12" s="103" customFormat="1" ht="15.75" hidden="1" customHeight="1" outlineLevel="1">
      <c r="A191" s="916"/>
      <c r="B191" s="1123"/>
      <c r="C191" s="1127"/>
      <c r="D191" s="1125"/>
      <c r="E191" s="1125"/>
      <c r="F191" s="1130"/>
      <c r="G191" s="95"/>
      <c r="H191" s="90"/>
      <c r="I191" s="1125"/>
      <c r="J191" s="1134"/>
      <c r="K191" s="1134"/>
      <c r="L191" s="916"/>
    </row>
    <row r="192" spans="1:12" s="103" customFormat="1" ht="15.75" hidden="1" customHeight="1" outlineLevel="1">
      <c r="A192" s="916"/>
      <c r="B192" s="1124"/>
      <c r="C192" s="1128"/>
      <c r="D192" s="1126"/>
      <c r="E192" s="1126"/>
      <c r="F192" s="1132"/>
      <c r="G192" s="100"/>
      <c r="H192" s="98"/>
      <c r="I192" s="1126"/>
      <c r="J192" s="1135"/>
      <c r="K192" s="1135"/>
      <c r="L192" s="916"/>
    </row>
    <row r="193" spans="1:12" s="103" customFormat="1" ht="15.75" hidden="1" customHeight="1" outlineLevel="1">
      <c r="A193" s="916"/>
      <c r="B193" s="1123">
        <v>61</v>
      </c>
      <c r="C193" s="1127"/>
      <c r="D193" s="1125"/>
      <c r="E193" s="1125" t="s">
        <v>18</v>
      </c>
      <c r="F193" s="1130" t="str">
        <f>VLOOKUP(E193,$N$13:$O$17,2,0)</f>
        <v>-</v>
      </c>
      <c r="G193" s="92"/>
      <c r="H193" s="90"/>
      <c r="I193" s="1125"/>
      <c r="J193" s="1133"/>
      <c r="K193" s="1133"/>
      <c r="L193" s="916"/>
    </row>
    <row r="194" spans="1:12" s="103" customFormat="1" ht="15.75" hidden="1" customHeight="1" outlineLevel="1">
      <c r="A194" s="916"/>
      <c r="B194" s="1123"/>
      <c r="C194" s="1127"/>
      <c r="D194" s="1125"/>
      <c r="E194" s="1125"/>
      <c r="F194" s="1130"/>
      <c r="G194" s="95"/>
      <c r="H194" s="90"/>
      <c r="I194" s="1125"/>
      <c r="J194" s="1134"/>
      <c r="K194" s="1134"/>
      <c r="L194" s="916"/>
    </row>
    <row r="195" spans="1:12" s="103" customFormat="1" ht="15.75" hidden="1" customHeight="1" outlineLevel="1">
      <c r="A195" s="916"/>
      <c r="B195" s="1124"/>
      <c r="C195" s="1128"/>
      <c r="D195" s="1126"/>
      <c r="E195" s="1126"/>
      <c r="F195" s="1132"/>
      <c r="G195" s="100"/>
      <c r="H195" s="98"/>
      <c r="I195" s="1126"/>
      <c r="J195" s="1135"/>
      <c r="K195" s="1135"/>
      <c r="L195" s="916"/>
    </row>
    <row r="196" spans="1:12" s="103" customFormat="1" ht="15.75" hidden="1" customHeight="1" outlineLevel="1">
      <c r="A196" s="916"/>
      <c r="B196" s="1123">
        <v>62</v>
      </c>
      <c r="C196" s="1127"/>
      <c r="D196" s="1125"/>
      <c r="E196" s="1125" t="s">
        <v>18</v>
      </c>
      <c r="F196" s="1130" t="str">
        <f>VLOOKUP(E196,$N$13:$O$17,2,0)</f>
        <v>-</v>
      </c>
      <c r="G196" s="92"/>
      <c r="H196" s="90"/>
      <c r="I196" s="1125"/>
      <c r="J196" s="1133"/>
      <c r="K196" s="1133"/>
      <c r="L196" s="916"/>
    </row>
    <row r="197" spans="1:12" s="103" customFormat="1" ht="15.75" hidden="1" customHeight="1" outlineLevel="1">
      <c r="A197" s="916"/>
      <c r="B197" s="1123"/>
      <c r="C197" s="1127"/>
      <c r="D197" s="1125"/>
      <c r="E197" s="1125"/>
      <c r="F197" s="1130"/>
      <c r="G197" s="95"/>
      <c r="H197" s="90"/>
      <c r="I197" s="1125"/>
      <c r="J197" s="1134"/>
      <c r="K197" s="1134"/>
      <c r="L197" s="916"/>
    </row>
    <row r="198" spans="1:12" s="103" customFormat="1" ht="15.75" hidden="1" customHeight="1" outlineLevel="1">
      <c r="A198" s="916"/>
      <c r="B198" s="1124"/>
      <c r="C198" s="1128"/>
      <c r="D198" s="1126"/>
      <c r="E198" s="1126"/>
      <c r="F198" s="1132"/>
      <c r="G198" s="100"/>
      <c r="H198" s="98"/>
      <c r="I198" s="1126"/>
      <c r="J198" s="1135"/>
      <c r="K198" s="1135"/>
      <c r="L198" s="916"/>
    </row>
    <row r="199" spans="1:12" s="103" customFormat="1" ht="15.75" hidden="1" customHeight="1" outlineLevel="1">
      <c r="A199" s="916"/>
      <c r="B199" s="1123">
        <v>63</v>
      </c>
      <c r="C199" s="1127"/>
      <c r="D199" s="1125"/>
      <c r="E199" s="1125" t="s">
        <v>18</v>
      </c>
      <c r="F199" s="1130" t="str">
        <f>VLOOKUP(E199,$N$13:$O$17,2,0)</f>
        <v>-</v>
      </c>
      <c r="G199" s="92"/>
      <c r="H199" s="90"/>
      <c r="I199" s="1125"/>
      <c r="J199" s="1133"/>
      <c r="K199" s="1133"/>
      <c r="L199" s="916"/>
    </row>
    <row r="200" spans="1:12" s="103" customFormat="1" ht="15.75" hidden="1" customHeight="1" outlineLevel="1">
      <c r="A200" s="916"/>
      <c r="B200" s="1123"/>
      <c r="C200" s="1127"/>
      <c r="D200" s="1125"/>
      <c r="E200" s="1125"/>
      <c r="F200" s="1130"/>
      <c r="G200" s="95"/>
      <c r="H200" s="90"/>
      <c r="I200" s="1125"/>
      <c r="J200" s="1134"/>
      <c r="K200" s="1134"/>
      <c r="L200" s="916"/>
    </row>
    <row r="201" spans="1:12" s="103" customFormat="1" ht="15.75" hidden="1" customHeight="1" outlineLevel="1">
      <c r="A201" s="916"/>
      <c r="B201" s="1124"/>
      <c r="C201" s="1128"/>
      <c r="D201" s="1126"/>
      <c r="E201" s="1126"/>
      <c r="F201" s="1132"/>
      <c r="G201" s="100"/>
      <c r="H201" s="98"/>
      <c r="I201" s="1126"/>
      <c r="J201" s="1135"/>
      <c r="K201" s="1135"/>
      <c r="L201" s="916"/>
    </row>
    <row r="202" spans="1:12" s="103" customFormat="1" ht="15.75" hidden="1" customHeight="1" outlineLevel="1">
      <c r="A202" s="916"/>
      <c r="B202" s="1123">
        <v>64</v>
      </c>
      <c r="C202" s="1127"/>
      <c r="D202" s="1125"/>
      <c r="E202" s="1125" t="s">
        <v>18</v>
      </c>
      <c r="F202" s="1130" t="str">
        <f>VLOOKUP(E202,$N$13:$O$17,2,0)</f>
        <v>-</v>
      </c>
      <c r="G202" s="92"/>
      <c r="H202" s="90"/>
      <c r="I202" s="1125"/>
      <c r="J202" s="1133"/>
      <c r="K202" s="1133"/>
      <c r="L202" s="916"/>
    </row>
    <row r="203" spans="1:12" s="103" customFormat="1" ht="15.75" hidden="1" customHeight="1" outlineLevel="1">
      <c r="A203" s="916"/>
      <c r="B203" s="1123"/>
      <c r="C203" s="1127"/>
      <c r="D203" s="1125"/>
      <c r="E203" s="1125"/>
      <c r="F203" s="1130"/>
      <c r="G203" s="95"/>
      <c r="H203" s="90"/>
      <c r="I203" s="1125"/>
      <c r="J203" s="1134"/>
      <c r="K203" s="1134"/>
      <c r="L203" s="916"/>
    </row>
    <row r="204" spans="1:12" s="103" customFormat="1" ht="15.75" hidden="1" customHeight="1" outlineLevel="1">
      <c r="A204" s="916"/>
      <c r="B204" s="1124"/>
      <c r="C204" s="1128"/>
      <c r="D204" s="1126"/>
      <c r="E204" s="1126"/>
      <c r="F204" s="1132"/>
      <c r="G204" s="100"/>
      <c r="H204" s="98"/>
      <c r="I204" s="1126"/>
      <c r="J204" s="1135"/>
      <c r="K204" s="1135"/>
      <c r="L204" s="916"/>
    </row>
    <row r="205" spans="1:12" s="103" customFormat="1" ht="15.75" hidden="1" customHeight="1" outlineLevel="1">
      <c r="A205" s="916"/>
      <c r="B205" s="1123">
        <v>65</v>
      </c>
      <c r="C205" s="1127"/>
      <c r="D205" s="1125"/>
      <c r="E205" s="1125" t="s">
        <v>18</v>
      </c>
      <c r="F205" s="1130" t="str">
        <f>VLOOKUP(E205,$N$13:$O$17,2,0)</f>
        <v>-</v>
      </c>
      <c r="G205" s="92"/>
      <c r="H205" s="90"/>
      <c r="I205" s="1125"/>
      <c r="J205" s="1133"/>
      <c r="K205" s="1133"/>
      <c r="L205" s="916"/>
    </row>
    <row r="206" spans="1:12" s="103" customFormat="1" ht="15.75" hidden="1" customHeight="1" outlineLevel="1">
      <c r="A206" s="916"/>
      <c r="B206" s="1123"/>
      <c r="C206" s="1127"/>
      <c r="D206" s="1125"/>
      <c r="E206" s="1125"/>
      <c r="F206" s="1130"/>
      <c r="G206" s="95"/>
      <c r="H206" s="90"/>
      <c r="I206" s="1125"/>
      <c r="J206" s="1134"/>
      <c r="K206" s="1134"/>
      <c r="L206" s="916"/>
    </row>
    <row r="207" spans="1:12" s="103" customFormat="1" ht="15.75" hidden="1" customHeight="1" outlineLevel="1">
      <c r="A207" s="916"/>
      <c r="B207" s="1124"/>
      <c r="C207" s="1128"/>
      <c r="D207" s="1126"/>
      <c r="E207" s="1126"/>
      <c r="F207" s="1132"/>
      <c r="G207" s="100"/>
      <c r="H207" s="98"/>
      <c r="I207" s="1126"/>
      <c r="J207" s="1135"/>
      <c r="K207" s="1135"/>
      <c r="L207" s="916"/>
    </row>
    <row r="208" spans="1:12" s="103" customFormat="1" ht="15.75" hidden="1" customHeight="1" outlineLevel="1">
      <c r="A208" s="916"/>
      <c r="B208" s="1123">
        <v>66</v>
      </c>
      <c r="C208" s="1127"/>
      <c r="D208" s="1125"/>
      <c r="E208" s="1125" t="s">
        <v>18</v>
      </c>
      <c r="F208" s="1130" t="str">
        <f>VLOOKUP(E208,$N$13:$O$17,2,0)</f>
        <v>-</v>
      </c>
      <c r="G208" s="92"/>
      <c r="H208" s="90"/>
      <c r="I208" s="1125"/>
      <c r="J208" s="1133"/>
      <c r="K208" s="1133"/>
      <c r="L208" s="916"/>
    </row>
    <row r="209" spans="1:12" s="103" customFormat="1" ht="15.75" hidden="1" customHeight="1" outlineLevel="1">
      <c r="A209" s="916"/>
      <c r="B209" s="1123"/>
      <c r="C209" s="1127"/>
      <c r="D209" s="1125"/>
      <c r="E209" s="1125"/>
      <c r="F209" s="1130"/>
      <c r="G209" s="95"/>
      <c r="H209" s="90"/>
      <c r="I209" s="1125"/>
      <c r="J209" s="1134"/>
      <c r="K209" s="1134"/>
      <c r="L209" s="916"/>
    </row>
    <row r="210" spans="1:12" s="103" customFormat="1" ht="15.75" hidden="1" customHeight="1" outlineLevel="1">
      <c r="A210" s="916"/>
      <c r="B210" s="1124"/>
      <c r="C210" s="1128"/>
      <c r="D210" s="1126"/>
      <c r="E210" s="1126"/>
      <c r="F210" s="1132"/>
      <c r="G210" s="100"/>
      <c r="H210" s="98"/>
      <c r="I210" s="1126"/>
      <c r="J210" s="1135"/>
      <c r="K210" s="1135"/>
      <c r="L210" s="916"/>
    </row>
    <row r="211" spans="1:12" s="103" customFormat="1" ht="15.75" hidden="1" customHeight="1" outlineLevel="1">
      <c r="A211" s="916"/>
      <c r="B211" s="1123">
        <v>67</v>
      </c>
      <c r="C211" s="1127"/>
      <c r="D211" s="1125"/>
      <c r="E211" s="1125" t="s">
        <v>18</v>
      </c>
      <c r="F211" s="1130" t="str">
        <f>VLOOKUP(E211,$N$13:$O$17,2,0)</f>
        <v>-</v>
      </c>
      <c r="G211" s="92"/>
      <c r="H211" s="90"/>
      <c r="I211" s="1125"/>
      <c r="J211" s="1133"/>
      <c r="K211" s="1133"/>
      <c r="L211" s="916"/>
    </row>
    <row r="212" spans="1:12" s="103" customFormat="1" ht="15.75" hidden="1" customHeight="1" outlineLevel="1">
      <c r="A212" s="916"/>
      <c r="B212" s="1123"/>
      <c r="C212" s="1127"/>
      <c r="D212" s="1125"/>
      <c r="E212" s="1125"/>
      <c r="F212" s="1130"/>
      <c r="G212" s="95"/>
      <c r="H212" s="90"/>
      <c r="I212" s="1125"/>
      <c r="J212" s="1134"/>
      <c r="K212" s="1134"/>
      <c r="L212" s="916"/>
    </row>
    <row r="213" spans="1:12" s="103" customFormat="1" ht="15.75" hidden="1" customHeight="1" outlineLevel="1">
      <c r="A213" s="916"/>
      <c r="B213" s="1124"/>
      <c r="C213" s="1128"/>
      <c r="D213" s="1126"/>
      <c r="E213" s="1126"/>
      <c r="F213" s="1132"/>
      <c r="G213" s="100"/>
      <c r="H213" s="98"/>
      <c r="I213" s="1126"/>
      <c r="J213" s="1135"/>
      <c r="K213" s="1135"/>
      <c r="L213" s="916"/>
    </row>
    <row r="214" spans="1:12" s="103" customFormat="1" ht="15.75" hidden="1" customHeight="1" outlineLevel="1">
      <c r="A214" s="916"/>
      <c r="B214" s="1123">
        <v>68</v>
      </c>
      <c r="C214" s="1127"/>
      <c r="D214" s="1125"/>
      <c r="E214" s="1125" t="s">
        <v>18</v>
      </c>
      <c r="F214" s="1130" t="str">
        <f>VLOOKUP(E214,$N$13:$O$17,2,0)</f>
        <v>-</v>
      </c>
      <c r="G214" s="92"/>
      <c r="H214" s="90"/>
      <c r="I214" s="1125"/>
      <c r="J214" s="1133"/>
      <c r="K214" s="1133"/>
      <c r="L214" s="916"/>
    </row>
    <row r="215" spans="1:12" s="103" customFormat="1" ht="15.75" hidden="1" customHeight="1" outlineLevel="1">
      <c r="A215" s="916"/>
      <c r="B215" s="1123"/>
      <c r="C215" s="1127"/>
      <c r="D215" s="1125"/>
      <c r="E215" s="1125"/>
      <c r="F215" s="1130"/>
      <c r="G215" s="95"/>
      <c r="H215" s="90"/>
      <c r="I215" s="1125"/>
      <c r="J215" s="1134"/>
      <c r="K215" s="1134"/>
      <c r="L215" s="916"/>
    </row>
    <row r="216" spans="1:12" s="103" customFormat="1" ht="15.75" hidden="1" customHeight="1" outlineLevel="1">
      <c r="A216" s="916"/>
      <c r="B216" s="1124"/>
      <c r="C216" s="1128"/>
      <c r="D216" s="1126"/>
      <c r="E216" s="1126"/>
      <c r="F216" s="1132"/>
      <c r="G216" s="100"/>
      <c r="H216" s="98"/>
      <c r="I216" s="1126"/>
      <c r="J216" s="1135"/>
      <c r="K216" s="1135"/>
      <c r="L216" s="916"/>
    </row>
    <row r="217" spans="1:12" s="103" customFormat="1" ht="15.75" hidden="1" customHeight="1" outlineLevel="1">
      <c r="A217" s="916"/>
      <c r="B217" s="1123">
        <v>69</v>
      </c>
      <c r="C217" s="1127"/>
      <c r="D217" s="1125"/>
      <c r="E217" s="1125" t="s">
        <v>18</v>
      </c>
      <c r="F217" s="1130" t="str">
        <f>VLOOKUP(E217,$N$13:$O$17,2,0)</f>
        <v>-</v>
      </c>
      <c r="G217" s="92"/>
      <c r="H217" s="90"/>
      <c r="I217" s="1125"/>
      <c r="J217" s="1133"/>
      <c r="K217" s="1133"/>
      <c r="L217" s="916"/>
    </row>
    <row r="218" spans="1:12" s="103" customFormat="1" ht="15.75" hidden="1" customHeight="1" outlineLevel="1">
      <c r="A218" s="916"/>
      <c r="B218" s="1123"/>
      <c r="C218" s="1127"/>
      <c r="D218" s="1125"/>
      <c r="E218" s="1125"/>
      <c r="F218" s="1130"/>
      <c r="G218" s="95"/>
      <c r="H218" s="90"/>
      <c r="I218" s="1125"/>
      <c r="J218" s="1134"/>
      <c r="K218" s="1134"/>
      <c r="L218" s="916"/>
    </row>
    <row r="219" spans="1:12" s="103" customFormat="1" ht="15.75" hidden="1" customHeight="1" outlineLevel="1">
      <c r="A219" s="916"/>
      <c r="B219" s="1124"/>
      <c r="C219" s="1128"/>
      <c r="D219" s="1126"/>
      <c r="E219" s="1126"/>
      <c r="F219" s="1132"/>
      <c r="G219" s="100"/>
      <c r="H219" s="98"/>
      <c r="I219" s="1126"/>
      <c r="J219" s="1135"/>
      <c r="K219" s="1135"/>
      <c r="L219" s="916"/>
    </row>
    <row r="220" spans="1:12" s="103" customFormat="1" ht="15.75" hidden="1" customHeight="1" outlineLevel="1">
      <c r="A220" s="916"/>
      <c r="B220" s="1123">
        <v>70</v>
      </c>
      <c r="C220" s="1127"/>
      <c r="D220" s="1125"/>
      <c r="E220" s="1125" t="s">
        <v>18</v>
      </c>
      <c r="F220" s="1130" t="str">
        <f>VLOOKUP(E220,$N$13:$O$17,2,0)</f>
        <v>-</v>
      </c>
      <c r="G220" s="92"/>
      <c r="H220" s="90"/>
      <c r="I220" s="1125"/>
      <c r="J220" s="1133"/>
      <c r="K220" s="1133"/>
      <c r="L220" s="916"/>
    </row>
    <row r="221" spans="1:12" s="103" customFormat="1" ht="15.75" hidden="1" customHeight="1" outlineLevel="1">
      <c r="A221" s="916"/>
      <c r="B221" s="1123"/>
      <c r="C221" s="1127"/>
      <c r="D221" s="1125"/>
      <c r="E221" s="1125"/>
      <c r="F221" s="1130"/>
      <c r="G221" s="95"/>
      <c r="H221" s="90"/>
      <c r="I221" s="1125"/>
      <c r="J221" s="1134"/>
      <c r="K221" s="1134"/>
      <c r="L221" s="916"/>
    </row>
    <row r="222" spans="1:12" s="103" customFormat="1" ht="15.75" hidden="1" customHeight="1" outlineLevel="1">
      <c r="A222" s="916"/>
      <c r="B222" s="1124"/>
      <c r="C222" s="1128"/>
      <c r="D222" s="1126"/>
      <c r="E222" s="1126"/>
      <c r="F222" s="1132"/>
      <c r="G222" s="100"/>
      <c r="H222" s="98"/>
      <c r="I222" s="1126"/>
      <c r="J222" s="1135"/>
      <c r="K222" s="1135"/>
      <c r="L222" s="916"/>
    </row>
    <row r="223" spans="1:12" s="103" customFormat="1" ht="15.75" hidden="1" customHeight="1" outlineLevel="1">
      <c r="A223" s="916"/>
      <c r="B223" s="1123">
        <v>71</v>
      </c>
      <c r="C223" s="1127"/>
      <c r="D223" s="1125"/>
      <c r="E223" s="1125" t="s">
        <v>18</v>
      </c>
      <c r="F223" s="1130" t="str">
        <f>VLOOKUP(E223,$N$13:$O$17,2,0)</f>
        <v>-</v>
      </c>
      <c r="G223" s="92"/>
      <c r="H223" s="90"/>
      <c r="I223" s="1125"/>
      <c r="J223" s="1133"/>
      <c r="K223" s="1133"/>
      <c r="L223" s="916"/>
    </row>
    <row r="224" spans="1:12" s="103" customFormat="1" ht="15.75" hidden="1" customHeight="1" outlineLevel="1">
      <c r="A224" s="916"/>
      <c r="B224" s="1123"/>
      <c r="C224" s="1127"/>
      <c r="D224" s="1125"/>
      <c r="E224" s="1125"/>
      <c r="F224" s="1130"/>
      <c r="G224" s="95"/>
      <c r="H224" s="90"/>
      <c r="I224" s="1125"/>
      <c r="J224" s="1134"/>
      <c r="K224" s="1134"/>
      <c r="L224" s="916"/>
    </row>
    <row r="225" spans="1:12" s="103" customFormat="1" ht="15.75" hidden="1" customHeight="1" outlineLevel="1">
      <c r="A225" s="916"/>
      <c r="B225" s="1124"/>
      <c r="C225" s="1128"/>
      <c r="D225" s="1126"/>
      <c r="E225" s="1126"/>
      <c r="F225" s="1132"/>
      <c r="G225" s="100"/>
      <c r="H225" s="98"/>
      <c r="I225" s="1126"/>
      <c r="J225" s="1135"/>
      <c r="K225" s="1135"/>
      <c r="L225" s="916"/>
    </row>
    <row r="226" spans="1:12" s="103" customFormat="1" ht="15.75" hidden="1" customHeight="1" outlineLevel="1">
      <c r="A226" s="916"/>
      <c r="B226" s="1123">
        <v>72</v>
      </c>
      <c r="C226" s="1127"/>
      <c r="D226" s="1125"/>
      <c r="E226" s="1125" t="s">
        <v>18</v>
      </c>
      <c r="F226" s="1130" t="str">
        <f>VLOOKUP(E226,$N$13:$O$17,2,0)</f>
        <v>-</v>
      </c>
      <c r="G226" s="92"/>
      <c r="H226" s="90"/>
      <c r="I226" s="1125"/>
      <c r="J226" s="1133"/>
      <c r="K226" s="1133"/>
      <c r="L226" s="916"/>
    </row>
    <row r="227" spans="1:12" s="103" customFormat="1" ht="15.75" hidden="1" customHeight="1" outlineLevel="1">
      <c r="A227" s="916"/>
      <c r="B227" s="1123"/>
      <c r="C227" s="1127"/>
      <c r="D227" s="1125"/>
      <c r="E227" s="1125"/>
      <c r="F227" s="1130"/>
      <c r="G227" s="95"/>
      <c r="H227" s="90"/>
      <c r="I227" s="1125"/>
      <c r="J227" s="1134"/>
      <c r="K227" s="1134"/>
      <c r="L227" s="916"/>
    </row>
    <row r="228" spans="1:12" s="103" customFormat="1" ht="15.75" hidden="1" customHeight="1" outlineLevel="1">
      <c r="A228" s="916"/>
      <c r="B228" s="1124"/>
      <c r="C228" s="1128"/>
      <c r="D228" s="1126"/>
      <c r="E228" s="1126"/>
      <c r="F228" s="1132"/>
      <c r="G228" s="100"/>
      <c r="H228" s="98"/>
      <c r="I228" s="1126"/>
      <c r="J228" s="1135"/>
      <c r="K228" s="1135"/>
      <c r="L228" s="916"/>
    </row>
    <row r="229" spans="1:12" s="103" customFormat="1" ht="15.75" hidden="1" customHeight="1" outlineLevel="1">
      <c r="A229" s="916"/>
      <c r="B229" s="1123">
        <v>73</v>
      </c>
      <c r="C229" s="1127"/>
      <c r="D229" s="1125"/>
      <c r="E229" s="1125" t="s">
        <v>18</v>
      </c>
      <c r="F229" s="1130" t="str">
        <f>VLOOKUP(E229,$N$13:$O$17,2,0)</f>
        <v>-</v>
      </c>
      <c r="G229" s="92"/>
      <c r="H229" s="90"/>
      <c r="I229" s="1125"/>
      <c r="J229" s="1133"/>
      <c r="K229" s="1133"/>
      <c r="L229" s="916"/>
    </row>
    <row r="230" spans="1:12" s="103" customFormat="1" ht="15.75" hidden="1" customHeight="1" outlineLevel="1">
      <c r="A230" s="916"/>
      <c r="B230" s="1123"/>
      <c r="C230" s="1127"/>
      <c r="D230" s="1125"/>
      <c r="E230" s="1125"/>
      <c r="F230" s="1130"/>
      <c r="G230" s="95"/>
      <c r="H230" s="90"/>
      <c r="I230" s="1125"/>
      <c r="J230" s="1134"/>
      <c r="K230" s="1134"/>
      <c r="L230" s="916"/>
    </row>
    <row r="231" spans="1:12" s="103" customFormat="1" ht="15.75" hidden="1" customHeight="1" outlineLevel="1">
      <c r="A231" s="916"/>
      <c r="B231" s="1124"/>
      <c r="C231" s="1128"/>
      <c r="D231" s="1126"/>
      <c r="E231" s="1126"/>
      <c r="F231" s="1132"/>
      <c r="G231" s="100"/>
      <c r="H231" s="98"/>
      <c r="I231" s="1126"/>
      <c r="J231" s="1135"/>
      <c r="K231" s="1135"/>
      <c r="L231" s="916"/>
    </row>
    <row r="232" spans="1:12" s="103" customFormat="1" ht="15.75" hidden="1" customHeight="1" outlineLevel="1">
      <c r="A232" s="916"/>
      <c r="B232" s="1123">
        <v>74</v>
      </c>
      <c r="C232" s="1127"/>
      <c r="D232" s="1125"/>
      <c r="E232" s="1125" t="s">
        <v>18</v>
      </c>
      <c r="F232" s="1130" t="str">
        <f>VLOOKUP(E232,$N$13:$O$17,2,0)</f>
        <v>-</v>
      </c>
      <c r="G232" s="92"/>
      <c r="H232" s="90"/>
      <c r="I232" s="1125"/>
      <c r="J232" s="1133"/>
      <c r="K232" s="1133"/>
      <c r="L232" s="916"/>
    </row>
    <row r="233" spans="1:12" s="103" customFormat="1" ht="15.75" hidden="1" customHeight="1" outlineLevel="1">
      <c r="A233" s="916"/>
      <c r="B233" s="1123"/>
      <c r="C233" s="1127"/>
      <c r="D233" s="1125"/>
      <c r="E233" s="1125"/>
      <c r="F233" s="1130"/>
      <c r="G233" s="95"/>
      <c r="H233" s="90"/>
      <c r="I233" s="1125"/>
      <c r="J233" s="1134"/>
      <c r="K233" s="1134"/>
      <c r="L233" s="916"/>
    </row>
    <row r="234" spans="1:12" s="103" customFormat="1" ht="15.75" hidden="1" customHeight="1" outlineLevel="1">
      <c r="A234" s="916"/>
      <c r="B234" s="1124"/>
      <c r="C234" s="1128"/>
      <c r="D234" s="1126"/>
      <c r="E234" s="1126"/>
      <c r="F234" s="1132"/>
      <c r="G234" s="100"/>
      <c r="H234" s="98"/>
      <c r="I234" s="1126"/>
      <c r="J234" s="1135"/>
      <c r="K234" s="1135"/>
      <c r="L234" s="916"/>
    </row>
    <row r="235" spans="1:12" s="103" customFormat="1" ht="15.75" hidden="1" customHeight="1" outlineLevel="1">
      <c r="A235" s="916"/>
      <c r="B235" s="1123">
        <v>75</v>
      </c>
      <c r="C235" s="1127"/>
      <c r="D235" s="1125"/>
      <c r="E235" s="1125" t="s">
        <v>18</v>
      </c>
      <c r="F235" s="1130" t="str">
        <f>VLOOKUP(E235,$N$13:$O$17,2,0)</f>
        <v>-</v>
      </c>
      <c r="G235" s="92"/>
      <c r="H235" s="90"/>
      <c r="I235" s="1125"/>
      <c r="J235" s="1133"/>
      <c r="K235" s="1133"/>
      <c r="L235" s="916"/>
    </row>
    <row r="236" spans="1:12" s="103" customFormat="1" ht="15.75" hidden="1" customHeight="1" outlineLevel="1">
      <c r="A236" s="916"/>
      <c r="B236" s="1123"/>
      <c r="C236" s="1127"/>
      <c r="D236" s="1125"/>
      <c r="E236" s="1125"/>
      <c r="F236" s="1130"/>
      <c r="G236" s="95"/>
      <c r="H236" s="90"/>
      <c r="I236" s="1125"/>
      <c r="J236" s="1134"/>
      <c r="K236" s="1134"/>
      <c r="L236" s="916"/>
    </row>
    <row r="237" spans="1:12" s="103" customFormat="1" ht="15.75" hidden="1" customHeight="1" outlineLevel="1">
      <c r="A237" s="916"/>
      <c r="B237" s="1124"/>
      <c r="C237" s="1128"/>
      <c r="D237" s="1126"/>
      <c r="E237" s="1126"/>
      <c r="F237" s="1132"/>
      <c r="G237" s="100"/>
      <c r="H237" s="98"/>
      <c r="I237" s="1126"/>
      <c r="J237" s="1135"/>
      <c r="K237" s="1135"/>
      <c r="L237" s="916"/>
    </row>
    <row r="238" spans="1:12" s="103" customFormat="1" ht="15.75" hidden="1" customHeight="1" outlineLevel="1">
      <c r="A238" s="916"/>
      <c r="B238" s="1123">
        <v>76</v>
      </c>
      <c r="C238" s="1127"/>
      <c r="D238" s="1125"/>
      <c r="E238" s="1125" t="s">
        <v>18</v>
      </c>
      <c r="F238" s="1130" t="str">
        <f>VLOOKUP(E238,$N$13:$O$17,2,0)</f>
        <v>-</v>
      </c>
      <c r="G238" s="92"/>
      <c r="H238" s="90"/>
      <c r="I238" s="1125"/>
      <c r="J238" s="1133"/>
      <c r="K238" s="1133"/>
      <c r="L238" s="916"/>
    </row>
    <row r="239" spans="1:12" s="103" customFormat="1" ht="15.75" hidden="1" customHeight="1" outlineLevel="1">
      <c r="A239" s="916"/>
      <c r="B239" s="1123"/>
      <c r="C239" s="1127"/>
      <c r="D239" s="1125"/>
      <c r="E239" s="1125"/>
      <c r="F239" s="1130"/>
      <c r="G239" s="95"/>
      <c r="H239" s="90"/>
      <c r="I239" s="1125"/>
      <c r="J239" s="1134"/>
      <c r="K239" s="1134"/>
      <c r="L239" s="916"/>
    </row>
    <row r="240" spans="1:12" s="103" customFormat="1" ht="15.75" hidden="1" customHeight="1" outlineLevel="1">
      <c r="A240" s="916"/>
      <c r="B240" s="1124"/>
      <c r="C240" s="1128"/>
      <c r="D240" s="1126"/>
      <c r="E240" s="1126"/>
      <c r="F240" s="1132"/>
      <c r="G240" s="100"/>
      <c r="H240" s="98"/>
      <c r="I240" s="1126"/>
      <c r="J240" s="1135"/>
      <c r="K240" s="1135"/>
      <c r="L240" s="916"/>
    </row>
    <row r="241" spans="1:12" s="103" customFormat="1" ht="15.75" hidden="1" customHeight="1" outlineLevel="1">
      <c r="A241" s="916"/>
      <c r="B241" s="1123">
        <v>77</v>
      </c>
      <c r="C241" s="1127"/>
      <c r="D241" s="1125"/>
      <c r="E241" s="1125" t="s">
        <v>18</v>
      </c>
      <c r="F241" s="1130" t="str">
        <f>VLOOKUP(E241,$N$13:$O$17,2,0)</f>
        <v>-</v>
      </c>
      <c r="G241" s="92"/>
      <c r="H241" s="90"/>
      <c r="I241" s="1125"/>
      <c r="J241" s="1133"/>
      <c r="K241" s="1133"/>
      <c r="L241" s="916"/>
    </row>
    <row r="242" spans="1:12" s="103" customFormat="1" ht="15.75" hidden="1" customHeight="1" outlineLevel="1">
      <c r="A242" s="916"/>
      <c r="B242" s="1123"/>
      <c r="C242" s="1127"/>
      <c r="D242" s="1125"/>
      <c r="E242" s="1125"/>
      <c r="F242" s="1130"/>
      <c r="G242" s="95"/>
      <c r="H242" s="90"/>
      <c r="I242" s="1125"/>
      <c r="J242" s="1134"/>
      <c r="K242" s="1134"/>
      <c r="L242" s="916"/>
    </row>
    <row r="243" spans="1:12" s="103" customFormat="1" ht="15.75" hidden="1" customHeight="1" outlineLevel="1">
      <c r="A243" s="916"/>
      <c r="B243" s="1124"/>
      <c r="C243" s="1128"/>
      <c r="D243" s="1126"/>
      <c r="E243" s="1126"/>
      <c r="F243" s="1132"/>
      <c r="G243" s="100"/>
      <c r="H243" s="98"/>
      <c r="I243" s="1126"/>
      <c r="J243" s="1135"/>
      <c r="K243" s="1135"/>
      <c r="L243" s="916"/>
    </row>
    <row r="244" spans="1:12" s="103" customFormat="1" ht="15.75" hidden="1" customHeight="1" outlineLevel="1">
      <c r="A244" s="916"/>
      <c r="B244" s="1123">
        <v>78</v>
      </c>
      <c r="C244" s="1127"/>
      <c r="D244" s="1125"/>
      <c r="E244" s="1125" t="s">
        <v>18</v>
      </c>
      <c r="F244" s="1130" t="str">
        <f>VLOOKUP(E244,$N$13:$O$17,2,0)</f>
        <v>-</v>
      </c>
      <c r="G244" s="92"/>
      <c r="H244" s="90"/>
      <c r="I244" s="1125"/>
      <c r="J244" s="1133"/>
      <c r="K244" s="1133"/>
      <c r="L244" s="916"/>
    </row>
    <row r="245" spans="1:12" s="103" customFormat="1" ht="15.75" hidden="1" customHeight="1" outlineLevel="1">
      <c r="A245" s="916"/>
      <c r="B245" s="1123"/>
      <c r="C245" s="1127"/>
      <c r="D245" s="1125"/>
      <c r="E245" s="1125"/>
      <c r="F245" s="1130"/>
      <c r="G245" s="95"/>
      <c r="H245" s="90"/>
      <c r="I245" s="1125"/>
      <c r="J245" s="1134"/>
      <c r="K245" s="1134"/>
      <c r="L245" s="916"/>
    </row>
    <row r="246" spans="1:12" s="103" customFormat="1" ht="15.75" hidden="1" customHeight="1" outlineLevel="1">
      <c r="A246" s="916"/>
      <c r="B246" s="1124"/>
      <c r="C246" s="1128"/>
      <c r="D246" s="1126"/>
      <c r="E246" s="1126"/>
      <c r="F246" s="1132"/>
      <c r="G246" s="100"/>
      <c r="H246" s="98"/>
      <c r="I246" s="1126"/>
      <c r="J246" s="1135"/>
      <c r="K246" s="1135"/>
      <c r="L246" s="916"/>
    </row>
    <row r="247" spans="1:12" s="103" customFormat="1" ht="15.75" hidden="1" customHeight="1" outlineLevel="1">
      <c r="A247" s="916"/>
      <c r="B247" s="1123">
        <v>79</v>
      </c>
      <c r="C247" s="1127"/>
      <c r="D247" s="1125"/>
      <c r="E247" s="1125" t="s">
        <v>18</v>
      </c>
      <c r="F247" s="1130" t="str">
        <f>VLOOKUP(E247,$N$13:$O$17,2,0)</f>
        <v>-</v>
      </c>
      <c r="G247" s="92"/>
      <c r="H247" s="90"/>
      <c r="I247" s="1125"/>
      <c r="J247" s="1133"/>
      <c r="K247" s="1133"/>
      <c r="L247" s="916"/>
    </row>
    <row r="248" spans="1:12" s="103" customFormat="1" ht="15.75" hidden="1" customHeight="1" outlineLevel="1">
      <c r="A248" s="916"/>
      <c r="B248" s="1123"/>
      <c r="C248" s="1127"/>
      <c r="D248" s="1125"/>
      <c r="E248" s="1125"/>
      <c r="F248" s="1130"/>
      <c r="G248" s="95"/>
      <c r="H248" s="90"/>
      <c r="I248" s="1125"/>
      <c r="J248" s="1134"/>
      <c r="K248" s="1134"/>
      <c r="L248" s="916"/>
    </row>
    <row r="249" spans="1:12" s="103" customFormat="1" ht="15.75" hidden="1" customHeight="1" outlineLevel="1">
      <c r="A249" s="916"/>
      <c r="B249" s="1124"/>
      <c r="C249" s="1128"/>
      <c r="D249" s="1126"/>
      <c r="E249" s="1126"/>
      <c r="F249" s="1132"/>
      <c r="G249" s="100"/>
      <c r="H249" s="98"/>
      <c r="I249" s="1126"/>
      <c r="J249" s="1135"/>
      <c r="K249" s="1135"/>
      <c r="L249" s="916"/>
    </row>
    <row r="250" spans="1:12" s="103" customFormat="1" ht="15.75" hidden="1" customHeight="1" outlineLevel="1">
      <c r="A250" s="916"/>
      <c r="B250" s="1123">
        <v>80</v>
      </c>
      <c r="C250" s="1127"/>
      <c r="D250" s="1125"/>
      <c r="E250" s="1125" t="s">
        <v>18</v>
      </c>
      <c r="F250" s="1130" t="str">
        <f>VLOOKUP(E250,$N$13:$O$17,2,0)</f>
        <v>-</v>
      </c>
      <c r="G250" s="92"/>
      <c r="H250" s="90"/>
      <c r="I250" s="1125"/>
      <c r="J250" s="1133"/>
      <c r="K250" s="1133"/>
      <c r="L250" s="916"/>
    </row>
    <row r="251" spans="1:12" s="103" customFormat="1" ht="15.75" hidden="1" customHeight="1" outlineLevel="1">
      <c r="A251" s="916"/>
      <c r="B251" s="1123"/>
      <c r="C251" s="1127"/>
      <c r="D251" s="1125"/>
      <c r="E251" s="1125"/>
      <c r="F251" s="1130"/>
      <c r="G251" s="95"/>
      <c r="H251" s="90"/>
      <c r="I251" s="1125"/>
      <c r="J251" s="1134"/>
      <c r="K251" s="1134"/>
      <c r="L251" s="916"/>
    </row>
    <row r="252" spans="1:12" s="103" customFormat="1" ht="15.75" hidden="1" customHeight="1" outlineLevel="1">
      <c r="A252" s="916"/>
      <c r="B252" s="1124"/>
      <c r="C252" s="1128"/>
      <c r="D252" s="1126"/>
      <c r="E252" s="1126"/>
      <c r="F252" s="1132"/>
      <c r="G252" s="100"/>
      <c r="H252" s="98"/>
      <c r="I252" s="1126"/>
      <c r="J252" s="1135"/>
      <c r="K252" s="1135"/>
      <c r="L252" s="916"/>
    </row>
    <row r="253" spans="1:12" s="103" customFormat="1" ht="15.75" hidden="1" customHeight="1" outlineLevel="1">
      <c r="A253" s="916"/>
      <c r="B253" s="1123">
        <v>81</v>
      </c>
      <c r="C253" s="1127"/>
      <c r="D253" s="1125"/>
      <c r="E253" s="1125" t="s">
        <v>18</v>
      </c>
      <c r="F253" s="1130" t="str">
        <f>VLOOKUP(E253,$N$13:$O$17,2,0)</f>
        <v>-</v>
      </c>
      <c r="G253" s="92"/>
      <c r="H253" s="90"/>
      <c r="I253" s="1125"/>
      <c r="J253" s="1133"/>
      <c r="K253" s="1133"/>
      <c r="L253" s="916"/>
    </row>
    <row r="254" spans="1:12" s="103" customFormat="1" ht="15.75" hidden="1" customHeight="1" outlineLevel="1">
      <c r="A254" s="916"/>
      <c r="B254" s="1123"/>
      <c r="C254" s="1127"/>
      <c r="D254" s="1125"/>
      <c r="E254" s="1125"/>
      <c r="F254" s="1130"/>
      <c r="G254" s="95"/>
      <c r="H254" s="90"/>
      <c r="I254" s="1125"/>
      <c r="J254" s="1134"/>
      <c r="K254" s="1134"/>
      <c r="L254" s="916"/>
    </row>
    <row r="255" spans="1:12" s="103" customFormat="1" ht="15.75" hidden="1" customHeight="1" outlineLevel="1">
      <c r="A255" s="916"/>
      <c r="B255" s="1124"/>
      <c r="C255" s="1128"/>
      <c r="D255" s="1126"/>
      <c r="E255" s="1126"/>
      <c r="F255" s="1132"/>
      <c r="G255" s="100"/>
      <c r="H255" s="98"/>
      <c r="I255" s="1126"/>
      <c r="J255" s="1135"/>
      <c r="K255" s="1135"/>
      <c r="L255" s="916"/>
    </row>
    <row r="256" spans="1:12" s="103" customFormat="1" ht="15.75" hidden="1" customHeight="1" outlineLevel="1">
      <c r="A256" s="916"/>
      <c r="B256" s="1123">
        <v>82</v>
      </c>
      <c r="C256" s="1127"/>
      <c r="D256" s="1125"/>
      <c r="E256" s="1125" t="s">
        <v>18</v>
      </c>
      <c r="F256" s="1130" t="str">
        <f>VLOOKUP(E256,$N$13:$O$17,2,0)</f>
        <v>-</v>
      </c>
      <c r="G256" s="92"/>
      <c r="H256" s="90"/>
      <c r="I256" s="1125"/>
      <c r="J256" s="1133"/>
      <c r="K256" s="1133"/>
      <c r="L256" s="916"/>
    </row>
    <row r="257" spans="1:12" s="103" customFormat="1" ht="15.75" hidden="1" customHeight="1" outlineLevel="1">
      <c r="A257" s="916"/>
      <c r="B257" s="1123"/>
      <c r="C257" s="1127"/>
      <c r="D257" s="1125"/>
      <c r="E257" s="1125"/>
      <c r="F257" s="1130"/>
      <c r="G257" s="95"/>
      <c r="H257" s="90"/>
      <c r="I257" s="1125"/>
      <c r="J257" s="1134"/>
      <c r="K257" s="1134"/>
      <c r="L257" s="916"/>
    </row>
    <row r="258" spans="1:12" s="103" customFormat="1" ht="15.75" hidden="1" customHeight="1" outlineLevel="1">
      <c r="A258" s="916"/>
      <c r="B258" s="1124"/>
      <c r="C258" s="1128"/>
      <c r="D258" s="1126"/>
      <c r="E258" s="1126"/>
      <c r="F258" s="1132"/>
      <c r="G258" s="100"/>
      <c r="H258" s="98"/>
      <c r="I258" s="1126"/>
      <c r="J258" s="1135"/>
      <c r="K258" s="1135"/>
      <c r="L258" s="916"/>
    </row>
    <row r="259" spans="1:12" s="103" customFormat="1" ht="15.75" hidden="1" customHeight="1" outlineLevel="1">
      <c r="A259" s="916"/>
      <c r="B259" s="1123">
        <v>83</v>
      </c>
      <c r="C259" s="1127"/>
      <c r="D259" s="1125"/>
      <c r="E259" s="1125" t="s">
        <v>18</v>
      </c>
      <c r="F259" s="1130" t="str">
        <f>VLOOKUP(E259,$N$13:$O$17,2,0)</f>
        <v>-</v>
      </c>
      <c r="G259" s="92"/>
      <c r="H259" s="90"/>
      <c r="I259" s="1125"/>
      <c r="J259" s="1133"/>
      <c r="K259" s="1133"/>
      <c r="L259" s="916"/>
    </row>
    <row r="260" spans="1:12" s="103" customFormat="1" ht="15.75" hidden="1" customHeight="1" outlineLevel="1">
      <c r="A260" s="916"/>
      <c r="B260" s="1123"/>
      <c r="C260" s="1127"/>
      <c r="D260" s="1125"/>
      <c r="E260" s="1125"/>
      <c r="F260" s="1130"/>
      <c r="G260" s="95"/>
      <c r="H260" s="90"/>
      <c r="I260" s="1125"/>
      <c r="J260" s="1134"/>
      <c r="K260" s="1134"/>
      <c r="L260" s="916"/>
    </row>
    <row r="261" spans="1:12" s="103" customFormat="1" ht="15.75" hidden="1" customHeight="1" outlineLevel="1">
      <c r="A261" s="916"/>
      <c r="B261" s="1124"/>
      <c r="C261" s="1128"/>
      <c r="D261" s="1126"/>
      <c r="E261" s="1126"/>
      <c r="F261" s="1132"/>
      <c r="G261" s="100"/>
      <c r="H261" s="98"/>
      <c r="I261" s="1126"/>
      <c r="J261" s="1135"/>
      <c r="K261" s="1135"/>
      <c r="L261" s="916"/>
    </row>
    <row r="262" spans="1:12" s="103" customFormat="1" ht="15.75" hidden="1" customHeight="1" outlineLevel="1">
      <c r="A262" s="916"/>
      <c r="B262" s="1123">
        <v>84</v>
      </c>
      <c r="C262" s="1127"/>
      <c r="D262" s="1125"/>
      <c r="E262" s="1125" t="s">
        <v>18</v>
      </c>
      <c r="F262" s="1130" t="str">
        <f>VLOOKUP(E262,$N$13:$O$17,2,0)</f>
        <v>-</v>
      </c>
      <c r="G262" s="92"/>
      <c r="H262" s="90"/>
      <c r="I262" s="1125"/>
      <c r="J262" s="1133"/>
      <c r="K262" s="1133"/>
      <c r="L262" s="916"/>
    </row>
    <row r="263" spans="1:12" s="103" customFormat="1" ht="15.75" hidden="1" customHeight="1" outlineLevel="1">
      <c r="A263" s="916"/>
      <c r="B263" s="1123"/>
      <c r="C263" s="1127"/>
      <c r="D263" s="1125"/>
      <c r="E263" s="1125"/>
      <c r="F263" s="1130"/>
      <c r="G263" s="95"/>
      <c r="H263" s="90"/>
      <c r="I263" s="1125"/>
      <c r="J263" s="1134"/>
      <c r="K263" s="1134"/>
      <c r="L263" s="916"/>
    </row>
    <row r="264" spans="1:12" s="103" customFormat="1" ht="15.75" hidden="1" customHeight="1" outlineLevel="1">
      <c r="A264" s="916"/>
      <c r="B264" s="1124"/>
      <c r="C264" s="1128"/>
      <c r="D264" s="1126"/>
      <c r="E264" s="1126"/>
      <c r="F264" s="1132"/>
      <c r="G264" s="100"/>
      <c r="H264" s="98"/>
      <c r="I264" s="1126"/>
      <c r="J264" s="1135"/>
      <c r="K264" s="1135"/>
      <c r="L264" s="916"/>
    </row>
    <row r="265" spans="1:12" s="103" customFormat="1" ht="15.75" hidden="1" customHeight="1" outlineLevel="1">
      <c r="A265" s="916"/>
      <c r="B265" s="1123">
        <v>85</v>
      </c>
      <c r="C265" s="1127"/>
      <c r="D265" s="1125"/>
      <c r="E265" s="1125" t="s">
        <v>18</v>
      </c>
      <c r="F265" s="1130" t="str">
        <f>VLOOKUP(E265,$N$13:$O$17,2,0)</f>
        <v>-</v>
      </c>
      <c r="G265" s="92"/>
      <c r="H265" s="90"/>
      <c r="I265" s="1125"/>
      <c r="J265" s="1133"/>
      <c r="K265" s="1133"/>
      <c r="L265" s="916"/>
    </row>
    <row r="266" spans="1:12" s="103" customFormat="1" ht="15.75" hidden="1" customHeight="1" outlineLevel="1">
      <c r="A266" s="916"/>
      <c r="B266" s="1123"/>
      <c r="C266" s="1127"/>
      <c r="D266" s="1125"/>
      <c r="E266" s="1125"/>
      <c r="F266" s="1130"/>
      <c r="G266" s="95"/>
      <c r="H266" s="90"/>
      <c r="I266" s="1125"/>
      <c r="J266" s="1134"/>
      <c r="K266" s="1134"/>
      <c r="L266" s="916"/>
    </row>
    <row r="267" spans="1:12" s="103" customFormat="1" ht="15.75" hidden="1" customHeight="1" outlineLevel="1">
      <c r="A267" s="916"/>
      <c r="B267" s="1124"/>
      <c r="C267" s="1128"/>
      <c r="D267" s="1126"/>
      <c r="E267" s="1126"/>
      <c r="F267" s="1132"/>
      <c r="G267" s="100"/>
      <c r="H267" s="98"/>
      <c r="I267" s="1126"/>
      <c r="J267" s="1135"/>
      <c r="K267" s="1135"/>
      <c r="L267" s="916"/>
    </row>
    <row r="268" spans="1:12" s="103" customFormat="1" ht="15.75" hidden="1" customHeight="1" outlineLevel="1">
      <c r="A268" s="916"/>
      <c r="B268" s="1123">
        <v>86</v>
      </c>
      <c r="C268" s="1127"/>
      <c r="D268" s="1125"/>
      <c r="E268" s="1125" t="s">
        <v>18</v>
      </c>
      <c r="F268" s="1130" t="str">
        <f>VLOOKUP(E268,$N$13:$O$17,2,0)</f>
        <v>-</v>
      </c>
      <c r="G268" s="92"/>
      <c r="H268" s="90"/>
      <c r="I268" s="1125"/>
      <c r="J268" s="1133"/>
      <c r="K268" s="1133"/>
      <c r="L268" s="916"/>
    </row>
    <row r="269" spans="1:12" s="103" customFormat="1" ht="15.75" hidden="1" customHeight="1" outlineLevel="1">
      <c r="A269" s="916"/>
      <c r="B269" s="1123"/>
      <c r="C269" s="1127"/>
      <c r="D269" s="1125"/>
      <c r="E269" s="1125"/>
      <c r="F269" s="1130"/>
      <c r="G269" s="95"/>
      <c r="H269" s="90"/>
      <c r="I269" s="1125"/>
      <c r="J269" s="1134"/>
      <c r="K269" s="1134"/>
      <c r="L269" s="916"/>
    </row>
    <row r="270" spans="1:12" s="103" customFormat="1" ht="15.75" hidden="1" customHeight="1" outlineLevel="1">
      <c r="A270" s="916"/>
      <c r="B270" s="1124"/>
      <c r="C270" s="1128"/>
      <c r="D270" s="1126"/>
      <c r="E270" s="1126"/>
      <c r="F270" s="1132"/>
      <c r="G270" s="100"/>
      <c r="H270" s="98"/>
      <c r="I270" s="1126"/>
      <c r="J270" s="1135"/>
      <c r="K270" s="1135"/>
      <c r="L270" s="916"/>
    </row>
    <row r="271" spans="1:12" s="103" customFormat="1" ht="15.75" hidden="1" customHeight="1" outlineLevel="1">
      <c r="A271" s="916"/>
      <c r="B271" s="1123">
        <v>87</v>
      </c>
      <c r="C271" s="1127"/>
      <c r="D271" s="1125"/>
      <c r="E271" s="1125" t="s">
        <v>18</v>
      </c>
      <c r="F271" s="1130" t="str">
        <f>VLOOKUP(E271,$N$13:$O$17,2,0)</f>
        <v>-</v>
      </c>
      <c r="G271" s="92"/>
      <c r="H271" s="90"/>
      <c r="I271" s="1125"/>
      <c r="J271" s="1133"/>
      <c r="K271" s="1133"/>
      <c r="L271" s="916"/>
    </row>
    <row r="272" spans="1:12" s="103" customFormat="1" ht="15.75" hidden="1" customHeight="1" outlineLevel="1">
      <c r="A272" s="916"/>
      <c r="B272" s="1123"/>
      <c r="C272" s="1127"/>
      <c r="D272" s="1125"/>
      <c r="E272" s="1125"/>
      <c r="F272" s="1130"/>
      <c r="G272" s="95"/>
      <c r="H272" s="90"/>
      <c r="I272" s="1125"/>
      <c r="J272" s="1134"/>
      <c r="K272" s="1134"/>
      <c r="L272" s="916"/>
    </row>
    <row r="273" spans="1:12" s="103" customFormat="1" ht="15.75" hidden="1" customHeight="1" outlineLevel="1">
      <c r="A273" s="916"/>
      <c r="B273" s="1124"/>
      <c r="C273" s="1128"/>
      <c r="D273" s="1126"/>
      <c r="E273" s="1126"/>
      <c r="F273" s="1132"/>
      <c r="G273" s="100"/>
      <c r="H273" s="98"/>
      <c r="I273" s="1126"/>
      <c r="J273" s="1135"/>
      <c r="K273" s="1135"/>
      <c r="L273" s="916"/>
    </row>
    <row r="274" spans="1:12" s="103" customFormat="1" ht="15.75" hidden="1" customHeight="1" outlineLevel="1">
      <c r="A274" s="916"/>
      <c r="B274" s="1123">
        <v>88</v>
      </c>
      <c r="C274" s="1127"/>
      <c r="D274" s="1125"/>
      <c r="E274" s="1125" t="s">
        <v>18</v>
      </c>
      <c r="F274" s="1130" t="str">
        <f>VLOOKUP(E274,$N$13:$O$17,2,0)</f>
        <v>-</v>
      </c>
      <c r="G274" s="92"/>
      <c r="H274" s="90"/>
      <c r="I274" s="1125"/>
      <c r="J274" s="1133"/>
      <c r="K274" s="1133"/>
      <c r="L274" s="916"/>
    </row>
    <row r="275" spans="1:12" s="103" customFormat="1" ht="15.75" hidden="1" customHeight="1" outlineLevel="1">
      <c r="A275" s="916"/>
      <c r="B275" s="1123"/>
      <c r="C275" s="1127"/>
      <c r="D275" s="1125"/>
      <c r="E275" s="1125"/>
      <c r="F275" s="1130"/>
      <c r="G275" s="95"/>
      <c r="H275" s="90"/>
      <c r="I275" s="1125"/>
      <c r="J275" s="1134"/>
      <c r="K275" s="1134"/>
      <c r="L275" s="916"/>
    </row>
    <row r="276" spans="1:12" s="103" customFormat="1" ht="15.75" hidden="1" customHeight="1" outlineLevel="1">
      <c r="A276" s="916"/>
      <c r="B276" s="1124"/>
      <c r="C276" s="1128"/>
      <c r="D276" s="1126"/>
      <c r="E276" s="1126"/>
      <c r="F276" s="1132"/>
      <c r="G276" s="100"/>
      <c r="H276" s="98"/>
      <c r="I276" s="1126"/>
      <c r="J276" s="1135"/>
      <c r="K276" s="1135"/>
      <c r="L276" s="916"/>
    </row>
    <row r="277" spans="1:12" s="103" customFormat="1" ht="15.75" hidden="1" customHeight="1" outlineLevel="1">
      <c r="A277" s="916"/>
      <c r="B277" s="1123">
        <v>89</v>
      </c>
      <c r="C277" s="1127"/>
      <c r="D277" s="1125"/>
      <c r="E277" s="1125" t="s">
        <v>18</v>
      </c>
      <c r="F277" s="1130" t="str">
        <f>VLOOKUP(E277,$N$13:$O$17,2,0)</f>
        <v>-</v>
      </c>
      <c r="G277" s="92"/>
      <c r="H277" s="90"/>
      <c r="I277" s="1125"/>
      <c r="J277" s="1133"/>
      <c r="K277" s="1133"/>
      <c r="L277" s="916"/>
    </row>
    <row r="278" spans="1:12" s="103" customFormat="1" ht="15.75" hidden="1" customHeight="1" outlineLevel="1">
      <c r="A278" s="916"/>
      <c r="B278" s="1123"/>
      <c r="C278" s="1127"/>
      <c r="D278" s="1125"/>
      <c r="E278" s="1125"/>
      <c r="F278" s="1130"/>
      <c r="G278" s="95"/>
      <c r="H278" s="90"/>
      <c r="I278" s="1125"/>
      <c r="J278" s="1134"/>
      <c r="K278" s="1134"/>
      <c r="L278" s="916"/>
    </row>
    <row r="279" spans="1:12" s="103" customFormat="1" ht="15.75" hidden="1" customHeight="1" outlineLevel="1">
      <c r="A279" s="916"/>
      <c r="B279" s="1124"/>
      <c r="C279" s="1128"/>
      <c r="D279" s="1126"/>
      <c r="E279" s="1126"/>
      <c r="F279" s="1132"/>
      <c r="G279" s="100"/>
      <c r="H279" s="98"/>
      <c r="I279" s="1126"/>
      <c r="J279" s="1135"/>
      <c r="K279" s="1135"/>
      <c r="L279" s="916"/>
    </row>
    <row r="280" spans="1:12" s="103" customFormat="1" ht="15.75" hidden="1" customHeight="1" outlineLevel="1">
      <c r="A280" s="916"/>
      <c r="B280" s="1123">
        <v>90</v>
      </c>
      <c r="C280" s="1127"/>
      <c r="D280" s="1125"/>
      <c r="E280" s="1125" t="s">
        <v>18</v>
      </c>
      <c r="F280" s="1130" t="str">
        <f>VLOOKUP(E280,$N$13:$O$17,2,0)</f>
        <v>-</v>
      </c>
      <c r="G280" s="92"/>
      <c r="H280" s="90"/>
      <c r="I280" s="1125"/>
      <c r="J280" s="1133"/>
      <c r="K280" s="1133"/>
      <c r="L280" s="916"/>
    </row>
    <row r="281" spans="1:12" s="103" customFormat="1" ht="15.75" hidden="1" customHeight="1" outlineLevel="1">
      <c r="A281" s="916"/>
      <c r="B281" s="1123"/>
      <c r="C281" s="1127"/>
      <c r="D281" s="1125"/>
      <c r="E281" s="1125"/>
      <c r="F281" s="1130"/>
      <c r="G281" s="95"/>
      <c r="H281" s="90"/>
      <c r="I281" s="1125"/>
      <c r="J281" s="1134"/>
      <c r="K281" s="1134"/>
      <c r="L281" s="916"/>
    </row>
    <row r="282" spans="1:12" s="103" customFormat="1" ht="15.75" hidden="1" customHeight="1" outlineLevel="1">
      <c r="A282" s="916"/>
      <c r="B282" s="1124"/>
      <c r="C282" s="1128"/>
      <c r="D282" s="1126"/>
      <c r="E282" s="1126"/>
      <c r="F282" s="1132"/>
      <c r="G282" s="100"/>
      <c r="H282" s="98"/>
      <c r="I282" s="1126"/>
      <c r="J282" s="1135"/>
      <c r="K282" s="1135"/>
      <c r="L282" s="916"/>
    </row>
    <row r="283" spans="1:12" s="103" customFormat="1" ht="15.75" hidden="1" customHeight="1" outlineLevel="1">
      <c r="A283" s="916"/>
      <c r="B283" s="1123">
        <v>91</v>
      </c>
      <c r="C283" s="1127"/>
      <c r="D283" s="1125"/>
      <c r="E283" s="1125" t="s">
        <v>18</v>
      </c>
      <c r="F283" s="1130" t="str">
        <f>VLOOKUP(E283,$N$13:$O$17,2,0)</f>
        <v>-</v>
      </c>
      <c r="G283" s="92"/>
      <c r="H283" s="90"/>
      <c r="I283" s="1125"/>
      <c r="J283" s="1133"/>
      <c r="K283" s="1133"/>
      <c r="L283" s="916"/>
    </row>
    <row r="284" spans="1:12" s="103" customFormat="1" ht="15.75" hidden="1" customHeight="1" outlineLevel="1">
      <c r="A284" s="916"/>
      <c r="B284" s="1123"/>
      <c r="C284" s="1127"/>
      <c r="D284" s="1125"/>
      <c r="E284" s="1125"/>
      <c r="F284" s="1130"/>
      <c r="G284" s="95"/>
      <c r="H284" s="90"/>
      <c r="I284" s="1125"/>
      <c r="J284" s="1134"/>
      <c r="K284" s="1134"/>
      <c r="L284" s="916"/>
    </row>
    <row r="285" spans="1:12" s="103" customFormat="1" ht="15.75" hidden="1" customHeight="1" outlineLevel="1">
      <c r="A285" s="916"/>
      <c r="B285" s="1124"/>
      <c r="C285" s="1128"/>
      <c r="D285" s="1126"/>
      <c r="E285" s="1126"/>
      <c r="F285" s="1132"/>
      <c r="G285" s="100"/>
      <c r="H285" s="98"/>
      <c r="I285" s="1126"/>
      <c r="J285" s="1135"/>
      <c r="K285" s="1135"/>
      <c r="L285" s="916"/>
    </row>
    <row r="286" spans="1:12" s="103" customFormat="1" ht="15.75" hidden="1" customHeight="1" outlineLevel="1">
      <c r="A286" s="916"/>
      <c r="B286" s="1123">
        <v>92</v>
      </c>
      <c r="C286" s="1127"/>
      <c r="D286" s="1125"/>
      <c r="E286" s="1125" t="s">
        <v>18</v>
      </c>
      <c r="F286" s="1130" t="str">
        <f>VLOOKUP(E286,$N$13:$O$17,2,0)</f>
        <v>-</v>
      </c>
      <c r="G286" s="92"/>
      <c r="H286" s="90"/>
      <c r="I286" s="1125"/>
      <c r="J286" s="1133"/>
      <c r="K286" s="1133"/>
      <c r="L286" s="916"/>
    </row>
    <row r="287" spans="1:12" s="103" customFormat="1" ht="15.75" hidden="1" customHeight="1" outlineLevel="1">
      <c r="A287" s="916"/>
      <c r="B287" s="1123"/>
      <c r="C287" s="1127"/>
      <c r="D287" s="1125"/>
      <c r="E287" s="1125"/>
      <c r="F287" s="1130"/>
      <c r="G287" s="95"/>
      <c r="H287" s="90"/>
      <c r="I287" s="1125"/>
      <c r="J287" s="1134"/>
      <c r="K287" s="1134"/>
      <c r="L287" s="916"/>
    </row>
    <row r="288" spans="1:12" s="103" customFormat="1" ht="15.75" hidden="1" customHeight="1" outlineLevel="1">
      <c r="A288" s="916"/>
      <c r="B288" s="1124"/>
      <c r="C288" s="1128"/>
      <c r="D288" s="1126"/>
      <c r="E288" s="1126"/>
      <c r="F288" s="1132"/>
      <c r="G288" s="100"/>
      <c r="H288" s="98"/>
      <c r="I288" s="1126"/>
      <c r="J288" s="1135"/>
      <c r="K288" s="1135"/>
      <c r="L288" s="916"/>
    </row>
    <row r="289" spans="1:12" s="103" customFormat="1" ht="15.75" hidden="1" customHeight="1" outlineLevel="1">
      <c r="A289" s="916"/>
      <c r="B289" s="1123">
        <v>93</v>
      </c>
      <c r="C289" s="1127"/>
      <c r="D289" s="1125"/>
      <c r="E289" s="1125" t="s">
        <v>18</v>
      </c>
      <c r="F289" s="1130" t="str">
        <f>VLOOKUP(E289,$N$13:$O$17,2,0)</f>
        <v>-</v>
      </c>
      <c r="G289" s="92"/>
      <c r="H289" s="90"/>
      <c r="I289" s="1125"/>
      <c r="J289" s="1133"/>
      <c r="K289" s="1133"/>
      <c r="L289" s="916"/>
    </row>
    <row r="290" spans="1:12" s="103" customFormat="1" ht="15.75" hidden="1" customHeight="1" outlineLevel="1">
      <c r="A290" s="916"/>
      <c r="B290" s="1123"/>
      <c r="C290" s="1127"/>
      <c r="D290" s="1125"/>
      <c r="E290" s="1125"/>
      <c r="F290" s="1130"/>
      <c r="G290" s="95"/>
      <c r="H290" s="90"/>
      <c r="I290" s="1125"/>
      <c r="J290" s="1134"/>
      <c r="K290" s="1134"/>
      <c r="L290" s="916"/>
    </row>
    <row r="291" spans="1:12" s="103" customFormat="1" ht="15.75" hidden="1" customHeight="1" outlineLevel="1">
      <c r="A291" s="916"/>
      <c r="B291" s="1124"/>
      <c r="C291" s="1128"/>
      <c r="D291" s="1126"/>
      <c r="E291" s="1126"/>
      <c r="F291" s="1132"/>
      <c r="G291" s="100"/>
      <c r="H291" s="98"/>
      <c r="I291" s="1126"/>
      <c r="J291" s="1135"/>
      <c r="K291" s="1135"/>
      <c r="L291" s="916"/>
    </row>
    <row r="292" spans="1:12" s="103" customFormat="1" ht="15.75" hidden="1" customHeight="1" outlineLevel="1">
      <c r="A292" s="916"/>
      <c r="B292" s="1123">
        <v>94</v>
      </c>
      <c r="C292" s="1127"/>
      <c r="D292" s="1125"/>
      <c r="E292" s="1125" t="s">
        <v>18</v>
      </c>
      <c r="F292" s="1130" t="str">
        <f>VLOOKUP(E292,$N$13:$O$17,2,0)</f>
        <v>-</v>
      </c>
      <c r="G292" s="92"/>
      <c r="H292" s="90"/>
      <c r="I292" s="1125"/>
      <c r="J292" s="1133"/>
      <c r="K292" s="1133"/>
      <c r="L292" s="916"/>
    </row>
    <row r="293" spans="1:12" s="103" customFormat="1" ht="15.75" hidden="1" customHeight="1" outlineLevel="1">
      <c r="A293" s="916"/>
      <c r="B293" s="1123"/>
      <c r="C293" s="1127"/>
      <c r="D293" s="1125"/>
      <c r="E293" s="1125"/>
      <c r="F293" s="1130"/>
      <c r="G293" s="95"/>
      <c r="H293" s="90"/>
      <c r="I293" s="1125"/>
      <c r="J293" s="1134"/>
      <c r="K293" s="1134"/>
      <c r="L293" s="916"/>
    </row>
    <row r="294" spans="1:12" s="103" customFormat="1" ht="15.75" hidden="1" customHeight="1" outlineLevel="1">
      <c r="A294" s="916"/>
      <c r="B294" s="1124"/>
      <c r="C294" s="1128"/>
      <c r="D294" s="1126"/>
      <c r="E294" s="1126"/>
      <c r="F294" s="1132"/>
      <c r="G294" s="100"/>
      <c r="H294" s="98"/>
      <c r="I294" s="1126"/>
      <c r="J294" s="1135"/>
      <c r="K294" s="1135"/>
      <c r="L294" s="916"/>
    </row>
    <row r="295" spans="1:12" s="103" customFormat="1" ht="15.75" hidden="1" customHeight="1" outlineLevel="1">
      <c r="A295" s="916"/>
      <c r="B295" s="1123">
        <v>95</v>
      </c>
      <c r="C295" s="1127"/>
      <c r="D295" s="1125"/>
      <c r="E295" s="1125" t="s">
        <v>18</v>
      </c>
      <c r="F295" s="1130" t="str">
        <f>VLOOKUP(E295,$N$13:$O$17,2,0)</f>
        <v>-</v>
      </c>
      <c r="G295" s="92"/>
      <c r="H295" s="90"/>
      <c r="I295" s="1125"/>
      <c r="J295" s="1133"/>
      <c r="K295" s="1133"/>
      <c r="L295" s="916"/>
    </row>
    <row r="296" spans="1:12" s="103" customFormat="1" ht="15.75" hidden="1" customHeight="1" outlineLevel="1">
      <c r="A296" s="916"/>
      <c r="B296" s="1123"/>
      <c r="C296" s="1127"/>
      <c r="D296" s="1125"/>
      <c r="E296" s="1125"/>
      <c r="F296" s="1130"/>
      <c r="G296" s="95"/>
      <c r="H296" s="90"/>
      <c r="I296" s="1125"/>
      <c r="J296" s="1134"/>
      <c r="K296" s="1134"/>
      <c r="L296" s="916"/>
    </row>
    <row r="297" spans="1:12" s="103" customFormat="1" ht="15.75" hidden="1" customHeight="1" outlineLevel="1">
      <c r="A297" s="916"/>
      <c r="B297" s="1124"/>
      <c r="C297" s="1128"/>
      <c r="D297" s="1126"/>
      <c r="E297" s="1126"/>
      <c r="F297" s="1132"/>
      <c r="G297" s="100"/>
      <c r="H297" s="98"/>
      <c r="I297" s="1126"/>
      <c r="J297" s="1135"/>
      <c r="K297" s="1135"/>
      <c r="L297" s="916"/>
    </row>
    <row r="298" spans="1:12" s="103" customFormat="1" ht="15.75" hidden="1" customHeight="1" outlineLevel="1">
      <c r="A298" s="916"/>
      <c r="B298" s="1123">
        <v>96</v>
      </c>
      <c r="C298" s="1127"/>
      <c r="D298" s="1125"/>
      <c r="E298" s="1125" t="s">
        <v>18</v>
      </c>
      <c r="F298" s="1130" t="str">
        <f>VLOOKUP(E298,$N$13:$O$17,2,0)</f>
        <v>-</v>
      </c>
      <c r="G298" s="92"/>
      <c r="H298" s="90"/>
      <c r="I298" s="1125"/>
      <c r="J298" s="1133"/>
      <c r="K298" s="1133"/>
      <c r="L298" s="916"/>
    </row>
    <row r="299" spans="1:12" s="103" customFormat="1" ht="15.75" hidden="1" customHeight="1" outlineLevel="1">
      <c r="A299" s="916"/>
      <c r="B299" s="1123"/>
      <c r="C299" s="1127"/>
      <c r="D299" s="1125"/>
      <c r="E299" s="1125"/>
      <c r="F299" s="1130"/>
      <c r="G299" s="95"/>
      <c r="H299" s="90"/>
      <c r="I299" s="1125"/>
      <c r="J299" s="1134"/>
      <c r="K299" s="1134"/>
      <c r="L299" s="916"/>
    </row>
    <row r="300" spans="1:12" s="103" customFormat="1" ht="15.75" hidden="1" customHeight="1" outlineLevel="1">
      <c r="A300" s="916"/>
      <c r="B300" s="1124"/>
      <c r="C300" s="1128"/>
      <c r="D300" s="1126"/>
      <c r="E300" s="1126"/>
      <c r="F300" s="1132"/>
      <c r="G300" s="100"/>
      <c r="H300" s="98"/>
      <c r="I300" s="1126"/>
      <c r="J300" s="1135"/>
      <c r="K300" s="1135"/>
      <c r="L300" s="916"/>
    </row>
    <row r="301" spans="1:12" s="103" customFormat="1" ht="15.75" hidden="1" customHeight="1" outlineLevel="1">
      <c r="A301" s="916"/>
      <c r="B301" s="1123">
        <v>97</v>
      </c>
      <c r="C301" s="1127"/>
      <c r="D301" s="1125"/>
      <c r="E301" s="1125" t="s">
        <v>18</v>
      </c>
      <c r="F301" s="1130" t="str">
        <f>VLOOKUP(E301,$N$13:$O$17,2,0)</f>
        <v>-</v>
      </c>
      <c r="G301" s="92"/>
      <c r="H301" s="90"/>
      <c r="I301" s="1125"/>
      <c r="J301" s="1133"/>
      <c r="K301" s="1133"/>
      <c r="L301" s="916"/>
    </row>
    <row r="302" spans="1:12" s="103" customFormat="1" ht="15.75" hidden="1" customHeight="1" outlineLevel="1">
      <c r="A302" s="916"/>
      <c r="B302" s="1123"/>
      <c r="C302" s="1127"/>
      <c r="D302" s="1125"/>
      <c r="E302" s="1125"/>
      <c r="F302" s="1130"/>
      <c r="G302" s="95"/>
      <c r="H302" s="90"/>
      <c r="I302" s="1125"/>
      <c r="J302" s="1134"/>
      <c r="K302" s="1134"/>
      <c r="L302" s="916"/>
    </row>
    <row r="303" spans="1:12" s="103" customFormat="1" ht="15.75" hidden="1" customHeight="1" outlineLevel="1">
      <c r="A303" s="916"/>
      <c r="B303" s="1124"/>
      <c r="C303" s="1128"/>
      <c r="D303" s="1126"/>
      <c r="E303" s="1126"/>
      <c r="F303" s="1132"/>
      <c r="G303" s="100"/>
      <c r="H303" s="98"/>
      <c r="I303" s="1126"/>
      <c r="J303" s="1135"/>
      <c r="K303" s="1135"/>
      <c r="L303" s="916"/>
    </row>
    <row r="304" spans="1:12" s="103" customFormat="1" ht="15.75" hidden="1" customHeight="1" outlineLevel="1">
      <c r="A304" s="916"/>
      <c r="B304" s="1123">
        <v>98</v>
      </c>
      <c r="C304" s="1127"/>
      <c r="D304" s="1125"/>
      <c r="E304" s="1125" t="s">
        <v>18</v>
      </c>
      <c r="F304" s="1130" t="str">
        <f>VLOOKUP(E304,$N$13:$O$17,2,0)</f>
        <v>-</v>
      </c>
      <c r="G304" s="92"/>
      <c r="H304" s="90"/>
      <c r="I304" s="1125"/>
      <c r="J304" s="1133"/>
      <c r="K304" s="1133"/>
      <c r="L304" s="916"/>
    </row>
    <row r="305" spans="1:12" s="103" customFormat="1" ht="15.75" hidden="1" customHeight="1" outlineLevel="1">
      <c r="A305" s="916"/>
      <c r="B305" s="1123"/>
      <c r="C305" s="1127"/>
      <c r="D305" s="1125"/>
      <c r="E305" s="1125"/>
      <c r="F305" s="1130"/>
      <c r="G305" s="95"/>
      <c r="H305" s="90"/>
      <c r="I305" s="1125"/>
      <c r="J305" s="1134"/>
      <c r="K305" s="1134"/>
      <c r="L305" s="916"/>
    </row>
    <row r="306" spans="1:12" s="103" customFormat="1" ht="15.75" hidden="1" customHeight="1" outlineLevel="1">
      <c r="A306" s="916"/>
      <c r="B306" s="1124"/>
      <c r="C306" s="1128"/>
      <c r="D306" s="1126"/>
      <c r="E306" s="1126"/>
      <c r="F306" s="1132"/>
      <c r="G306" s="100"/>
      <c r="H306" s="98"/>
      <c r="I306" s="1126"/>
      <c r="J306" s="1135"/>
      <c r="K306" s="1135"/>
      <c r="L306" s="916"/>
    </row>
    <row r="307" spans="1:12" s="103" customFormat="1" ht="15.75" hidden="1" customHeight="1" outlineLevel="1">
      <c r="A307" s="916"/>
      <c r="B307" s="1123">
        <v>99</v>
      </c>
      <c r="C307" s="1127"/>
      <c r="D307" s="1125"/>
      <c r="E307" s="1125" t="s">
        <v>18</v>
      </c>
      <c r="F307" s="1130" t="str">
        <f>VLOOKUP(E307,$N$13:$O$17,2,0)</f>
        <v>-</v>
      </c>
      <c r="G307" s="92"/>
      <c r="H307" s="90"/>
      <c r="I307" s="1125"/>
      <c r="J307" s="1133"/>
      <c r="K307" s="1133"/>
      <c r="L307" s="916"/>
    </row>
    <row r="308" spans="1:12" s="103" customFormat="1" ht="15.75" hidden="1" customHeight="1" outlineLevel="1">
      <c r="A308" s="916"/>
      <c r="B308" s="1123"/>
      <c r="C308" s="1127"/>
      <c r="D308" s="1125"/>
      <c r="E308" s="1125"/>
      <c r="F308" s="1130"/>
      <c r="G308" s="95"/>
      <c r="H308" s="90"/>
      <c r="I308" s="1125"/>
      <c r="J308" s="1134"/>
      <c r="K308" s="1134"/>
      <c r="L308" s="916"/>
    </row>
    <row r="309" spans="1:12" s="103" customFormat="1" ht="15.75" hidden="1" customHeight="1" outlineLevel="1">
      <c r="A309" s="916"/>
      <c r="B309" s="1124"/>
      <c r="C309" s="1128"/>
      <c r="D309" s="1126"/>
      <c r="E309" s="1126"/>
      <c r="F309" s="1132"/>
      <c r="G309" s="100"/>
      <c r="H309" s="98"/>
      <c r="I309" s="1126"/>
      <c r="J309" s="1135"/>
      <c r="K309" s="1135"/>
      <c r="L309" s="916"/>
    </row>
    <row r="310" spans="1:12" s="103" customFormat="1" ht="15.75" hidden="1" customHeight="1" outlineLevel="1">
      <c r="A310" s="916"/>
      <c r="B310" s="1123">
        <v>100</v>
      </c>
      <c r="C310" s="1127"/>
      <c r="D310" s="1125"/>
      <c r="E310" s="1125" t="s">
        <v>18</v>
      </c>
      <c r="F310" s="1130" t="str">
        <f>VLOOKUP(E310,$N$13:$O$17,2,0)</f>
        <v>-</v>
      </c>
      <c r="G310" s="92"/>
      <c r="H310" s="90"/>
      <c r="I310" s="1125"/>
      <c r="J310" s="1133"/>
      <c r="K310" s="1133"/>
      <c r="L310" s="916"/>
    </row>
    <row r="311" spans="1:12" s="103" customFormat="1" ht="15.75" hidden="1" customHeight="1" outlineLevel="1">
      <c r="A311" s="916"/>
      <c r="B311" s="1123"/>
      <c r="C311" s="1127"/>
      <c r="D311" s="1125"/>
      <c r="E311" s="1125"/>
      <c r="F311" s="1130"/>
      <c r="G311" s="95"/>
      <c r="H311" s="90"/>
      <c r="I311" s="1125"/>
      <c r="J311" s="1134"/>
      <c r="K311" s="1134"/>
      <c r="L311" s="916"/>
    </row>
    <row r="312" spans="1:12" s="103" customFormat="1" ht="15.75" hidden="1" customHeight="1" outlineLevel="1">
      <c r="A312" s="916"/>
      <c r="B312" s="1124"/>
      <c r="C312" s="1128"/>
      <c r="D312" s="1126"/>
      <c r="E312" s="1126"/>
      <c r="F312" s="1132"/>
      <c r="G312" s="100"/>
      <c r="H312" s="98"/>
      <c r="I312" s="1126"/>
      <c r="J312" s="1135"/>
      <c r="K312" s="1135"/>
      <c r="L312" s="916"/>
    </row>
    <row r="313" spans="1:12" s="103" customFormat="1" ht="15.75" hidden="1" customHeight="1" outlineLevel="1">
      <c r="A313" s="916"/>
      <c r="B313" s="1123">
        <v>101</v>
      </c>
      <c r="C313" s="1127"/>
      <c r="D313" s="1125"/>
      <c r="E313" s="1125" t="s">
        <v>18</v>
      </c>
      <c r="F313" s="1130" t="str">
        <f>VLOOKUP(E313,$N$13:$O$17,2,0)</f>
        <v>-</v>
      </c>
      <c r="G313" s="92"/>
      <c r="H313" s="90"/>
      <c r="I313" s="1125"/>
      <c r="J313" s="1133"/>
      <c r="K313" s="1133"/>
      <c r="L313" s="916"/>
    </row>
    <row r="314" spans="1:12" s="103" customFormat="1" ht="15.75" hidden="1" customHeight="1" outlineLevel="1">
      <c r="A314" s="916"/>
      <c r="B314" s="1123"/>
      <c r="C314" s="1127"/>
      <c r="D314" s="1125"/>
      <c r="E314" s="1125"/>
      <c r="F314" s="1130"/>
      <c r="G314" s="95"/>
      <c r="H314" s="90"/>
      <c r="I314" s="1125"/>
      <c r="J314" s="1134"/>
      <c r="K314" s="1134"/>
      <c r="L314" s="916"/>
    </row>
    <row r="315" spans="1:12" s="103" customFormat="1" ht="15.75" hidden="1" customHeight="1" outlineLevel="1">
      <c r="A315" s="916"/>
      <c r="B315" s="1124"/>
      <c r="C315" s="1128"/>
      <c r="D315" s="1126"/>
      <c r="E315" s="1126"/>
      <c r="F315" s="1132"/>
      <c r="G315" s="100"/>
      <c r="H315" s="98"/>
      <c r="I315" s="1126"/>
      <c r="J315" s="1135"/>
      <c r="K315" s="1135"/>
      <c r="L315" s="916"/>
    </row>
    <row r="316" spans="1:12" s="103" customFormat="1" ht="15.75" hidden="1" customHeight="1" outlineLevel="1">
      <c r="A316" s="916"/>
      <c r="B316" s="1123">
        <v>102</v>
      </c>
      <c r="C316" s="1127"/>
      <c r="D316" s="1125"/>
      <c r="E316" s="1125" t="s">
        <v>18</v>
      </c>
      <c r="F316" s="1130" t="str">
        <f>VLOOKUP(E316,$N$13:$O$17,2,0)</f>
        <v>-</v>
      </c>
      <c r="G316" s="92"/>
      <c r="H316" s="90"/>
      <c r="I316" s="1125"/>
      <c r="J316" s="1133"/>
      <c r="K316" s="1133"/>
      <c r="L316" s="916"/>
    </row>
    <row r="317" spans="1:12" s="103" customFormat="1" ht="15.75" hidden="1" customHeight="1" outlineLevel="1">
      <c r="A317" s="916"/>
      <c r="B317" s="1123"/>
      <c r="C317" s="1127"/>
      <c r="D317" s="1125"/>
      <c r="E317" s="1125"/>
      <c r="F317" s="1130"/>
      <c r="G317" s="95"/>
      <c r="H317" s="90"/>
      <c r="I317" s="1125"/>
      <c r="J317" s="1134"/>
      <c r="K317" s="1134"/>
      <c r="L317" s="916"/>
    </row>
    <row r="318" spans="1:12" s="103" customFormat="1" ht="15.75" hidden="1" customHeight="1" outlineLevel="1">
      <c r="A318" s="916"/>
      <c r="B318" s="1124"/>
      <c r="C318" s="1128"/>
      <c r="D318" s="1126"/>
      <c r="E318" s="1126"/>
      <c r="F318" s="1132"/>
      <c r="G318" s="100"/>
      <c r="H318" s="98"/>
      <c r="I318" s="1126"/>
      <c r="J318" s="1135"/>
      <c r="K318" s="1135"/>
      <c r="L318" s="916"/>
    </row>
    <row r="319" spans="1:12" s="103" customFormat="1" ht="15.75" hidden="1" customHeight="1" outlineLevel="1">
      <c r="A319" s="916"/>
      <c r="B319" s="1123">
        <v>103</v>
      </c>
      <c r="C319" s="1127"/>
      <c r="D319" s="1125"/>
      <c r="E319" s="1125" t="s">
        <v>18</v>
      </c>
      <c r="F319" s="1130" t="str">
        <f>VLOOKUP(E319,$N$13:$O$17,2,0)</f>
        <v>-</v>
      </c>
      <c r="G319" s="92"/>
      <c r="H319" s="90"/>
      <c r="I319" s="1125"/>
      <c r="J319" s="1133"/>
      <c r="K319" s="1133"/>
      <c r="L319" s="916"/>
    </row>
    <row r="320" spans="1:12" s="103" customFormat="1" ht="15.75" hidden="1" customHeight="1" outlineLevel="1">
      <c r="A320" s="916"/>
      <c r="B320" s="1123"/>
      <c r="C320" s="1127"/>
      <c r="D320" s="1125"/>
      <c r="E320" s="1125"/>
      <c r="F320" s="1130"/>
      <c r="G320" s="95"/>
      <c r="H320" s="90"/>
      <c r="I320" s="1125"/>
      <c r="J320" s="1134"/>
      <c r="K320" s="1134"/>
      <c r="L320" s="916"/>
    </row>
    <row r="321" spans="1:12" s="103" customFormat="1" ht="15.75" hidden="1" customHeight="1" outlineLevel="1">
      <c r="A321" s="916"/>
      <c r="B321" s="1124"/>
      <c r="C321" s="1128"/>
      <c r="D321" s="1126"/>
      <c r="E321" s="1126"/>
      <c r="F321" s="1132"/>
      <c r="G321" s="100"/>
      <c r="H321" s="98"/>
      <c r="I321" s="1126"/>
      <c r="J321" s="1135"/>
      <c r="K321" s="1135"/>
      <c r="L321" s="916"/>
    </row>
    <row r="322" spans="1:12" s="103" customFormat="1" ht="15.75" hidden="1" customHeight="1" outlineLevel="1">
      <c r="A322" s="916"/>
      <c r="B322" s="1123">
        <v>104</v>
      </c>
      <c r="C322" s="1127"/>
      <c r="D322" s="1125"/>
      <c r="E322" s="1125" t="s">
        <v>18</v>
      </c>
      <c r="F322" s="1130" t="str">
        <f>VLOOKUP(E322,$N$13:$O$17,2,0)</f>
        <v>-</v>
      </c>
      <c r="G322" s="92"/>
      <c r="H322" s="90"/>
      <c r="I322" s="1125"/>
      <c r="J322" s="1133"/>
      <c r="K322" s="1133"/>
      <c r="L322" s="916"/>
    </row>
    <row r="323" spans="1:12" s="103" customFormat="1" ht="15.75" hidden="1" customHeight="1" outlineLevel="1">
      <c r="A323" s="916"/>
      <c r="B323" s="1123"/>
      <c r="C323" s="1127"/>
      <c r="D323" s="1125"/>
      <c r="E323" s="1125"/>
      <c r="F323" s="1130"/>
      <c r="G323" s="95"/>
      <c r="H323" s="90"/>
      <c r="I323" s="1125"/>
      <c r="J323" s="1134"/>
      <c r="K323" s="1134"/>
      <c r="L323" s="916"/>
    </row>
    <row r="324" spans="1:12" s="103" customFormat="1" ht="15.75" hidden="1" customHeight="1" outlineLevel="1">
      <c r="A324" s="916"/>
      <c r="B324" s="1124"/>
      <c r="C324" s="1128"/>
      <c r="D324" s="1126"/>
      <c r="E324" s="1126"/>
      <c r="F324" s="1132"/>
      <c r="G324" s="100"/>
      <c r="H324" s="98"/>
      <c r="I324" s="1126"/>
      <c r="J324" s="1135"/>
      <c r="K324" s="1135"/>
      <c r="L324" s="916"/>
    </row>
    <row r="325" spans="1:12" s="103" customFormat="1" ht="15.75" hidden="1" customHeight="1" outlineLevel="1">
      <c r="A325" s="916"/>
      <c r="B325" s="1123">
        <v>105</v>
      </c>
      <c r="C325" s="1127"/>
      <c r="D325" s="1125"/>
      <c r="E325" s="1125" t="s">
        <v>18</v>
      </c>
      <c r="F325" s="1130" t="str">
        <f>VLOOKUP(E325,$N$13:$O$17,2,0)</f>
        <v>-</v>
      </c>
      <c r="G325" s="92"/>
      <c r="H325" s="90"/>
      <c r="I325" s="1125"/>
      <c r="J325" s="1133"/>
      <c r="K325" s="1133"/>
      <c r="L325" s="916"/>
    </row>
    <row r="326" spans="1:12" s="103" customFormat="1" ht="15.75" hidden="1" customHeight="1" outlineLevel="1">
      <c r="A326" s="916"/>
      <c r="B326" s="1123"/>
      <c r="C326" s="1127"/>
      <c r="D326" s="1125"/>
      <c r="E326" s="1125"/>
      <c r="F326" s="1130"/>
      <c r="G326" s="95"/>
      <c r="H326" s="90"/>
      <c r="I326" s="1125"/>
      <c r="J326" s="1134"/>
      <c r="K326" s="1134"/>
      <c r="L326" s="916"/>
    </row>
    <row r="327" spans="1:12" s="103" customFormat="1" ht="15.75" hidden="1" customHeight="1" outlineLevel="1">
      <c r="A327" s="916"/>
      <c r="B327" s="1124"/>
      <c r="C327" s="1128"/>
      <c r="D327" s="1126"/>
      <c r="E327" s="1126"/>
      <c r="F327" s="1132"/>
      <c r="G327" s="100"/>
      <c r="H327" s="98"/>
      <c r="I327" s="1126"/>
      <c r="J327" s="1135"/>
      <c r="K327" s="1135"/>
      <c r="L327" s="916"/>
    </row>
    <row r="328" spans="1:12" s="103" customFormat="1" ht="15.75" hidden="1" customHeight="1" outlineLevel="1">
      <c r="A328" s="916"/>
      <c r="B328" s="1123">
        <v>106</v>
      </c>
      <c r="C328" s="1127"/>
      <c r="D328" s="1125"/>
      <c r="E328" s="1125" t="s">
        <v>18</v>
      </c>
      <c r="F328" s="1130" t="str">
        <f>VLOOKUP(E328,$N$13:$O$17,2,0)</f>
        <v>-</v>
      </c>
      <c r="G328" s="92"/>
      <c r="H328" s="90"/>
      <c r="I328" s="1125"/>
      <c r="J328" s="1133"/>
      <c r="K328" s="1133"/>
      <c r="L328" s="916"/>
    </row>
    <row r="329" spans="1:12" s="103" customFormat="1" ht="15.75" hidden="1" customHeight="1" outlineLevel="1">
      <c r="A329" s="916"/>
      <c r="B329" s="1123"/>
      <c r="C329" s="1127"/>
      <c r="D329" s="1125"/>
      <c r="E329" s="1125"/>
      <c r="F329" s="1130"/>
      <c r="G329" s="95"/>
      <c r="H329" s="90"/>
      <c r="I329" s="1125"/>
      <c r="J329" s="1134"/>
      <c r="K329" s="1134"/>
      <c r="L329" s="916"/>
    </row>
    <row r="330" spans="1:12" s="103" customFormat="1" ht="15.75" hidden="1" customHeight="1" outlineLevel="1">
      <c r="A330" s="916"/>
      <c r="B330" s="1124"/>
      <c r="C330" s="1128"/>
      <c r="D330" s="1126"/>
      <c r="E330" s="1126"/>
      <c r="F330" s="1132"/>
      <c r="G330" s="100"/>
      <c r="H330" s="98"/>
      <c r="I330" s="1126"/>
      <c r="J330" s="1135"/>
      <c r="K330" s="1135"/>
      <c r="L330" s="916"/>
    </row>
    <row r="331" spans="1:12" s="103" customFormat="1" ht="15.75" hidden="1" customHeight="1" outlineLevel="1">
      <c r="A331" s="916"/>
      <c r="B331" s="1123">
        <v>107</v>
      </c>
      <c r="C331" s="1127"/>
      <c r="D331" s="1125"/>
      <c r="E331" s="1125" t="s">
        <v>18</v>
      </c>
      <c r="F331" s="1130" t="str">
        <f>VLOOKUP(E331,$N$13:$O$17,2,0)</f>
        <v>-</v>
      </c>
      <c r="G331" s="92"/>
      <c r="H331" s="90"/>
      <c r="I331" s="1125"/>
      <c r="J331" s="1133"/>
      <c r="K331" s="1133"/>
      <c r="L331" s="916"/>
    </row>
    <row r="332" spans="1:12" s="103" customFormat="1" ht="15.75" hidden="1" customHeight="1" outlineLevel="1">
      <c r="A332" s="916"/>
      <c r="B332" s="1123"/>
      <c r="C332" s="1127"/>
      <c r="D332" s="1125"/>
      <c r="E332" s="1125"/>
      <c r="F332" s="1130"/>
      <c r="G332" s="95"/>
      <c r="H332" s="90"/>
      <c r="I332" s="1125"/>
      <c r="J332" s="1134"/>
      <c r="K332" s="1134"/>
      <c r="L332" s="916"/>
    </row>
    <row r="333" spans="1:12" s="103" customFormat="1" ht="15.75" hidden="1" customHeight="1" outlineLevel="1">
      <c r="A333" s="916"/>
      <c r="B333" s="1124"/>
      <c r="C333" s="1128"/>
      <c r="D333" s="1126"/>
      <c r="E333" s="1126"/>
      <c r="F333" s="1132"/>
      <c r="G333" s="100"/>
      <c r="H333" s="98"/>
      <c r="I333" s="1126"/>
      <c r="J333" s="1135"/>
      <c r="K333" s="1135"/>
      <c r="L333" s="916"/>
    </row>
    <row r="334" spans="1:12" s="103" customFormat="1" ht="15.75" hidden="1" customHeight="1" outlineLevel="1">
      <c r="A334" s="916"/>
      <c r="B334" s="1123">
        <v>108</v>
      </c>
      <c r="C334" s="1127"/>
      <c r="D334" s="1125"/>
      <c r="E334" s="1125" t="s">
        <v>18</v>
      </c>
      <c r="F334" s="1130" t="str">
        <f>VLOOKUP(E334,$N$13:$O$17,2,0)</f>
        <v>-</v>
      </c>
      <c r="G334" s="92"/>
      <c r="H334" s="90"/>
      <c r="I334" s="1125"/>
      <c r="J334" s="1133"/>
      <c r="K334" s="1133"/>
      <c r="L334" s="916"/>
    </row>
    <row r="335" spans="1:12" s="103" customFormat="1" ht="15.75" hidden="1" customHeight="1" outlineLevel="1">
      <c r="A335" s="916"/>
      <c r="B335" s="1123"/>
      <c r="C335" s="1127"/>
      <c r="D335" s="1125"/>
      <c r="E335" s="1125"/>
      <c r="F335" s="1130"/>
      <c r="G335" s="95"/>
      <c r="H335" s="90"/>
      <c r="I335" s="1125"/>
      <c r="J335" s="1134"/>
      <c r="K335" s="1134"/>
      <c r="L335" s="916"/>
    </row>
    <row r="336" spans="1:12" s="103" customFormat="1" ht="15.75" hidden="1" customHeight="1" outlineLevel="1">
      <c r="A336" s="916"/>
      <c r="B336" s="1124"/>
      <c r="C336" s="1128"/>
      <c r="D336" s="1126"/>
      <c r="E336" s="1126"/>
      <c r="F336" s="1132"/>
      <c r="G336" s="100"/>
      <c r="H336" s="98"/>
      <c r="I336" s="1126"/>
      <c r="J336" s="1135"/>
      <c r="K336" s="1135"/>
      <c r="L336" s="916"/>
    </row>
    <row r="337" spans="1:12" s="103" customFormat="1" ht="15.75" hidden="1" customHeight="1" outlineLevel="1">
      <c r="A337" s="916"/>
      <c r="B337" s="1123">
        <v>109</v>
      </c>
      <c r="C337" s="1127"/>
      <c r="D337" s="1125"/>
      <c r="E337" s="1125" t="s">
        <v>18</v>
      </c>
      <c r="F337" s="1130" t="str">
        <f>VLOOKUP(E337,$N$13:$O$17,2,0)</f>
        <v>-</v>
      </c>
      <c r="G337" s="92"/>
      <c r="H337" s="90"/>
      <c r="I337" s="1125"/>
      <c r="J337" s="1133"/>
      <c r="K337" s="1133"/>
      <c r="L337" s="916"/>
    </row>
    <row r="338" spans="1:12" s="103" customFormat="1" ht="15.75" hidden="1" customHeight="1" outlineLevel="1">
      <c r="A338" s="916"/>
      <c r="B338" s="1123"/>
      <c r="C338" s="1127"/>
      <c r="D338" s="1125"/>
      <c r="E338" s="1125"/>
      <c r="F338" s="1130"/>
      <c r="G338" s="95"/>
      <c r="H338" s="90"/>
      <c r="I338" s="1125"/>
      <c r="J338" s="1134"/>
      <c r="K338" s="1134"/>
      <c r="L338" s="916"/>
    </row>
    <row r="339" spans="1:12" s="103" customFormat="1" ht="15.75" hidden="1" customHeight="1" outlineLevel="1">
      <c r="A339" s="916"/>
      <c r="B339" s="1124"/>
      <c r="C339" s="1128"/>
      <c r="D339" s="1126"/>
      <c r="E339" s="1126"/>
      <c r="F339" s="1132"/>
      <c r="G339" s="100"/>
      <c r="H339" s="98"/>
      <c r="I339" s="1126"/>
      <c r="J339" s="1135"/>
      <c r="K339" s="1135"/>
      <c r="L339" s="916"/>
    </row>
    <row r="340" spans="1:12" s="103" customFormat="1" ht="15.75" hidden="1" customHeight="1" outlineLevel="1">
      <c r="A340" s="916"/>
      <c r="B340" s="1123">
        <v>110</v>
      </c>
      <c r="C340" s="1127"/>
      <c r="D340" s="1125"/>
      <c r="E340" s="1125" t="s">
        <v>18</v>
      </c>
      <c r="F340" s="1130" t="str">
        <f>VLOOKUP(E340,$N$13:$O$17,2,0)</f>
        <v>-</v>
      </c>
      <c r="G340" s="92"/>
      <c r="H340" s="90"/>
      <c r="I340" s="1125"/>
      <c r="J340" s="1133"/>
      <c r="K340" s="1133"/>
      <c r="L340" s="916"/>
    </row>
    <row r="341" spans="1:12" s="103" customFormat="1" ht="15.75" hidden="1" customHeight="1" outlineLevel="1">
      <c r="A341" s="916"/>
      <c r="B341" s="1123"/>
      <c r="C341" s="1127"/>
      <c r="D341" s="1125"/>
      <c r="E341" s="1125"/>
      <c r="F341" s="1130"/>
      <c r="G341" s="95"/>
      <c r="H341" s="90"/>
      <c r="I341" s="1125"/>
      <c r="J341" s="1134"/>
      <c r="K341" s="1134"/>
      <c r="L341" s="916"/>
    </row>
    <row r="342" spans="1:12" s="103" customFormat="1" ht="15.75" hidden="1" customHeight="1" outlineLevel="1">
      <c r="A342" s="916"/>
      <c r="B342" s="1124"/>
      <c r="C342" s="1128"/>
      <c r="D342" s="1126"/>
      <c r="E342" s="1126"/>
      <c r="F342" s="1132"/>
      <c r="G342" s="100"/>
      <c r="H342" s="98"/>
      <c r="I342" s="1126"/>
      <c r="J342" s="1135"/>
      <c r="K342" s="1135"/>
      <c r="L342" s="916"/>
    </row>
    <row r="343" spans="1:12" s="103" customFormat="1" ht="15.75" hidden="1" customHeight="1" outlineLevel="1">
      <c r="A343" s="916"/>
      <c r="B343" s="1123">
        <v>111</v>
      </c>
      <c r="C343" s="1127"/>
      <c r="D343" s="1125"/>
      <c r="E343" s="1125" t="s">
        <v>18</v>
      </c>
      <c r="F343" s="1130" t="str">
        <f>VLOOKUP(E343,$N$13:$O$17,2,0)</f>
        <v>-</v>
      </c>
      <c r="G343" s="92"/>
      <c r="H343" s="90"/>
      <c r="I343" s="1125"/>
      <c r="J343" s="1133"/>
      <c r="K343" s="1133"/>
      <c r="L343" s="916"/>
    </row>
    <row r="344" spans="1:12" s="103" customFormat="1" ht="15.75" hidden="1" customHeight="1" outlineLevel="1">
      <c r="A344" s="916"/>
      <c r="B344" s="1123"/>
      <c r="C344" s="1127"/>
      <c r="D344" s="1125"/>
      <c r="E344" s="1125"/>
      <c r="F344" s="1130"/>
      <c r="G344" s="95"/>
      <c r="H344" s="90"/>
      <c r="I344" s="1125"/>
      <c r="J344" s="1134"/>
      <c r="K344" s="1134"/>
      <c r="L344" s="916"/>
    </row>
    <row r="345" spans="1:12" s="103" customFormat="1" ht="15.75" hidden="1" customHeight="1" outlineLevel="1">
      <c r="A345" s="916"/>
      <c r="B345" s="1124"/>
      <c r="C345" s="1128"/>
      <c r="D345" s="1126"/>
      <c r="E345" s="1126"/>
      <c r="F345" s="1132"/>
      <c r="G345" s="100"/>
      <c r="H345" s="98"/>
      <c r="I345" s="1126"/>
      <c r="J345" s="1135"/>
      <c r="K345" s="1135"/>
      <c r="L345" s="916"/>
    </row>
    <row r="346" spans="1:12" s="103" customFormat="1" ht="15.75" hidden="1" customHeight="1" outlineLevel="1">
      <c r="A346" s="916"/>
      <c r="B346" s="1123">
        <v>112</v>
      </c>
      <c r="C346" s="1127"/>
      <c r="D346" s="1125"/>
      <c r="E346" s="1125" t="s">
        <v>18</v>
      </c>
      <c r="F346" s="1130" t="str">
        <f>VLOOKUP(E346,$N$13:$O$17,2,0)</f>
        <v>-</v>
      </c>
      <c r="G346" s="92"/>
      <c r="H346" s="90"/>
      <c r="I346" s="1125"/>
      <c r="J346" s="1133"/>
      <c r="K346" s="1133"/>
      <c r="L346" s="916"/>
    </row>
    <row r="347" spans="1:12" s="103" customFormat="1" ht="15.75" hidden="1" customHeight="1" outlineLevel="1">
      <c r="A347" s="916"/>
      <c r="B347" s="1123"/>
      <c r="C347" s="1127"/>
      <c r="D347" s="1125"/>
      <c r="E347" s="1125"/>
      <c r="F347" s="1130"/>
      <c r="G347" s="95"/>
      <c r="H347" s="90"/>
      <c r="I347" s="1125"/>
      <c r="J347" s="1134"/>
      <c r="K347" s="1134"/>
      <c r="L347" s="916"/>
    </row>
    <row r="348" spans="1:12" s="103" customFormat="1" ht="15.75" hidden="1" customHeight="1" outlineLevel="1">
      <c r="A348" s="916"/>
      <c r="B348" s="1124"/>
      <c r="C348" s="1128"/>
      <c r="D348" s="1126"/>
      <c r="E348" s="1126"/>
      <c r="F348" s="1132"/>
      <c r="G348" s="100"/>
      <c r="H348" s="98"/>
      <c r="I348" s="1126"/>
      <c r="J348" s="1135"/>
      <c r="K348" s="1135"/>
      <c r="L348" s="916"/>
    </row>
    <row r="349" spans="1:12" s="103" customFormat="1" ht="15.75" hidden="1" customHeight="1" outlineLevel="1">
      <c r="A349" s="916"/>
      <c r="B349" s="1123">
        <v>113</v>
      </c>
      <c r="C349" s="1127"/>
      <c r="D349" s="1125"/>
      <c r="E349" s="1125" t="s">
        <v>18</v>
      </c>
      <c r="F349" s="1130" t="str">
        <f>VLOOKUP(E349,$N$13:$O$17,2,0)</f>
        <v>-</v>
      </c>
      <c r="G349" s="92"/>
      <c r="H349" s="90"/>
      <c r="I349" s="1125"/>
      <c r="J349" s="1133"/>
      <c r="K349" s="1133"/>
      <c r="L349" s="916"/>
    </row>
    <row r="350" spans="1:12" s="103" customFormat="1" ht="15.75" hidden="1" customHeight="1" outlineLevel="1">
      <c r="A350" s="916"/>
      <c r="B350" s="1123"/>
      <c r="C350" s="1127"/>
      <c r="D350" s="1125"/>
      <c r="E350" s="1125"/>
      <c r="F350" s="1130"/>
      <c r="G350" s="95"/>
      <c r="H350" s="90"/>
      <c r="I350" s="1125"/>
      <c r="J350" s="1134"/>
      <c r="K350" s="1134"/>
      <c r="L350" s="916"/>
    </row>
    <row r="351" spans="1:12" s="103" customFormat="1" ht="15.75" hidden="1" customHeight="1" outlineLevel="1">
      <c r="A351" s="916"/>
      <c r="B351" s="1124"/>
      <c r="C351" s="1128"/>
      <c r="D351" s="1126"/>
      <c r="E351" s="1126"/>
      <c r="F351" s="1132"/>
      <c r="G351" s="100"/>
      <c r="H351" s="98"/>
      <c r="I351" s="1126"/>
      <c r="J351" s="1135"/>
      <c r="K351" s="1135"/>
      <c r="L351" s="916"/>
    </row>
    <row r="352" spans="1:12" s="103" customFormat="1" ht="15.75" hidden="1" customHeight="1" outlineLevel="1">
      <c r="A352" s="916"/>
      <c r="B352" s="1123">
        <v>114</v>
      </c>
      <c r="C352" s="1127"/>
      <c r="D352" s="1125"/>
      <c r="E352" s="1125" t="s">
        <v>18</v>
      </c>
      <c r="F352" s="1130" t="str">
        <f>VLOOKUP(E352,$N$13:$O$17,2,0)</f>
        <v>-</v>
      </c>
      <c r="G352" s="92"/>
      <c r="H352" s="90"/>
      <c r="I352" s="1125"/>
      <c r="J352" s="1133"/>
      <c r="K352" s="1133"/>
      <c r="L352" s="916"/>
    </row>
    <row r="353" spans="1:12" s="103" customFormat="1" ht="15.75" hidden="1" customHeight="1" outlineLevel="1">
      <c r="A353" s="916"/>
      <c r="B353" s="1123"/>
      <c r="C353" s="1127"/>
      <c r="D353" s="1125"/>
      <c r="E353" s="1125"/>
      <c r="F353" s="1130"/>
      <c r="G353" s="95"/>
      <c r="H353" s="90"/>
      <c r="I353" s="1125"/>
      <c r="J353" s="1134"/>
      <c r="K353" s="1134"/>
      <c r="L353" s="916"/>
    </row>
    <row r="354" spans="1:12" s="103" customFormat="1" ht="15.75" hidden="1" customHeight="1" outlineLevel="1">
      <c r="A354" s="916"/>
      <c r="B354" s="1124"/>
      <c r="C354" s="1128"/>
      <c r="D354" s="1126"/>
      <c r="E354" s="1126"/>
      <c r="F354" s="1132"/>
      <c r="G354" s="100"/>
      <c r="H354" s="98"/>
      <c r="I354" s="1126"/>
      <c r="J354" s="1135"/>
      <c r="K354" s="1135"/>
      <c r="L354" s="916"/>
    </row>
    <row r="355" spans="1:12" s="103" customFormat="1" ht="15.75" hidden="1" customHeight="1" outlineLevel="1">
      <c r="A355" s="916"/>
      <c r="B355" s="1123">
        <v>115</v>
      </c>
      <c r="C355" s="1127"/>
      <c r="D355" s="1125"/>
      <c r="E355" s="1125" t="s">
        <v>18</v>
      </c>
      <c r="F355" s="1130" t="str">
        <f>VLOOKUP(E355,$N$13:$O$17,2,0)</f>
        <v>-</v>
      </c>
      <c r="G355" s="92"/>
      <c r="H355" s="90"/>
      <c r="I355" s="1125"/>
      <c r="J355" s="1133"/>
      <c r="K355" s="1133"/>
      <c r="L355" s="916"/>
    </row>
    <row r="356" spans="1:12" s="103" customFormat="1" ht="15.75" hidden="1" customHeight="1" outlineLevel="1">
      <c r="A356" s="916"/>
      <c r="B356" s="1123"/>
      <c r="C356" s="1127"/>
      <c r="D356" s="1125"/>
      <c r="E356" s="1125"/>
      <c r="F356" s="1130"/>
      <c r="G356" s="95"/>
      <c r="H356" s="90"/>
      <c r="I356" s="1125"/>
      <c r="J356" s="1134"/>
      <c r="K356" s="1134"/>
      <c r="L356" s="916"/>
    </row>
    <row r="357" spans="1:12" s="103" customFormat="1" ht="15.75" hidden="1" customHeight="1" outlineLevel="1">
      <c r="A357" s="916"/>
      <c r="B357" s="1124"/>
      <c r="C357" s="1128"/>
      <c r="D357" s="1126"/>
      <c r="E357" s="1126"/>
      <c r="F357" s="1132"/>
      <c r="G357" s="100"/>
      <c r="H357" s="98"/>
      <c r="I357" s="1126"/>
      <c r="J357" s="1135"/>
      <c r="K357" s="1135"/>
      <c r="L357" s="916"/>
    </row>
    <row r="358" spans="1:12" s="103" customFormat="1" ht="15.75" hidden="1" customHeight="1" outlineLevel="1">
      <c r="A358" s="916"/>
      <c r="B358" s="1123">
        <v>116</v>
      </c>
      <c r="C358" s="1127"/>
      <c r="D358" s="1125"/>
      <c r="E358" s="1125" t="s">
        <v>18</v>
      </c>
      <c r="F358" s="1130" t="str">
        <f>VLOOKUP(E358,$N$13:$O$17,2,0)</f>
        <v>-</v>
      </c>
      <c r="G358" s="92"/>
      <c r="H358" s="90"/>
      <c r="I358" s="1125"/>
      <c r="J358" s="1133"/>
      <c r="K358" s="1133"/>
      <c r="L358" s="916"/>
    </row>
    <row r="359" spans="1:12" s="103" customFormat="1" ht="15.75" hidden="1" customHeight="1" outlineLevel="1">
      <c r="A359" s="916"/>
      <c r="B359" s="1123"/>
      <c r="C359" s="1127"/>
      <c r="D359" s="1125"/>
      <c r="E359" s="1125"/>
      <c r="F359" s="1130"/>
      <c r="G359" s="95"/>
      <c r="H359" s="90"/>
      <c r="I359" s="1125"/>
      <c r="J359" s="1134"/>
      <c r="K359" s="1134"/>
      <c r="L359" s="916"/>
    </row>
    <row r="360" spans="1:12" s="103" customFormat="1" ht="15.75" hidden="1" customHeight="1" outlineLevel="1">
      <c r="A360" s="916"/>
      <c r="B360" s="1124"/>
      <c r="C360" s="1128"/>
      <c r="D360" s="1126"/>
      <c r="E360" s="1126"/>
      <c r="F360" s="1132"/>
      <c r="G360" s="100"/>
      <c r="H360" s="98"/>
      <c r="I360" s="1126"/>
      <c r="J360" s="1135"/>
      <c r="K360" s="1135"/>
      <c r="L360" s="916"/>
    </row>
    <row r="361" spans="1:12" s="103" customFormat="1" ht="15.75" hidden="1" customHeight="1" outlineLevel="1">
      <c r="A361" s="916"/>
      <c r="B361" s="1123">
        <v>117</v>
      </c>
      <c r="C361" s="1127"/>
      <c r="D361" s="1125"/>
      <c r="E361" s="1125" t="s">
        <v>18</v>
      </c>
      <c r="F361" s="1130" t="str">
        <f>VLOOKUP(E361,$N$13:$O$17,2,0)</f>
        <v>-</v>
      </c>
      <c r="G361" s="92"/>
      <c r="H361" s="90"/>
      <c r="I361" s="1125"/>
      <c r="J361" s="1133"/>
      <c r="K361" s="1133"/>
      <c r="L361" s="916"/>
    </row>
    <row r="362" spans="1:12" s="103" customFormat="1" ht="15.75" hidden="1" customHeight="1" outlineLevel="1">
      <c r="A362" s="916"/>
      <c r="B362" s="1123"/>
      <c r="C362" s="1127"/>
      <c r="D362" s="1125"/>
      <c r="E362" s="1125"/>
      <c r="F362" s="1130"/>
      <c r="G362" s="95"/>
      <c r="H362" s="90"/>
      <c r="I362" s="1125"/>
      <c r="J362" s="1134"/>
      <c r="K362" s="1134"/>
      <c r="L362" s="916"/>
    </row>
    <row r="363" spans="1:12" s="103" customFormat="1" ht="15.75" hidden="1" customHeight="1" outlineLevel="1">
      <c r="A363" s="916"/>
      <c r="B363" s="1124"/>
      <c r="C363" s="1128"/>
      <c r="D363" s="1126"/>
      <c r="E363" s="1126"/>
      <c r="F363" s="1132"/>
      <c r="G363" s="100"/>
      <c r="H363" s="98"/>
      <c r="I363" s="1126"/>
      <c r="J363" s="1135"/>
      <c r="K363" s="1135"/>
      <c r="L363" s="916"/>
    </row>
    <row r="364" spans="1:12" s="103" customFormat="1" ht="15.75" hidden="1" customHeight="1" outlineLevel="1">
      <c r="A364" s="916"/>
      <c r="B364" s="1123">
        <v>118</v>
      </c>
      <c r="C364" s="1127"/>
      <c r="D364" s="1125"/>
      <c r="E364" s="1125" t="s">
        <v>18</v>
      </c>
      <c r="F364" s="1130" t="str">
        <f>VLOOKUP(E364,$N$13:$O$17,2,0)</f>
        <v>-</v>
      </c>
      <c r="G364" s="92"/>
      <c r="H364" s="90"/>
      <c r="I364" s="1125"/>
      <c r="J364" s="1133"/>
      <c r="K364" s="1133"/>
      <c r="L364" s="916"/>
    </row>
    <row r="365" spans="1:12" s="103" customFormat="1" ht="15.75" hidden="1" customHeight="1" outlineLevel="1">
      <c r="A365" s="916"/>
      <c r="B365" s="1123"/>
      <c r="C365" s="1127"/>
      <c r="D365" s="1125"/>
      <c r="E365" s="1125"/>
      <c r="F365" s="1130"/>
      <c r="G365" s="95"/>
      <c r="H365" s="90"/>
      <c r="I365" s="1125"/>
      <c r="J365" s="1134"/>
      <c r="K365" s="1134"/>
      <c r="L365" s="916"/>
    </row>
    <row r="366" spans="1:12" s="103" customFormat="1" ht="15.75" hidden="1" customHeight="1" outlineLevel="1">
      <c r="A366" s="916"/>
      <c r="B366" s="1124"/>
      <c r="C366" s="1128"/>
      <c r="D366" s="1126"/>
      <c r="E366" s="1126"/>
      <c r="F366" s="1132"/>
      <c r="G366" s="100"/>
      <c r="H366" s="98"/>
      <c r="I366" s="1126"/>
      <c r="J366" s="1135"/>
      <c r="K366" s="1135"/>
      <c r="L366" s="916"/>
    </row>
    <row r="367" spans="1:12" s="103" customFormat="1" ht="15.75" hidden="1" customHeight="1" outlineLevel="1">
      <c r="A367" s="916"/>
      <c r="B367" s="1123">
        <v>119</v>
      </c>
      <c r="C367" s="1127"/>
      <c r="D367" s="1125"/>
      <c r="E367" s="1125" t="s">
        <v>18</v>
      </c>
      <c r="F367" s="1130" t="str">
        <f>VLOOKUP(E367,$N$13:$O$17,2,0)</f>
        <v>-</v>
      </c>
      <c r="G367" s="92"/>
      <c r="H367" s="90"/>
      <c r="I367" s="1125"/>
      <c r="J367" s="1133"/>
      <c r="K367" s="1133"/>
      <c r="L367" s="916"/>
    </row>
    <row r="368" spans="1:12" s="103" customFormat="1" ht="15.75" hidden="1" customHeight="1" outlineLevel="1">
      <c r="A368" s="916"/>
      <c r="B368" s="1123"/>
      <c r="C368" s="1127"/>
      <c r="D368" s="1125"/>
      <c r="E368" s="1125"/>
      <c r="F368" s="1130"/>
      <c r="G368" s="95"/>
      <c r="H368" s="90"/>
      <c r="I368" s="1125"/>
      <c r="J368" s="1134"/>
      <c r="K368" s="1134"/>
      <c r="L368" s="916"/>
    </row>
    <row r="369" spans="1:12" s="103" customFormat="1" ht="15.75" hidden="1" customHeight="1" outlineLevel="1">
      <c r="A369" s="916"/>
      <c r="B369" s="1124"/>
      <c r="C369" s="1128"/>
      <c r="D369" s="1126"/>
      <c r="E369" s="1126"/>
      <c r="F369" s="1132"/>
      <c r="G369" s="100"/>
      <c r="H369" s="98"/>
      <c r="I369" s="1126"/>
      <c r="J369" s="1135"/>
      <c r="K369" s="1135"/>
      <c r="L369" s="916"/>
    </row>
    <row r="370" spans="1:12" s="103" customFormat="1" ht="15.75" hidden="1" customHeight="1" outlineLevel="1">
      <c r="A370" s="916"/>
      <c r="B370" s="1123">
        <v>120</v>
      </c>
      <c r="C370" s="1127"/>
      <c r="D370" s="1125"/>
      <c r="E370" s="1125" t="s">
        <v>18</v>
      </c>
      <c r="F370" s="1130" t="str">
        <f>VLOOKUP(E370,$N$13:$O$17,2,0)</f>
        <v>-</v>
      </c>
      <c r="G370" s="92"/>
      <c r="H370" s="90"/>
      <c r="I370" s="1125"/>
      <c r="J370" s="1133"/>
      <c r="K370" s="1133"/>
      <c r="L370" s="916"/>
    </row>
    <row r="371" spans="1:12" s="103" customFormat="1" ht="15.75" hidden="1" customHeight="1" outlineLevel="1">
      <c r="A371" s="916"/>
      <c r="B371" s="1123"/>
      <c r="C371" s="1127"/>
      <c r="D371" s="1125"/>
      <c r="E371" s="1125"/>
      <c r="F371" s="1130"/>
      <c r="G371" s="95"/>
      <c r="H371" s="90"/>
      <c r="I371" s="1125"/>
      <c r="J371" s="1134"/>
      <c r="K371" s="1134"/>
      <c r="L371" s="916"/>
    </row>
    <row r="372" spans="1:12" s="103" customFormat="1" ht="15.75" hidden="1" customHeight="1" outlineLevel="1">
      <c r="A372" s="916"/>
      <c r="B372" s="1124"/>
      <c r="C372" s="1128"/>
      <c r="D372" s="1126"/>
      <c r="E372" s="1126"/>
      <c r="F372" s="1132"/>
      <c r="G372" s="100"/>
      <c r="H372" s="98"/>
      <c r="I372" s="1126"/>
      <c r="J372" s="1135"/>
      <c r="K372" s="1135"/>
      <c r="L372" s="916"/>
    </row>
    <row r="373" spans="1:12" s="103" customFormat="1" ht="15.75" hidden="1" customHeight="1" outlineLevel="1">
      <c r="A373" s="916"/>
      <c r="B373" s="1123">
        <v>121</v>
      </c>
      <c r="C373" s="1127"/>
      <c r="D373" s="1125"/>
      <c r="E373" s="1125" t="s">
        <v>18</v>
      </c>
      <c r="F373" s="1130" t="str">
        <f>VLOOKUP(E373,$N$13:$O$17,2,0)</f>
        <v>-</v>
      </c>
      <c r="G373" s="92"/>
      <c r="H373" s="90"/>
      <c r="I373" s="1125"/>
      <c r="J373" s="1133"/>
      <c r="K373" s="1133"/>
      <c r="L373" s="916"/>
    </row>
    <row r="374" spans="1:12" s="103" customFormat="1" ht="15.75" hidden="1" customHeight="1" outlineLevel="1">
      <c r="A374" s="916"/>
      <c r="B374" s="1123"/>
      <c r="C374" s="1127"/>
      <c r="D374" s="1125"/>
      <c r="E374" s="1125"/>
      <c r="F374" s="1130"/>
      <c r="G374" s="95"/>
      <c r="H374" s="90"/>
      <c r="I374" s="1125"/>
      <c r="J374" s="1134"/>
      <c r="K374" s="1134"/>
      <c r="L374" s="916"/>
    </row>
    <row r="375" spans="1:12" s="103" customFormat="1" ht="15.75" hidden="1" customHeight="1" outlineLevel="1">
      <c r="A375" s="916"/>
      <c r="B375" s="1124"/>
      <c r="C375" s="1128"/>
      <c r="D375" s="1126"/>
      <c r="E375" s="1126"/>
      <c r="F375" s="1132"/>
      <c r="G375" s="100"/>
      <c r="H375" s="98"/>
      <c r="I375" s="1126"/>
      <c r="J375" s="1135"/>
      <c r="K375" s="1135"/>
      <c r="L375" s="916"/>
    </row>
    <row r="376" spans="1:12" s="103" customFormat="1" ht="15.75" hidden="1" customHeight="1" outlineLevel="1">
      <c r="A376" s="916"/>
      <c r="B376" s="1123">
        <v>122</v>
      </c>
      <c r="C376" s="1127"/>
      <c r="D376" s="1125"/>
      <c r="E376" s="1125" t="s">
        <v>18</v>
      </c>
      <c r="F376" s="1130" t="str">
        <f>VLOOKUP(E376,$N$13:$O$17,2,0)</f>
        <v>-</v>
      </c>
      <c r="G376" s="92"/>
      <c r="H376" s="90"/>
      <c r="I376" s="1125"/>
      <c r="J376" s="1133"/>
      <c r="K376" s="1133"/>
      <c r="L376" s="916"/>
    </row>
    <row r="377" spans="1:12" s="103" customFormat="1" ht="15.75" hidden="1" customHeight="1" outlineLevel="1">
      <c r="A377" s="916"/>
      <c r="B377" s="1123"/>
      <c r="C377" s="1127"/>
      <c r="D377" s="1125"/>
      <c r="E377" s="1125"/>
      <c r="F377" s="1130"/>
      <c r="G377" s="95"/>
      <c r="H377" s="90"/>
      <c r="I377" s="1125"/>
      <c r="J377" s="1134"/>
      <c r="K377" s="1134"/>
      <c r="L377" s="916"/>
    </row>
    <row r="378" spans="1:12" s="103" customFormat="1" ht="15.75" hidden="1" customHeight="1" outlineLevel="1">
      <c r="A378" s="916"/>
      <c r="B378" s="1124"/>
      <c r="C378" s="1128"/>
      <c r="D378" s="1126"/>
      <c r="E378" s="1126"/>
      <c r="F378" s="1132"/>
      <c r="G378" s="100"/>
      <c r="H378" s="98"/>
      <c r="I378" s="1126"/>
      <c r="J378" s="1135"/>
      <c r="K378" s="1135"/>
      <c r="L378" s="916"/>
    </row>
    <row r="379" spans="1:12" s="103" customFormat="1" ht="15.75" hidden="1" customHeight="1" outlineLevel="1">
      <c r="A379" s="916"/>
      <c r="B379" s="1123">
        <v>123</v>
      </c>
      <c r="C379" s="1127"/>
      <c r="D379" s="1125"/>
      <c r="E379" s="1125" t="s">
        <v>18</v>
      </c>
      <c r="F379" s="1130" t="str">
        <f>VLOOKUP(E379,$N$13:$O$17,2,0)</f>
        <v>-</v>
      </c>
      <c r="G379" s="92"/>
      <c r="H379" s="90"/>
      <c r="I379" s="1125"/>
      <c r="J379" s="1133"/>
      <c r="K379" s="1133"/>
      <c r="L379" s="916"/>
    </row>
    <row r="380" spans="1:12" s="103" customFormat="1" ht="15.75" hidden="1" customHeight="1" outlineLevel="1">
      <c r="A380" s="916"/>
      <c r="B380" s="1123"/>
      <c r="C380" s="1127"/>
      <c r="D380" s="1125"/>
      <c r="E380" s="1125"/>
      <c r="F380" s="1130"/>
      <c r="G380" s="95"/>
      <c r="H380" s="90"/>
      <c r="I380" s="1125"/>
      <c r="J380" s="1134"/>
      <c r="K380" s="1134"/>
      <c r="L380" s="916"/>
    </row>
    <row r="381" spans="1:12" s="103" customFormat="1" ht="15.75" hidden="1" customHeight="1" outlineLevel="1">
      <c r="A381" s="916"/>
      <c r="B381" s="1124"/>
      <c r="C381" s="1128"/>
      <c r="D381" s="1126"/>
      <c r="E381" s="1126"/>
      <c r="F381" s="1132"/>
      <c r="G381" s="100"/>
      <c r="H381" s="98"/>
      <c r="I381" s="1126"/>
      <c r="J381" s="1135"/>
      <c r="K381" s="1135"/>
      <c r="L381" s="916"/>
    </row>
    <row r="382" spans="1:12" s="103" customFormat="1" ht="15.75" hidden="1" customHeight="1" outlineLevel="1">
      <c r="A382" s="916"/>
      <c r="B382" s="1123">
        <v>124</v>
      </c>
      <c r="C382" s="1127"/>
      <c r="D382" s="1125"/>
      <c r="E382" s="1125" t="s">
        <v>18</v>
      </c>
      <c r="F382" s="1130" t="str">
        <f>VLOOKUP(E382,$N$13:$O$17,2,0)</f>
        <v>-</v>
      </c>
      <c r="G382" s="92"/>
      <c r="H382" s="90"/>
      <c r="I382" s="1125"/>
      <c r="J382" s="1133"/>
      <c r="K382" s="1133"/>
      <c r="L382" s="916"/>
    </row>
    <row r="383" spans="1:12" s="103" customFormat="1" ht="15.75" hidden="1" customHeight="1" outlineLevel="1">
      <c r="A383" s="916"/>
      <c r="B383" s="1123"/>
      <c r="C383" s="1127"/>
      <c r="D383" s="1125"/>
      <c r="E383" s="1125"/>
      <c r="F383" s="1130"/>
      <c r="G383" s="95"/>
      <c r="H383" s="90"/>
      <c r="I383" s="1125"/>
      <c r="J383" s="1134"/>
      <c r="K383" s="1134"/>
      <c r="L383" s="916"/>
    </row>
    <row r="384" spans="1:12" s="103" customFormat="1" ht="15.75" hidden="1" customHeight="1" outlineLevel="1">
      <c r="A384" s="916"/>
      <c r="B384" s="1124"/>
      <c r="C384" s="1128"/>
      <c r="D384" s="1126"/>
      <c r="E384" s="1126"/>
      <c r="F384" s="1132"/>
      <c r="G384" s="100"/>
      <c r="H384" s="98"/>
      <c r="I384" s="1126"/>
      <c r="J384" s="1135"/>
      <c r="K384" s="1135"/>
      <c r="L384" s="916"/>
    </row>
    <row r="385" spans="1:12" s="103" customFormat="1" ht="15.75" hidden="1" customHeight="1" outlineLevel="1">
      <c r="A385" s="916"/>
      <c r="B385" s="1123">
        <v>125</v>
      </c>
      <c r="C385" s="1127"/>
      <c r="D385" s="1125"/>
      <c r="E385" s="1125" t="s">
        <v>18</v>
      </c>
      <c r="F385" s="1130" t="str">
        <f>VLOOKUP(E385,$N$13:$O$17,2,0)</f>
        <v>-</v>
      </c>
      <c r="G385" s="92"/>
      <c r="H385" s="90"/>
      <c r="I385" s="1125"/>
      <c r="J385" s="1133"/>
      <c r="K385" s="1133"/>
      <c r="L385" s="916"/>
    </row>
    <row r="386" spans="1:12" s="103" customFormat="1" ht="15.75" hidden="1" customHeight="1" outlineLevel="1">
      <c r="A386" s="916"/>
      <c r="B386" s="1123"/>
      <c r="C386" s="1127"/>
      <c r="D386" s="1125"/>
      <c r="E386" s="1125"/>
      <c r="F386" s="1130"/>
      <c r="G386" s="95"/>
      <c r="H386" s="90"/>
      <c r="I386" s="1125"/>
      <c r="J386" s="1134"/>
      <c r="K386" s="1134"/>
      <c r="L386" s="916"/>
    </row>
    <row r="387" spans="1:12" s="103" customFormat="1" ht="15.75" hidden="1" customHeight="1" outlineLevel="1">
      <c r="A387" s="916"/>
      <c r="B387" s="1124"/>
      <c r="C387" s="1128"/>
      <c r="D387" s="1126"/>
      <c r="E387" s="1126"/>
      <c r="F387" s="1132"/>
      <c r="G387" s="100"/>
      <c r="H387" s="98"/>
      <c r="I387" s="1126"/>
      <c r="J387" s="1135"/>
      <c r="K387" s="1135"/>
      <c r="L387" s="916"/>
    </row>
    <row r="388" spans="1:12" s="103" customFormat="1" ht="15.75" hidden="1" customHeight="1" outlineLevel="1">
      <c r="A388" s="916"/>
      <c r="B388" s="1123">
        <v>126</v>
      </c>
      <c r="C388" s="1127"/>
      <c r="D388" s="1125"/>
      <c r="E388" s="1125" t="s">
        <v>18</v>
      </c>
      <c r="F388" s="1130" t="str">
        <f>VLOOKUP(E388,$N$13:$O$17,2,0)</f>
        <v>-</v>
      </c>
      <c r="G388" s="92"/>
      <c r="H388" s="90"/>
      <c r="I388" s="1125"/>
      <c r="J388" s="1133"/>
      <c r="K388" s="1133"/>
      <c r="L388" s="916"/>
    </row>
    <row r="389" spans="1:12" s="103" customFormat="1" ht="15.75" hidden="1" customHeight="1" outlineLevel="1">
      <c r="A389" s="916"/>
      <c r="B389" s="1123"/>
      <c r="C389" s="1127"/>
      <c r="D389" s="1125"/>
      <c r="E389" s="1125"/>
      <c r="F389" s="1130"/>
      <c r="G389" s="95"/>
      <c r="H389" s="90"/>
      <c r="I389" s="1125"/>
      <c r="J389" s="1134"/>
      <c r="K389" s="1134"/>
      <c r="L389" s="916"/>
    </row>
    <row r="390" spans="1:12" s="103" customFormat="1" ht="15.75" hidden="1" customHeight="1" outlineLevel="1">
      <c r="A390" s="916"/>
      <c r="B390" s="1124"/>
      <c r="C390" s="1128"/>
      <c r="D390" s="1126"/>
      <c r="E390" s="1126"/>
      <c r="F390" s="1132"/>
      <c r="G390" s="100"/>
      <c r="H390" s="98"/>
      <c r="I390" s="1126"/>
      <c r="J390" s="1135"/>
      <c r="K390" s="1135"/>
      <c r="L390" s="916"/>
    </row>
    <row r="391" spans="1:12" s="103" customFormat="1" ht="15.75" hidden="1" customHeight="1" outlineLevel="1">
      <c r="A391" s="916"/>
      <c r="B391" s="1123">
        <v>127</v>
      </c>
      <c r="C391" s="1127"/>
      <c r="D391" s="1125"/>
      <c r="E391" s="1125" t="s">
        <v>18</v>
      </c>
      <c r="F391" s="1130" t="str">
        <f>VLOOKUP(E391,$N$13:$O$17,2,0)</f>
        <v>-</v>
      </c>
      <c r="G391" s="92"/>
      <c r="H391" s="90"/>
      <c r="I391" s="1125"/>
      <c r="J391" s="1133"/>
      <c r="K391" s="1133"/>
      <c r="L391" s="916"/>
    </row>
    <row r="392" spans="1:12" s="103" customFormat="1" ht="15.75" hidden="1" customHeight="1" outlineLevel="1">
      <c r="A392" s="916"/>
      <c r="B392" s="1123"/>
      <c r="C392" s="1127"/>
      <c r="D392" s="1125"/>
      <c r="E392" s="1125"/>
      <c r="F392" s="1130"/>
      <c r="G392" s="95"/>
      <c r="H392" s="90"/>
      <c r="I392" s="1125"/>
      <c r="J392" s="1134"/>
      <c r="K392" s="1134"/>
      <c r="L392" s="916"/>
    </row>
    <row r="393" spans="1:12" s="103" customFormat="1" ht="15.75" hidden="1" customHeight="1" outlineLevel="1">
      <c r="A393" s="916"/>
      <c r="B393" s="1124"/>
      <c r="C393" s="1128"/>
      <c r="D393" s="1126"/>
      <c r="E393" s="1126"/>
      <c r="F393" s="1132"/>
      <c r="G393" s="100"/>
      <c r="H393" s="98"/>
      <c r="I393" s="1126"/>
      <c r="J393" s="1135"/>
      <c r="K393" s="1135"/>
      <c r="L393" s="916"/>
    </row>
    <row r="394" spans="1:12" s="103" customFormat="1" ht="15.75" hidden="1" customHeight="1" outlineLevel="1">
      <c r="A394" s="916"/>
      <c r="B394" s="1123">
        <v>128</v>
      </c>
      <c r="C394" s="1127"/>
      <c r="D394" s="1125"/>
      <c r="E394" s="1125" t="s">
        <v>18</v>
      </c>
      <c r="F394" s="1130" t="str">
        <f>VLOOKUP(E394,$N$13:$O$17,2,0)</f>
        <v>-</v>
      </c>
      <c r="G394" s="92"/>
      <c r="H394" s="90"/>
      <c r="I394" s="1125"/>
      <c r="J394" s="1133"/>
      <c r="K394" s="1133"/>
      <c r="L394" s="916"/>
    </row>
    <row r="395" spans="1:12" s="103" customFormat="1" ht="15.75" hidden="1" customHeight="1" outlineLevel="1">
      <c r="A395" s="916"/>
      <c r="B395" s="1123"/>
      <c r="C395" s="1127"/>
      <c r="D395" s="1125"/>
      <c r="E395" s="1125"/>
      <c r="F395" s="1130"/>
      <c r="G395" s="95"/>
      <c r="H395" s="90"/>
      <c r="I395" s="1125"/>
      <c r="J395" s="1134"/>
      <c r="K395" s="1134"/>
      <c r="L395" s="916"/>
    </row>
    <row r="396" spans="1:12" s="103" customFormat="1" ht="15.75" hidden="1" customHeight="1" outlineLevel="1">
      <c r="A396" s="916"/>
      <c r="B396" s="1124"/>
      <c r="C396" s="1128"/>
      <c r="D396" s="1126"/>
      <c r="E396" s="1126"/>
      <c r="F396" s="1132"/>
      <c r="G396" s="100"/>
      <c r="H396" s="98"/>
      <c r="I396" s="1126"/>
      <c r="J396" s="1135"/>
      <c r="K396" s="1135"/>
      <c r="L396" s="916"/>
    </row>
    <row r="397" spans="1:12" s="103" customFormat="1" ht="15.75" hidden="1" customHeight="1" outlineLevel="1">
      <c r="A397" s="916"/>
      <c r="B397" s="1123">
        <v>129</v>
      </c>
      <c r="C397" s="1127"/>
      <c r="D397" s="1125"/>
      <c r="E397" s="1125" t="s">
        <v>18</v>
      </c>
      <c r="F397" s="1130" t="str">
        <f>VLOOKUP(E397,$N$13:$O$17,2,0)</f>
        <v>-</v>
      </c>
      <c r="G397" s="92"/>
      <c r="H397" s="90"/>
      <c r="I397" s="1125"/>
      <c r="J397" s="1133"/>
      <c r="K397" s="1133"/>
      <c r="L397" s="916"/>
    </row>
    <row r="398" spans="1:12" s="103" customFormat="1" ht="15.75" hidden="1" customHeight="1" outlineLevel="1">
      <c r="A398" s="916"/>
      <c r="B398" s="1123"/>
      <c r="C398" s="1127"/>
      <c r="D398" s="1125"/>
      <c r="E398" s="1125"/>
      <c r="F398" s="1130"/>
      <c r="G398" s="95"/>
      <c r="H398" s="90"/>
      <c r="I398" s="1125"/>
      <c r="J398" s="1134"/>
      <c r="K398" s="1134"/>
      <c r="L398" s="916"/>
    </row>
    <row r="399" spans="1:12" s="103" customFormat="1" ht="15.75" hidden="1" customHeight="1" outlineLevel="1">
      <c r="A399" s="916"/>
      <c r="B399" s="1124"/>
      <c r="C399" s="1128"/>
      <c r="D399" s="1126"/>
      <c r="E399" s="1126"/>
      <c r="F399" s="1132"/>
      <c r="G399" s="100"/>
      <c r="H399" s="98"/>
      <c r="I399" s="1126"/>
      <c r="J399" s="1135"/>
      <c r="K399" s="1135"/>
      <c r="L399" s="916"/>
    </row>
    <row r="400" spans="1:12" s="103" customFormat="1" ht="15.75" hidden="1" customHeight="1" outlineLevel="1">
      <c r="A400" s="916"/>
      <c r="B400" s="1123">
        <v>130</v>
      </c>
      <c r="C400" s="1127"/>
      <c r="D400" s="1125"/>
      <c r="E400" s="1125" t="s">
        <v>18</v>
      </c>
      <c r="F400" s="1130" t="str">
        <f>VLOOKUP(E400,$N$13:$O$17,2,0)</f>
        <v>-</v>
      </c>
      <c r="G400" s="92"/>
      <c r="H400" s="90"/>
      <c r="I400" s="1125"/>
      <c r="J400" s="1133"/>
      <c r="K400" s="1133"/>
      <c r="L400" s="916"/>
    </row>
    <row r="401" spans="1:12" s="103" customFormat="1" ht="15.75" hidden="1" customHeight="1" outlineLevel="1">
      <c r="A401" s="916"/>
      <c r="B401" s="1123"/>
      <c r="C401" s="1127"/>
      <c r="D401" s="1125"/>
      <c r="E401" s="1125"/>
      <c r="F401" s="1130"/>
      <c r="G401" s="95"/>
      <c r="H401" s="90"/>
      <c r="I401" s="1125"/>
      <c r="J401" s="1134"/>
      <c r="K401" s="1134"/>
      <c r="L401" s="916"/>
    </row>
    <row r="402" spans="1:12" s="103" customFormat="1" ht="15.75" hidden="1" customHeight="1" outlineLevel="1">
      <c r="A402" s="916"/>
      <c r="B402" s="1124"/>
      <c r="C402" s="1128"/>
      <c r="D402" s="1126"/>
      <c r="E402" s="1126"/>
      <c r="F402" s="1132"/>
      <c r="G402" s="100"/>
      <c r="H402" s="98"/>
      <c r="I402" s="1126"/>
      <c r="J402" s="1135"/>
      <c r="K402" s="1135"/>
      <c r="L402" s="916"/>
    </row>
    <row r="403" spans="1:12" s="103" customFormat="1" ht="15.75" hidden="1" customHeight="1" outlineLevel="1">
      <c r="A403" s="916"/>
      <c r="B403" s="1123">
        <v>131</v>
      </c>
      <c r="C403" s="1127"/>
      <c r="D403" s="1125"/>
      <c r="E403" s="1125" t="s">
        <v>18</v>
      </c>
      <c r="F403" s="1130" t="str">
        <f>VLOOKUP(E403,$N$13:$O$17,2,0)</f>
        <v>-</v>
      </c>
      <c r="G403" s="92"/>
      <c r="H403" s="90"/>
      <c r="I403" s="1125"/>
      <c r="J403" s="1133"/>
      <c r="K403" s="1133"/>
      <c r="L403" s="916"/>
    </row>
    <row r="404" spans="1:12" s="103" customFormat="1" ht="15.75" hidden="1" customHeight="1" outlineLevel="1">
      <c r="A404" s="916"/>
      <c r="B404" s="1123"/>
      <c r="C404" s="1127"/>
      <c r="D404" s="1125"/>
      <c r="E404" s="1125"/>
      <c r="F404" s="1130"/>
      <c r="G404" s="95"/>
      <c r="H404" s="90"/>
      <c r="I404" s="1125"/>
      <c r="J404" s="1134"/>
      <c r="K404" s="1134"/>
      <c r="L404" s="916"/>
    </row>
    <row r="405" spans="1:12" s="103" customFormat="1" ht="15.75" hidden="1" customHeight="1" outlineLevel="1">
      <c r="A405" s="916"/>
      <c r="B405" s="1124"/>
      <c r="C405" s="1128"/>
      <c r="D405" s="1126"/>
      <c r="E405" s="1126"/>
      <c r="F405" s="1132"/>
      <c r="G405" s="100"/>
      <c r="H405" s="98"/>
      <c r="I405" s="1126"/>
      <c r="J405" s="1135"/>
      <c r="K405" s="1135"/>
      <c r="L405" s="916"/>
    </row>
    <row r="406" spans="1:12" s="103" customFormat="1" ht="15.75" hidden="1" customHeight="1" outlineLevel="1">
      <c r="A406" s="916"/>
      <c r="B406" s="1123">
        <v>132</v>
      </c>
      <c r="C406" s="1127"/>
      <c r="D406" s="1125"/>
      <c r="E406" s="1125" t="s">
        <v>18</v>
      </c>
      <c r="F406" s="1130" t="str">
        <f>VLOOKUP(E406,$N$13:$O$17,2,0)</f>
        <v>-</v>
      </c>
      <c r="G406" s="92"/>
      <c r="H406" s="90"/>
      <c r="I406" s="1125"/>
      <c r="J406" s="1133"/>
      <c r="K406" s="1133"/>
      <c r="L406" s="916"/>
    </row>
    <row r="407" spans="1:12" s="103" customFormat="1" ht="15.75" hidden="1" customHeight="1" outlineLevel="1">
      <c r="A407" s="916"/>
      <c r="B407" s="1123"/>
      <c r="C407" s="1127"/>
      <c r="D407" s="1125"/>
      <c r="E407" s="1125"/>
      <c r="F407" s="1130"/>
      <c r="G407" s="95"/>
      <c r="H407" s="90"/>
      <c r="I407" s="1125"/>
      <c r="J407" s="1134"/>
      <c r="K407" s="1134"/>
      <c r="L407" s="916"/>
    </row>
    <row r="408" spans="1:12" s="103" customFormat="1" ht="15.75" hidden="1" customHeight="1" outlineLevel="1">
      <c r="A408" s="916"/>
      <c r="B408" s="1124"/>
      <c r="C408" s="1128"/>
      <c r="D408" s="1126"/>
      <c r="E408" s="1126"/>
      <c r="F408" s="1132"/>
      <c r="G408" s="100"/>
      <c r="H408" s="98"/>
      <c r="I408" s="1126"/>
      <c r="J408" s="1135"/>
      <c r="K408" s="1135"/>
      <c r="L408" s="916"/>
    </row>
    <row r="409" spans="1:12" s="103" customFormat="1" ht="15.75" hidden="1" customHeight="1" outlineLevel="1">
      <c r="A409" s="916"/>
      <c r="B409" s="1123">
        <v>133</v>
      </c>
      <c r="C409" s="1127"/>
      <c r="D409" s="1125"/>
      <c r="E409" s="1125" t="s">
        <v>18</v>
      </c>
      <c r="F409" s="1130" t="str">
        <f>VLOOKUP(E409,$N$13:$O$17,2,0)</f>
        <v>-</v>
      </c>
      <c r="G409" s="92"/>
      <c r="H409" s="90"/>
      <c r="I409" s="1125"/>
      <c r="J409" s="1133"/>
      <c r="K409" s="1133"/>
      <c r="L409" s="916"/>
    </row>
    <row r="410" spans="1:12" s="103" customFormat="1" ht="15.75" hidden="1" customHeight="1" outlineLevel="1">
      <c r="A410" s="916"/>
      <c r="B410" s="1123"/>
      <c r="C410" s="1127"/>
      <c r="D410" s="1125"/>
      <c r="E410" s="1125"/>
      <c r="F410" s="1130"/>
      <c r="G410" s="95"/>
      <c r="H410" s="90"/>
      <c r="I410" s="1125"/>
      <c r="J410" s="1134"/>
      <c r="K410" s="1134"/>
      <c r="L410" s="916"/>
    </row>
    <row r="411" spans="1:12" s="103" customFormat="1" ht="15.75" hidden="1" customHeight="1" outlineLevel="1">
      <c r="A411" s="916"/>
      <c r="B411" s="1124"/>
      <c r="C411" s="1128"/>
      <c r="D411" s="1126"/>
      <c r="E411" s="1126"/>
      <c r="F411" s="1132"/>
      <c r="G411" s="100"/>
      <c r="H411" s="98"/>
      <c r="I411" s="1126"/>
      <c r="J411" s="1135"/>
      <c r="K411" s="1135"/>
      <c r="L411" s="916"/>
    </row>
    <row r="412" spans="1:12" s="103" customFormat="1" ht="15.75" hidden="1" customHeight="1" outlineLevel="1">
      <c r="A412" s="916"/>
      <c r="B412" s="1123">
        <v>134</v>
      </c>
      <c r="C412" s="1127"/>
      <c r="D412" s="1125"/>
      <c r="E412" s="1125" t="s">
        <v>18</v>
      </c>
      <c r="F412" s="1130" t="str">
        <f>VLOOKUP(E412,$N$13:$O$17,2,0)</f>
        <v>-</v>
      </c>
      <c r="G412" s="92"/>
      <c r="H412" s="90"/>
      <c r="I412" s="1125"/>
      <c r="J412" s="1133"/>
      <c r="K412" s="1133"/>
      <c r="L412" s="916"/>
    </row>
    <row r="413" spans="1:12" s="103" customFormat="1" ht="15.75" hidden="1" customHeight="1" outlineLevel="1">
      <c r="A413" s="916"/>
      <c r="B413" s="1123"/>
      <c r="C413" s="1127"/>
      <c r="D413" s="1125"/>
      <c r="E413" s="1125"/>
      <c r="F413" s="1130"/>
      <c r="G413" s="95"/>
      <c r="H413" s="90"/>
      <c r="I413" s="1125"/>
      <c r="J413" s="1134"/>
      <c r="K413" s="1134"/>
      <c r="L413" s="916"/>
    </row>
    <row r="414" spans="1:12" s="103" customFormat="1" ht="15.75" hidden="1" customHeight="1" outlineLevel="1">
      <c r="A414" s="916"/>
      <c r="B414" s="1124"/>
      <c r="C414" s="1128"/>
      <c r="D414" s="1126"/>
      <c r="E414" s="1126"/>
      <c r="F414" s="1132"/>
      <c r="G414" s="100"/>
      <c r="H414" s="98"/>
      <c r="I414" s="1126"/>
      <c r="J414" s="1135"/>
      <c r="K414" s="1135"/>
      <c r="L414" s="916"/>
    </row>
    <row r="415" spans="1:12" s="103" customFormat="1" ht="15.75" hidden="1" customHeight="1" outlineLevel="1">
      <c r="A415" s="916"/>
      <c r="B415" s="1123">
        <v>135</v>
      </c>
      <c r="C415" s="1127"/>
      <c r="D415" s="1125"/>
      <c r="E415" s="1125" t="s">
        <v>18</v>
      </c>
      <c r="F415" s="1130" t="str">
        <f>VLOOKUP(E415,$N$13:$O$17,2,0)</f>
        <v>-</v>
      </c>
      <c r="G415" s="92"/>
      <c r="H415" s="90"/>
      <c r="I415" s="1125"/>
      <c r="J415" s="1133"/>
      <c r="K415" s="1133"/>
      <c r="L415" s="916"/>
    </row>
    <row r="416" spans="1:12" s="103" customFormat="1" ht="15.75" hidden="1" customHeight="1" outlineLevel="1">
      <c r="A416" s="916"/>
      <c r="B416" s="1123"/>
      <c r="C416" s="1127"/>
      <c r="D416" s="1125"/>
      <c r="E416" s="1125"/>
      <c r="F416" s="1130"/>
      <c r="G416" s="95"/>
      <c r="H416" s="90"/>
      <c r="I416" s="1125"/>
      <c r="J416" s="1134"/>
      <c r="K416" s="1134"/>
      <c r="L416" s="916"/>
    </row>
    <row r="417" spans="1:12" s="103" customFormat="1" ht="15.75" hidden="1" customHeight="1" outlineLevel="1">
      <c r="A417" s="916"/>
      <c r="B417" s="1124"/>
      <c r="C417" s="1128"/>
      <c r="D417" s="1126"/>
      <c r="E417" s="1126"/>
      <c r="F417" s="1132"/>
      <c r="G417" s="100"/>
      <c r="H417" s="98"/>
      <c r="I417" s="1126"/>
      <c r="J417" s="1135"/>
      <c r="K417" s="1135"/>
      <c r="L417" s="916"/>
    </row>
    <row r="418" spans="1:12" s="103" customFormat="1" ht="15.75" hidden="1" customHeight="1" outlineLevel="1">
      <c r="A418" s="916"/>
      <c r="B418" s="1123">
        <v>136</v>
      </c>
      <c r="C418" s="1127"/>
      <c r="D418" s="1125"/>
      <c r="E418" s="1125" t="s">
        <v>18</v>
      </c>
      <c r="F418" s="1130" t="str">
        <f>VLOOKUP(E418,$N$13:$O$17,2,0)</f>
        <v>-</v>
      </c>
      <c r="G418" s="92"/>
      <c r="H418" s="90"/>
      <c r="I418" s="1125"/>
      <c r="J418" s="1133"/>
      <c r="K418" s="1133"/>
      <c r="L418" s="916"/>
    </row>
    <row r="419" spans="1:12" s="103" customFormat="1" ht="15.75" hidden="1" customHeight="1" outlineLevel="1">
      <c r="A419" s="916"/>
      <c r="B419" s="1123"/>
      <c r="C419" s="1127"/>
      <c r="D419" s="1125"/>
      <c r="E419" s="1125"/>
      <c r="F419" s="1130"/>
      <c r="G419" s="95"/>
      <c r="H419" s="90"/>
      <c r="I419" s="1125"/>
      <c r="J419" s="1134"/>
      <c r="K419" s="1134"/>
      <c r="L419" s="916"/>
    </row>
    <row r="420" spans="1:12" s="103" customFormat="1" ht="15.75" hidden="1" customHeight="1" outlineLevel="1">
      <c r="A420" s="916"/>
      <c r="B420" s="1124"/>
      <c r="C420" s="1128"/>
      <c r="D420" s="1126"/>
      <c r="E420" s="1126"/>
      <c r="F420" s="1132"/>
      <c r="G420" s="100"/>
      <c r="H420" s="98"/>
      <c r="I420" s="1126"/>
      <c r="J420" s="1135"/>
      <c r="K420" s="1135"/>
      <c r="L420" s="916"/>
    </row>
    <row r="421" spans="1:12" s="103" customFormat="1" ht="15.75" hidden="1" customHeight="1" outlineLevel="1">
      <c r="A421" s="916"/>
      <c r="B421" s="1123">
        <v>137</v>
      </c>
      <c r="C421" s="1127"/>
      <c r="D421" s="1125"/>
      <c r="E421" s="1125" t="s">
        <v>18</v>
      </c>
      <c r="F421" s="1130" t="str">
        <f>VLOOKUP(E421,$N$13:$O$17,2,0)</f>
        <v>-</v>
      </c>
      <c r="G421" s="92"/>
      <c r="H421" s="90"/>
      <c r="I421" s="1125"/>
      <c r="J421" s="1133"/>
      <c r="K421" s="1133"/>
      <c r="L421" s="916"/>
    </row>
    <row r="422" spans="1:12" s="103" customFormat="1" ht="15.75" hidden="1" customHeight="1" outlineLevel="1">
      <c r="A422" s="916"/>
      <c r="B422" s="1123"/>
      <c r="C422" s="1127"/>
      <c r="D422" s="1125"/>
      <c r="E422" s="1125"/>
      <c r="F422" s="1130"/>
      <c r="G422" s="95"/>
      <c r="H422" s="90"/>
      <c r="I422" s="1125"/>
      <c r="J422" s="1134"/>
      <c r="K422" s="1134"/>
      <c r="L422" s="916"/>
    </row>
    <row r="423" spans="1:12" s="103" customFormat="1" ht="15.75" hidden="1" customHeight="1" outlineLevel="1">
      <c r="A423" s="916"/>
      <c r="B423" s="1124"/>
      <c r="C423" s="1128"/>
      <c r="D423" s="1126"/>
      <c r="E423" s="1126"/>
      <c r="F423" s="1132"/>
      <c r="G423" s="100"/>
      <c r="H423" s="98"/>
      <c r="I423" s="1126"/>
      <c r="J423" s="1135"/>
      <c r="K423" s="1135"/>
      <c r="L423" s="916"/>
    </row>
    <row r="424" spans="1:12" s="103" customFormat="1" ht="15.75" hidden="1" customHeight="1" outlineLevel="1">
      <c r="A424" s="916"/>
      <c r="B424" s="1123">
        <v>138</v>
      </c>
      <c r="C424" s="1127"/>
      <c r="D424" s="1125"/>
      <c r="E424" s="1125" t="s">
        <v>18</v>
      </c>
      <c r="F424" s="1130" t="str">
        <f>VLOOKUP(E424,$N$13:$O$17,2,0)</f>
        <v>-</v>
      </c>
      <c r="G424" s="92"/>
      <c r="H424" s="90"/>
      <c r="I424" s="1125"/>
      <c r="J424" s="1133"/>
      <c r="K424" s="1133"/>
      <c r="L424" s="916"/>
    </row>
    <row r="425" spans="1:12" s="103" customFormat="1" ht="15.75" hidden="1" customHeight="1" outlineLevel="1">
      <c r="A425" s="916"/>
      <c r="B425" s="1123"/>
      <c r="C425" s="1127"/>
      <c r="D425" s="1125"/>
      <c r="E425" s="1125"/>
      <c r="F425" s="1130"/>
      <c r="G425" s="95"/>
      <c r="H425" s="90"/>
      <c r="I425" s="1125"/>
      <c r="J425" s="1134"/>
      <c r="K425" s="1134"/>
      <c r="L425" s="916"/>
    </row>
    <row r="426" spans="1:12" s="103" customFormat="1" ht="15.75" hidden="1" customHeight="1" outlineLevel="1">
      <c r="A426" s="916"/>
      <c r="B426" s="1124"/>
      <c r="C426" s="1128"/>
      <c r="D426" s="1126"/>
      <c r="E426" s="1126"/>
      <c r="F426" s="1132"/>
      <c r="G426" s="100"/>
      <c r="H426" s="98"/>
      <c r="I426" s="1126"/>
      <c r="J426" s="1135"/>
      <c r="K426" s="1135"/>
      <c r="L426" s="916"/>
    </row>
    <row r="427" spans="1:12" s="103" customFormat="1" ht="15.75" hidden="1" customHeight="1" outlineLevel="1">
      <c r="A427" s="916"/>
      <c r="B427" s="1123">
        <v>139</v>
      </c>
      <c r="C427" s="1127"/>
      <c r="D427" s="1125"/>
      <c r="E427" s="1125" t="s">
        <v>18</v>
      </c>
      <c r="F427" s="1130" t="str">
        <f>VLOOKUP(E427,$N$13:$O$17,2,0)</f>
        <v>-</v>
      </c>
      <c r="G427" s="92"/>
      <c r="H427" s="90"/>
      <c r="I427" s="1125"/>
      <c r="J427" s="1133"/>
      <c r="K427" s="1133"/>
      <c r="L427" s="916"/>
    </row>
    <row r="428" spans="1:12" s="103" customFormat="1" ht="15.75" hidden="1" customHeight="1" outlineLevel="1">
      <c r="A428" s="916"/>
      <c r="B428" s="1123"/>
      <c r="C428" s="1127"/>
      <c r="D428" s="1125"/>
      <c r="E428" s="1125"/>
      <c r="F428" s="1130"/>
      <c r="G428" s="95"/>
      <c r="H428" s="90"/>
      <c r="I428" s="1125"/>
      <c r="J428" s="1134"/>
      <c r="K428" s="1134"/>
      <c r="L428" s="916"/>
    </row>
    <row r="429" spans="1:12" s="103" customFormat="1" ht="15.75" hidden="1" customHeight="1" outlineLevel="1">
      <c r="A429" s="916"/>
      <c r="B429" s="1124"/>
      <c r="C429" s="1128"/>
      <c r="D429" s="1126"/>
      <c r="E429" s="1126"/>
      <c r="F429" s="1132"/>
      <c r="G429" s="100"/>
      <c r="H429" s="98"/>
      <c r="I429" s="1126"/>
      <c r="J429" s="1135"/>
      <c r="K429" s="1135"/>
      <c r="L429" s="916"/>
    </row>
    <row r="430" spans="1:12" s="103" customFormat="1" ht="15.75" hidden="1" customHeight="1" outlineLevel="1">
      <c r="A430" s="916"/>
      <c r="B430" s="1123">
        <v>140</v>
      </c>
      <c r="C430" s="1127"/>
      <c r="D430" s="1125"/>
      <c r="E430" s="1125" t="s">
        <v>18</v>
      </c>
      <c r="F430" s="1130" t="str">
        <f>VLOOKUP(E430,$N$13:$O$17,2,0)</f>
        <v>-</v>
      </c>
      <c r="G430" s="92"/>
      <c r="H430" s="90"/>
      <c r="I430" s="1125"/>
      <c r="J430" s="1133"/>
      <c r="K430" s="1133"/>
      <c r="L430" s="916"/>
    </row>
    <row r="431" spans="1:12" s="103" customFormat="1" ht="15.75" hidden="1" customHeight="1" outlineLevel="1">
      <c r="A431" s="916"/>
      <c r="B431" s="1123"/>
      <c r="C431" s="1127"/>
      <c r="D431" s="1125"/>
      <c r="E431" s="1125"/>
      <c r="F431" s="1130"/>
      <c r="G431" s="95"/>
      <c r="H431" s="90"/>
      <c r="I431" s="1125"/>
      <c r="J431" s="1134"/>
      <c r="K431" s="1134"/>
      <c r="L431" s="916"/>
    </row>
    <row r="432" spans="1:12" s="103" customFormat="1" ht="15.75" hidden="1" customHeight="1" outlineLevel="1">
      <c r="A432" s="916"/>
      <c r="B432" s="1124"/>
      <c r="C432" s="1128"/>
      <c r="D432" s="1126"/>
      <c r="E432" s="1126"/>
      <c r="F432" s="1132"/>
      <c r="G432" s="100"/>
      <c r="H432" s="98"/>
      <c r="I432" s="1126"/>
      <c r="J432" s="1135"/>
      <c r="K432" s="1135"/>
      <c r="L432" s="916"/>
    </row>
    <row r="433" spans="1:12" s="103" customFormat="1" ht="15.75" hidden="1" customHeight="1" outlineLevel="1">
      <c r="A433" s="916"/>
      <c r="B433" s="1123">
        <v>141</v>
      </c>
      <c r="C433" s="1127"/>
      <c r="D433" s="1125"/>
      <c r="E433" s="1125" t="s">
        <v>18</v>
      </c>
      <c r="F433" s="1130" t="str">
        <f>VLOOKUP(E433,$N$13:$O$17,2,0)</f>
        <v>-</v>
      </c>
      <c r="G433" s="92"/>
      <c r="H433" s="90"/>
      <c r="I433" s="1125"/>
      <c r="J433" s="1133"/>
      <c r="K433" s="1133"/>
      <c r="L433" s="916"/>
    </row>
    <row r="434" spans="1:12" s="103" customFormat="1" ht="15.75" hidden="1" customHeight="1" outlineLevel="1">
      <c r="A434" s="916"/>
      <c r="B434" s="1123"/>
      <c r="C434" s="1127"/>
      <c r="D434" s="1125"/>
      <c r="E434" s="1125"/>
      <c r="F434" s="1130"/>
      <c r="G434" s="95"/>
      <c r="H434" s="90"/>
      <c r="I434" s="1125"/>
      <c r="J434" s="1134"/>
      <c r="K434" s="1134"/>
      <c r="L434" s="916"/>
    </row>
    <row r="435" spans="1:12" s="103" customFormat="1" ht="15.75" hidden="1" customHeight="1" outlineLevel="1">
      <c r="A435" s="916"/>
      <c r="B435" s="1124"/>
      <c r="C435" s="1128"/>
      <c r="D435" s="1126"/>
      <c r="E435" s="1126"/>
      <c r="F435" s="1132"/>
      <c r="G435" s="100"/>
      <c r="H435" s="98"/>
      <c r="I435" s="1126"/>
      <c r="J435" s="1135"/>
      <c r="K435" s="1135"/>
      <c r="L435" s="916"/>
    </row>
    <row r="436" spans="1:12" s="103" customFormat="1" ht="15.75" hidden="1" customHeight="1" outlineLevel="1">
      <c r="A436" s="916"/>
      <c r="B436" s="1123">
        <v>142</v>
      </c>
      <c r="C436" s="1127"/>
      <c r="D436" s="1125"/>
      <c r="E436" s="1125" t="s">
        <v>18</v>
      </c>
      <c r="F436" s="1130" t="str">
        <f>VLOOKUP(E436,$N$13:$O$17,2,0)</f>
        <v>-</v>
      </c>
      <c r="G436" s="92"/>
      <c r="H436" s="90"/>
      <c r="I436" s="1125"/>
      <c r="J436" s="1133"/>
      <c r="K436" s="1133"/>
      <c r="L436" s="916"/>
    </row>
    <row r="437" spans="1:12" s="103" customFormat="1" ht="15.75" hidden="1" customHeight="1" outlineLevel="1">
      <c r="A437" s="916"/>
      <c r="B437" s="1123"/>
      <c r="C437" s="1127"/>
      <c r="D437" s="1125"/>
      <c r="E437" s="1125"/>
      <c r="F437" s="1130"/>
      <c r="G437" s="95"/>
      <c r="H437" s="90"/>
      <c r="I437" s="1125"/>
      <c r="J437" s="1134"/>
      <c r="K437" s="1134"/>
      <c r="L437" s="916"/>
    </row>
    <row r="438" spans="1:12" s="103" customFormat="1" ht="15.75" hidden="1" customHeight="1" outlineLevel="1">
      <c r="A438" s="916"/>
      <c r="B438" s="1124"/>
      <c r="C438" s="1128"/>
      <c r="D438" s="1126"/>
      <c r="E438" s="1126"/>
      <c r="F438" s="1132"/>
      <c r="G438" s="100"/>
      <c r="H438" s="98"/>
      <c r="I438" s="1126"/>
      <c r="J438" s="1135"/>
      <c r="K438" s="1135"/>
      <c r="L438" s="916"/>
    </row>
    <row r="439" spans="1:12" s="103" customFormat="1" ht="15.75" hidden="1" customHeight="1" outlineLevel="1">
      <c r="A439" s="916"/>
      <c r="B439" s="1123">
        <v>143</v>
      </c>
      <c r="C439" s="1127"/>
      <c r="D439" s="1125"/>
      <c r="E439" s="1125" t="s">
        <v>18</v>
      </c>
      <c r="F439" s="1130" t="str">
        <f>VLOOKUP(E439,$N$13:$O$17,2,0)</f>
        <v>-</v>
      </c>
      <c r="G439" s="92"/>
      <c r="H439" s="90"/>
      <c r="I439" s="1125"/>
      <c r="J439" s="1133"/>
      <c r="K439" s="1133"/>
      <c r="L439" s="916"/>
    </row>
    <row r="440" spans="1:12" s="103" customFormat="1" ht="15.75" hidden="1" customHeight="1" outlineLevel="1">
      <c r="A440" s="916"/>
      <c r="B440" s="1123"/>
      <c r="C440" s="1127"/>
      <c r="D440" s="1125"/>
      <c r="E440" s="1125"/>
      <c r="F440" s="1130"/>
      <c r="G440" s="95"/>
      <c r="H440" s="90"/>
      <c r="I440" s="1125"/>
      <c r="J440" s="1134"/>
      <c r="K440" s="1134"/>
      <c r="L440" s="916"/>
    </row>
    <row r="441" spans="1:12" s="103" customFormat="1" ht="15.75" hidden="1" customHeight="1" outlineLevel="1">
      <c r="A441" s="916"/>
      <c r="B441" s="1124"/>
      <c r="C441" s="1128"/>
      <c r="D441" s="1126"/>
      <c r="E441" s="1126"/>
      <c r="F441" s="1132"/>
      <c r="G441" s="100"/>
      <c r="H441" s="98"/>
      <c r="I441" s="1126"/>
      <c r="J441" s="1135"/>
      <c r="K441" s="1135"/>
      <c r="L441" s="916"/>
    </row>
    <row r="442" spans="1:12" s="103" customFormat="1" ht="15.75" hidden="1" customHeight="1" outlineLevel="1">
      <c r="A442" s="916"/>
      <c r="B442" s="1123">
        <v>144</v>
      </c>
      <c r="C442" s="1127"/>
      <c r="D442" s="1125"/>
      <c r="E442" s="1125" t="s">
        <v>18</v>
      </c>
      <c r="F442" s="1130" t="str">
        <f>VLOOKUP(E442,$N$13:$O$17,2,0)</f>
        <v>-</v>
      </c>
      <c r="G442" s="92"/>
      <c r="H442" s="90"/>
      <c r="I442" s="1125"/>
      <c r="J442" s="1133"/>
      <c r="K442" s="1133"/>
      <c r="L442" s="916"/>
    </row>
    <row r="443" spans="1:12" s="103" customFormat="1" ht="15.75" hidden="1" customHeight="1" outlineLevel="1">
      <c r="A443" s="916"/>
      <c r="B443" s="1123"/>
      <c r="C443" s="1127"/>
      <c r="D443" s="1125"/>
      <c r="E443" s="1125"/>
      <c r="F443" s="1130"/>
      <c r="G443" s="95"/>
      <c r="H443" s="90"/>
      <c r="I443" s="1125"/>
      <c r="J443" s="1134"/>
      <c r="K443" s="1134"/>
      <c r="L443" s="916"/>
    </row>
    <row r="444" spans="1:12" s="103" customFormat="1" ht="15.75" hidden="1" customHeight="1" outlineLevel="1">
      <c r="A444" s="916"/>
      <c r="B444" s="1124"/>
      <c r="C444" s="1128"/>
      <c r="D444" s="1126"/>
      <c r="E444" s="1126"/>
      <c r="F444" s="1132"/>
      <c r="G444" s="100"/>
      <c r="H444" s="98"/>
      <c r="I444" s="1126"/>
      <c r="J444" s="1135"/>
      <c r="K444" s="1135"/>
      <c r="L444" s="916"/>
    </row>
    <row r="445" spans="1:12" s="103" customFormat="1" ht="15.75" hidden="1" customHeight="1" outlineLevel="1">
      <c r="A445" s="916"/>
      <c r="B445" s="1123">
        <v>145</v>
      </c>
      <c r="C445" s="1127"/>
      <c r="D445" s="1125"/>
      <c r="E445" s="1125" t="s">
        <v>18</v>
      </c>
      <c r="F445" s="1130" t="str">
        <f>VLOOKUP(E445,$N$13:$O$17,2,0)</f>
        <v>-</v>
      </c>
      <c r="G445" s="92"/>
      <c r="H445" s="90"/>
      <c r="I445" s="1125"/>
      <c r="J445" s="1133"/>
      <c r="K445" s="1133"/>
      <c r="L445" s="916"/>
    </row>
    <row r="446" spans="1:12" s="103" customFormat="1" ht="15.75" hidden="1" customHeight="1" outlineLevel="1">
      <c r="A446" s="916"/>
      <c r="B446" s="1123"/>
      <c r="C446" s="1127"/>
      <c r="D446" s="1125"/>
      <c r="E446" s="1125"/>
      <c r="F446" s="1130"/>
      <c r="G446" s="95"/>
      <c r="H446" s="90"/>
      <c r="I446" s="1125"/>
      <c r="J446" s="1134"/>
      <c r="K446" s="1134"/>
      <c r="L446" s="916"/>
    </row>
    <row r="447" spans="1:12" s="103" customFormat="1" ht="15.75" hidden="1" customHeight="1" outlineLevel="1">
      <c r="A447" s="916"/>
      <c r="B447" s="1124"/>
      <c r="C447" s="1128"/>
      <c r="D447" s="1126"/>
      <c r="E447" s="1126"/>
      <c r="F447" s="1132"/>
      <c r="G447" s="100"/>
      <c r="H447" s="98"/>
      <c r="I447" s="1126"/>
      <c r="J447" s="1135"/>
      <c r="K447" s="1135"/>
      <c r="L447" s="916"/>
    </row>
    <row r="448" spans="1:12" s="103" customFormat="1" ht="15.75" hidden="1" customHeight="1" outlineLevel="1">
      <c r="A448" s="916"/>
      <c r="B448" s="1123">
        <v>146</v>
      </c>
      <c r="C448" s="1127"/>
      <c r="D448" s="1125"/>
      <c r="E448" s="1125" t="s">
        <v>18</v>
      </c>
      <c r="F448" s="1130" t="str">
        <f>VLOOKUP(E448,$N$13:$O$17,2,0)</f>
        <v>-</v>
      </c>
      <c r="G448" s="92"/>
      <c r="H448" s="90"/>
      <c r="I448" s="1125"/>
      <c r="J448" s="1133"/>
      <c r="K448" s="1133"/>
      <c r="L448" s="916"/>
    </row>
    <row r="449" spans="1:12" s="103" customFormat="1" ht="15.75" hidden="1" customHeight="1" outlineLevel="1">
      <c r="A449" s="916"/>
      <c r="B449" s="1123"/>
      <c r="C449" s="1127"/>
      <c r="D449" s="1125"/>
      <c r="E449" s="1125"/>
      <c r="F449" s="1130"/>
      <c r="G449" s="95"/>
      <c r="H449" s="90"/>
      <c r="I449" s="1125"/>
      <c r="J449" s="1134"/>
      <c r="K449" s="1134"/>
      <c r="L449" s="916"/>
    </row>
    <row r="450" spans="1:12" s="103" customFormat="1" ht="15.75" hidden="1" customHeight="1" outlineLevel="1">
      <c r="A450" s="916"/>
      <c r="B450" s="1124"/>
      <c r="C450" s="1128"/>
      <c r="D450" s="1126"/>
      <c r="E450" s="1126"/>
      <c r="F450" s="1132"/>
      <c r="G450" s="100"/>
      <c r="H450" s="98"/>
      <c r="I450" s="1126"/>
      <c r="J450" s="1135"/>
      <c r="K450" s="1135"/>
      <c r="L450" s="916"/>
    </row>
    <row r="451" spans="1:12" s="103" customFormat="1" ht="15.75" hidden="1" customHeight="1" outlineLevel="1">
      <c r="A451" s="916"/>
      <c r="B451" s="1123">
        <v>147</v>
      </c>
      <c r="C451" s="1127"/>
      <c r="D451" s="1125"/>
      <c r="E451" s="1125" t="s">
        <v>18</v>
      </c>
      <c r="F451" s="1130" t="str">
        <f>VLOOKUP(E451,$N$13:$O$17,2,0)</f>
        <v>-</v>
      </c>
      <c r="G451" s="92"/>
      <c r="H451" s="90"/>
      <c r="I451" s="1125"/>
      <c r="J451" s="1133"/>
      <c r="K451" s="1133"/>
      <c r="L451" s="916"/>
    </row>
    <row r="452" spans="1:12" s="103" customFormat="1" ht="15.75" hidden="1" customHeight="1" outlineLevel="1">
      <c r="A452" s="916"/>
      <c r="B452" s="1123"/>
      <c r="C452" s="1127"/>
      <c r="D452" s="1125"/>
      <c r="E452" s="1125"/>
      <c r="F452" s="1130"/>
      <c r="G452" s="95"/>
      <c r="H452" s="90"/>
      <c r="I452" s="1125"/>
      <c r="J452" s="1134"/>
      <c r="K452" s="1134"/>
      <c r="L452" s="916"/>
    </row>
    <row r="453" spans="1:12" s="103" customFormat="1" ht="15.75" hidden="1" customHeight="1" outlineLevel="1">
      <c r="A453" s="916"/>
      <c r="B453" s="1124"/>
      <c r="C453" s="1128"/>
      <c r="D453" s="1126"/>
      <c r="E453" s="1126"/>
      <c r="F453" s="1132"/>
      <c r="G453" s="100"/>
      <c r="H453" s="98"/>
      <c r="I453" s="1126"/>
      <c r="J453" s="1135"/>
      <c r="K453" s="1135"/>
      <c r="L453" s="916"/>
    </row>
    <row r="454" spans="1:12" s="103" customFormat="1" ht="15.75" hidden="1" customHeight="1" outlineLevel="1">
      <c r="A454" s="916"/>
      <c r="B454" s="1123">
        <v>148</v>
      </c>
      <c r="C454" s="1127"/>
      <c r="D454" s="1125"/>
      <c r="E454" s="1125" t="s">
        <v>18</v>
      </c>
      <c r="F454" s="1130" t="str">
        <f>VLOOKUP(E454,$N$13:$O$17,2,0)</f>
        <v>-</v>
      </c>
      <c r="G454" s="92"/>
      <c r="H454" s="90"/>
      <c r="I454" s="1125"/>
      <c r="J454" s="1133"/>
      <c r="K454" s="1133"/>
      <c r="L454" s="916"/>
    </row>
    <row r="455" spans="1:12" s="103" customFormat="1" ht="15.75" hidden="1" customHeight="1" outlineLevel="1">
      <c r="A455" s="916"/>
      <c r="B455" s="1123"/>
      <c r="C455" s="1127"/>
      <c r="D455" s="1125"/>
      <c r="E455" s="1125"/>
      <c r="F455" s="1130"/>
      <c r="G455" s="95"/>
      <c r="H455" s="90"/>
      <c r="I455" s="1125"/>
      <c r="J455" s="1134"/>
      <c r="K455" s="1134"/>
      <c r="L455" s="916"/>
    </row>
    <row r="456" spans="1:12" s="103" customFormat="1" ht="15.75" hidden="1" customHeight="1" outlineLevel="1">
      <c r="A456" s="916"/>
      <c r="B456" s="1124"/>
      <c r="C456" s="1128"/>
      <c r="D456" s="1126"/>
      <c r="E456" s="1126"/>
      <c r="F456" s="1132"/>
      <c r="G456" s="100"/>
      <c r="H456" s="98"/>
      <c r="I456" s="1126"/>
      <c r="J456" s="1135"/>
      <c r="K456" s="1135"/>
      <c r="L456" s="916"/>
    </row>
    <row r="457" spans="1:12" s="103" customFormat="1" ht="15.75" hidden="1" customHeight="1" outlineLevel="1">
      <c r="A457" s="916"/>
      <c r="B457" s="1123">
        <v>149</v>
      </c>
      <c r="C457" s="1127"/>
      <c r="D457" s="1125"/>
      <c r="E457" s="1125" t="s">
        <v>18</v>
      </c>
      <c r="F457" s="1130" t="str">
        <f>VLOOKUP(E457,$N$13:$O$17,2,0)</f>
        <v>-</v>
      </c>
      <c r="G457" s="92"/>
      <c r="H457" s="90"/>
      <c r="I457" s="1125"/>
      <c r="J457" s="1133"/>
      <c r="K457" s="1133"/>
      <c r="L457" s="916"/>
    </row>
    <row r="458" spans="1:12" s="103" customFormat="1" ht="15.75" hidden="1" customHeight="1" outlineLevel="1">
      <c r="A458" s="916"/>
      <c r="B458" s="1123"/>
      <c r="C458" s="1127"/>
      <c r="D458" s="1125"/>
      <c r="E458" s="1125"/>
      <c r="F458" s="1130"/>
      <c r="G458" s="95"/>
      <c r="H458" s="90"/>
      <c r="I458" s="1125"/>
      <c r="J458" s="1134"/>
      <c r="K458" s="1134"/>
      <c r="L458" s="916"/>
    </row>
    <row r="459" spans="1:12" s="103" customFormat="1" ht="15.75" hidden="1" customHeight="1" outlineLevel="1">
      <c r="A459" s="916"/>
      <c r="B459" s="1124"/>
      <c r="C459" s="1128"/>
      <c r="D459" s="1126"/>
      <c r="E459" s="1126"/>
      <c r="F459" s="1132"/>
      <c r="G459" s="100"/>
      <c r="H459" s="98"/>
      <c r="I459" s="1126"/>
      <c r="J459" s="1135"/>
      <c r="K459" s="1135"/>
      <c r="L459" s="916"/>
    </row>
    <row r="460" spans="1:12" s="103" customFormat="1" ht="15.75" hidden="1" customHeight="1" outlineLevel="1">
      <c r="A460" s="916"/>
      <c r="B460" s="1123">
        <v>150</v>
      </c>
      <c r="C460" s="1127"/>
      <c r="D460" s="1125"/>
      <c r="E460" s="1125" t="s">
        <v>18</v>
      </c>
      <c r="F460" s="1130" t="str">
        <f>VLOOKUP(E460,$N$13:$O$17,2,0)</f>
        <v>-</v>
      </c>
      <c r="G460" s="92"/>
      <c r="H460" s="90"/>
      <c r="I460" s="1125"/>
      <c r="J460" s="1133"/>
      <c r="K460" s="1133"/>
      <c r="L460" s="916"/>
    </row>
    <row r="461" spans="1:12" s="103" customFormat="1" ht="15.75" hidden="1" customHeight="1" outlineLevel="1">
      <c r="A461" s="916"/>
      <c r="B461" s="1123"/>
      <c r="C461" s="1127"/>
      <c r="D461" s="1125"/>
      <c r="E461" s="1125"/>
      <c r="F461" s="1130"/>
      <c r="G461" s="95"/>
      <c r="H461" s="90"/>
      <c r="I461" s="1125"/>
      <c r="J461" s="1134"/>
      <c r="K461" s="1134"/>
      <c r="L461" s="916"/>
    </row>
    <row r="462" spans="1:12" s="103" customFormat="1" ht="15.75" hidden="1" customHeight="1" outlineLevel="1">
      <c r="A462" s="916"/>
      <c r="B462" s="1124"/>
      <c r="C462" s="1128"/>
      <c r="D462" s="1126"/>
      <c r="E462" s="1126"/>
      <c r="F462" s="1132"/>
      <c r="G462" s="100"/>
      <c r="H462" s="98"/>
      <c r="I462" s="1126"/>
      <c r="J462" s="1135"/>
      <c r="K462" s="1135"/>
      <c r="L462" s="916"/>
    </row>
    <row r="463" spans="1:12" s="103" customFormat="1" ht="15.75" hidden="1" customHeight="1" outlineLevel="1">
      <c r="A463" s="916"/>
      <c r="B463" s="1123">
        <v>151</v>
      </c>
      <c r="C463" s="1127"/>
      <c r="D463" s="1125"/>
      <c r="E463" s="1125" t="s">
        <v>18</v>
      </c>
      <c r="F463" s="1130" t="str">
        <f>VLOOKUP(E463,$N$13:$O$17,2,0)</f>
        <v>-</v>
      </c>
      <c r="G463" s="92"/>
      <c r="H463" s="90"/>
      <c r="I463" s="1125"/>
      <c r="J463" s="1133"/>
      <c r="K463" s="1133"/>
      <c r="L463" s="916"/>
    </row>
    <row r="464" spans="1:12" s="103" customFormat="1" ht="15.75" hidden="1" customHeight="1" outlineLevel="1">
      <c r="A464" s="916"/>
      <c r="B464" s="1123"/>
      <c r="C464" s="1127"/>
      <c r="D464" s="1125"/>
      <c r="E464" s="1125"/>
      <c r="F464" s="1130"/>
      <c r="G464" s="95"/>
      <c r="H464" s="90"/>
      <c r="I464" s="1125"/>
      <c r="J464" s="1134"/>
      <c r="K464" s="1134"/>
      <c r="L464" s="916"/>
    </row>
    <row r="465" spans="1:12" s="103" customFormat="1" ht="15.75" hidden="1" customHeight="1" outlineLevel="1">
      <c r="A465" s="916"/>
      <c r="B465" s="1124"/>
      <c r="C465" s="1128"/>
      <c r="D465" s="1126"/>
      <c r="E465" s="1126"/>
      <c r="F465" s="1132"/>
      <c r="G465" s="100"/>
      <c r="H465" s="98"/>
      <c r="I465" s="1126"/>
      <c r="J465" s="1135"/>
      <c r="K465" s="1135"/>
      <c r="L465" s="916"/>
    </row>
    <row r="466" spans="1:12" s="103" customFormat="1" ht="15.75" hidden="1" customHeight="1" outlineLevel="1">
      <c r="A466" s="916"/>
      <c r="B466" s="1123">
        <v>152</v>
      </c>
      <c r="C466" s="1127"/>
      <c r="D466" s="1125"/>
      <c r="E466" s="1125" t="s">
        <v>18</v>
      </c>
      <c r="F466" s="1130" t="str">
        <f>VLOOKUP(E466,$N$13:$O$17,2,0)</f>
        <v>-</v>
      </c>
      <c r="G466" s="92"/>
      <c r="H466" s="90"/>
      <c r="I466" s="1125"/>
      <c r="J466" s="1133"/>
      <c r="K466" s="1133"/>
      <c r="L466" s="916"/>
    </row>
    <row r="467" spans="1:12" s="103" customFormat="1" ht="15.75" hidden="1" customHeight="1" outlineLevel="1">
      <c r="A467" s="916"/>
      <c r="B467" s="1123"/>
      <c r="C467" s="1127"/>
      <c r="D467" s="1125"/>
      <c r="E467" s="1125"/>
      <c r="F467" s="1130"/>
      <c r="G467" s="95"/>
      <c r="H467" s="90"/>
      <c r="I467" s="1125"/>
      <c r="J467" s="1134"/>
      <c r="K467" s="1134"/>
      <c r="L467" s="916"/>
    </row>
    <row r="468" spans="1:12" s="103" customFormat="1" ht="15.75" hidden="1" customHeight="1" outlineLevel="1">
      <c r="A468" s="916"/>
      <c r="B468" s="1124"/>
      <c r="C468" s="1128"/>
      <c r="D468" s="1126"/>
      <c r="E468" s="1126"/>
      <c r="F468" s="1132"/>
      <c r="G468" s="100"/>
      <c r="H468" s="98"/>
      <c r="I468" s="1126"/>
      <c r="J468" s="1135"/>
      <c r="K468" s="1135"/>
      <c r="L468" s="916"/>
    </row>
    <row r="469" spans="1:12" s="103" customFormat="1" ht="15.75" hidden="1" customHeight="1" outlineLevel="1">
      <c r="A469" s="916"/>
      <c r="B469" s="1123">
        <v>153</v>
      </c>
      <c r="C469" s="1127"/>
      <c r="D469" s="1125"/>
      <c r="E469" s="1125" t="s">
        <v>18</v>
      </c>
      <c r="F469" s="1130" t="str">
        <f>VLOOKUP(E469,$N$13:$O$17,2,0)</f>
        <v>-</v>
      </c>
      <c r="G469" s="92"/>
      <c r="H469" s="90"/>
      <c r="I469" s="1125"/>
      <c r="J469" s="1133"/>
      <c r="K469" s="1133"/>
      <c r="L469" s="916"/>
    </row>
    <row r="470" spans="1:12" s="103" customFormat="1" ht="15.75" hidden="1" customHeight="1" outlineLevel="1">
      <c r="A470" s="916"/>
      <c r="B470" s="1123"/>
      <c r="C470" s="1127"/>
      <c r="D470" s="1125"/>
      <c r="E470" s="1125"/>
      <c r="F470" s="1130"/>
      <c r="G470" s="95"/>
      <c r="H470" s="90"/>
      <c r="I470" s="1125"/>
      <c r="J470" s="1134"/>
      <c r="K470" s="1134"/>
      <c r="L470" s="916"/>
    </row>
    <row r="471" spans="1:12" s="103" customFormat="1" ht="15.75" hidden="1" customHeight="1" outlineLevel="1">
      <c r="A471" s="916"/>
      <c r="B471" s="1124"/>
      <c r="C471" s="1128"/>
      <c r="D471" s="1126"/>
      <c r="E471" s="1126"/>
      <c r="F471" s="1132"/>
      <c r="G471" s="100"/>
      <c r="H471" s="98"/>
      <c r="I471" s="1126"/>
      <c r="J471" s="1135"/>
      <c r="K471" s="1135"/>
      <c r="L471" s="916"/>
    </row>
    <row r="472" spans="1:12" s="103" customFormat="1" ht="15.75" hidden="1" customHeight="1" outlineLevel="1">
      <c r="A472" s="916"/>
      <c r="B472" s="1123">
        <v>154</v>
      </c>
      <c r="C472" s="1127"/>
      <c r="D472" s="1125"/>
      <c r="E472" s="1125" t="s">
        <v>18</v>
      </c>
      <c r="F472" s="1130" t="str">
        <f>VLOOKUP(E472,$N$13:$O$17,2,0)</f>
        <v>-</v>
      </c>
      <c r="G472" s="92"/>
      <c r="H472" s="90"/>
      <c r="I472" s="1125"/>
      <c r="J472" s="1133"/>
      <c r="K472" s="1133"/>
      <c r="L472" s="916"/>
    </row>
    <row r="473" spans="1:12" s="103" customFormat="1" ht="15.75" hidden="1" customHeight="1" outlineLevel="1">
      <c r="A473" s="916"/>
      <c r="B473" s="1123"/>
      <c r="C473" s="1127"/>
      <c r="D473" s="1125"/>
      <c r="E473" s="1125"/>
      <c r="F473" s="1130"/>
      <c r="G473" s="95"/>
      <c r="H473" s="90"/>
      <c r="I473" s="1125"/>
      <c r="J473" s="1134"/>
      <c r="K473" s="1134"/>
      <c r="L473" s="916"/>
    </row>
    <row r="474" spans="1:12" s="103" customFormat="1" ht="15.75" hidden="1" customHeight="1" outlineLevel="1">
      <c r="A474" s="916"/>
      <c r="B474" s="1124"/>
      <c r="C474" s="1128"/>
      <c r="D474" s="1126"/>
      <c r="E474" s="1126"/>
      <c r="F474" s="1132"/>
      <c r="G474" s="100"/>
      <c r="H474" s="98"/>
      <c r="I474" s="1126"/>
      <c r="J474" s="1135"/>
      <c r="K474" s="1135"/>
      <c r="L474" s="916"/>
    </row>
    <row r="475" spans="1:12" s="103" customFormat="1" ht="15.75" hidden="1" customHeight="1" outlineLevel="1">
      <c r="A475" s="916"/>
      <c r="B475" s="1123">
        <v>155</v>
      </c>
      <c r="C475" s="1127"/>
      <c r="D475" s="1125"/>
      <c r="E475" s="1125" t="s">
        <v>18</v>
      </c>
      <c r="F475" s="1130" t="str">
        <f>VLOOKUP(E475,$N$13:$O$17,2,0)</f>
        <v>-</v>
      </c>
      <c r="G475" s="92"/>
      <c r="H475" s="90"/>
      <c r="I475" s="1125"/>
      <c r="J475" s="1133"/>
      <c r="K475" s="1133"/>
      <c r="L475" s="916"/>
    </row>
    <row r="476" spans="1:12" s="103" customFormat="1" ht="15.75" hidden="1" customHeight="1" outlineLevel="1">
      <c r="A476" s="916"/>
      <c r="B476" s="1123"/>
      <c r="C476" s="1127"/>
      <c r="D476" s="1125"/>
      <c r="E476" s="1125"/>
      <c r="F476" s="1130"/>
      <c r="G476" s="95"/>
      <c r="H476" s="90"/>
      <c r="I476" s="1125"/>
      <c r="J476" s="1134"/>
      <c r="K476" s="1134"/>
      <c r="L476" s="916"/>
    </row>
    <row r="477" spans="1:12" s="103" customFormat="1" ht="15.75" hidden="1" customHeight="1" outlineLevel="1">
      <c r="A477" s="916"/>
      <c r="B477" s="1124"/>
      <c r="C477" s="1128"/>
      <c r="D477" s="1126"/>
      <c r="E477" s="1126"/>
      <c r="F477" s="1132"/>
      <c r="G477" s="100"/>
      <c r="H477" s="98"/>
      <c r="I477" s="1126"/>
      <c r="J477" s="1135"/>
      <c r="K477" s="1135"/>
      <c r="L477" s="916"/>
    </row>
    <row r="478" spans="1:12" s="103" customFormat="1" ht="15.75" hidden="1" customHeight="1" outlineLevel="1">
      <c r="A478" s="916"/>
      <c r="B478" s="1123">
        <v>156</v>
      </c>
      <c r="C478" s="1127"/>
      <c r="D478" s="1125"/>
      <c r="E478" s="1125" t="s">
        <v>18</v>
      </c>
      <c r="F478" s="1130" t="str">
        <f>VLOOKUP(E478,$N$13:$O$17,2,0)</f>
        <v>-</v>
      </c>
      <c r="G478" s="92"/>
      <c r="H478" s="90"/>
      <c r="I478" s="1125"/>
      <c r="J478" s="1133"/>
      <c r="K478" s="1133"/>
      <c r="L478" s="916"/>
    </row>
    <row r="479" spans="1:12" s="103" customFormat="1" ht="15.75" hidden="1" customHeight="1" outlineLevel="1">
      <c r="A479" s="916"/>
      <c r="B479" s="1123"/>
      <c r="C479" s="1127"/>
      <c r="D479" s="1125"/>
      <c r="E479" s="1125"/>
      <c r="F479" s="1130"/>
      <c r="G479" s="95"/>
      <c r="H479" s="90"/>
      <c r="I479" s="1125"/>
      <c r="J479" s="1134"/>
      <c r="K479" s="1134"/>
      <c r="L479" s="916"/>
    </row>
    <row r="480" spans="1:12" s="103" customFormat="1" ht="15.75" hidden="1" customHeight="1" outlineLevel="1">
      <c r="A480" s="916"/>
      <c r="B480" s="1124"/>
      <c r="C480" s="1128"/>
      <c r="D480" s="1126"/>
      <c r="E480" s="1126"/>
      <c r="F480" s="1132"/>
      <c r="G480" s="100"/>
      <c r="H480" s="98"/>
      <c r="I480" s="1126"/>
      <c r="J480" s="1135"/>
      <c r="K480" s="1135"/>
      <c r="L480" s="916"/>
    </row>
    <row r="481" spans="1:12" s="103" customFormat="1" ht="15.75" hidden="1" customHeight="1" outlineLevel="1">
      <c r="A481" s="916"/>
      <c r="B481" s="1123">
        <v>157</v>
      </c>
      <c r="C481" s="1127"/>
      <c r="D481" s="1125"/>
      <c r="E481" s="1125" t="s">
        <v>18</v>
      </c>
      <c r="F481" s="1130" t="str">
        <f>VLOOKUP(E481,$N$13:$O$17,2,0)</f>
        <v>-</v>
      </c>
      <c r="G481" s="92"/>
      <c r="H481" s="90"/>
      <c r="I481" s="1125"/>
      <c r="J481" s="1133"/>
      <c r="K481" s="1133"/>
      <c r="L481" s="916"/>
    </row>
    <row r="482" spans="1:12" s="103" customFormat="1" ht="15.75" hidden="1" customHeight="1" outlineLevel="1">
      <c r="A482" s="916"/>
      <c r="B482" s="1123"/>
      <c r="C482" s="1127"/>
      <c r="D482" s="1125"/>
      <c r="E482" s="1125"/>
      <c r="F482" s="1130"/>
      <c r="G482" s="95"/>
      <c r="H482" s="90"/>
      <c r="I482" s="1125"/>
      <c r="J482" s="1134"/>
      <c r="K482" s="1134"/>
      <c r="L482" s="916"/>
    </row>
    <row r="483" spans="1:12" s="103" customFormat="1" ht="15.75" hidden="1" customHeight="1" outlineLevel="1">
      <c r="A483" s="916"/>
      <c r="B483" s="1124"/>
      <c r="C483" s="1128"/>
      <c r="D483" s="1126"/>
      <c r="E483" s="1126"/>
      <c r="F483" s="1132"/>
      <c r="G483" s="100"/>
      <c r="H483" s="98"/>
      <c r="I483" s="1126"/>
      <c r="J483" s="1135"/>
      <c r="K483" s="1135"/>
      <c r="L483" s="916"/>
    </row>
    <row r="484" spans="1:12" s="103" customFormat="1" ht="15.75" hidden="1" customHeight="1" outlineLevel="1">
      <c r="A484" s="916"/>
      <c r="B484" s="1123">
        <v>158</v>
      </c>
      <c r="C484" s="1127"/>
      <c r="D484" s="1125"/>
      <c r="E484" s="1125" t="s">
        <v>18</v>
      </c>
      <c r="F484" s="1130" t="str">
        <f>VLOOKUP(E484,$N$13:$O$17,2,0)</f>
        <v>-</v>
      </c>
      <c r="G484" s="92"/>
      <c r="H484" s="90"/>
      <c r="I484" s="1125"/>
      <c r="J484" s="1133"/>
      <c r="K484" s="1133"/>
      <c r="L484" s="916"/>
    </row>
    <row r="485" spans="1:12" s="103" customFormat="1" ht="15.75" hidden="1" customHeight="1" outlineLevel="1">
      <c r="A485" s="916"/>
      <c r="B485" s="1123"/>
      <c r="C485" s="1127"/>
      <c r="D485" s="1125"/>
      <c r="E485" s="1125"/>
      <c r="F485" s="1130"/>
      <c r="G485" s="95"/>
      <c r="H485" s="90"/>
      <c r="I485" s="1125"/>
      <c r="J485" s="1134"/>
      <c r="K485" s="1134"/>
      <c r="L485" s="916"/>
    </row>
    <row r="486" spans="1:12" s="103" customFormat="1" ht="15.75" hidden="1" customHeight="1" outlineLevel="1">
      <c r="A486" s="916"/>
      <c r="B486" s="1124"/>
      <c r="C486" s="1128"/>
      <c r="D486" s="1126"/>
      <c r="E486" s="1126"/>
      <c r="F486" s="1132"/>
      <c r="G486" s="100"/>
      <c r="H486" s="98"/>
      <c r="I486" s="1126"/>
      <c r="J486" s="1135"/>
      <c r="K486" s="1135"/>
      <c r="L486" s="916"/>
    </row>
    <row r="487" spans="1:12" s="103" customFormat="1" ht="15.75" hidden="1" customHeight="1" outlineLevel="1">
      <c r="A487" s="916"/>
      <c r="B487" s="1123">
        <v>159</v>
      </c>
      <c r="C487" s="1127"/>
      <c r="D487" s="1125"/>
      <c r="E487" s="1125" t="s">
        <v>18</v>
      </c>
      <c r="F487" s="1130" t="str">
        <f>VLOOKUP(E487,$N$13:$O$17,2,0)</f>
        <v>-</v>
      </c>
      <c r="G487" s="92"/>
      <c r="H487" s="90"/>
      <c r="I487" s="1125"/>
      <c r="J487" s="1133"/>
      <c r="K487" s="1133"/>
      <c r="L487" s="916"/>
    </row>
    <row r="488" spans="1:12" s="103" customFormat="1" ht="15.75" hidden="1" customHeight="1" outlineLevel="1">
      <c r="A488" s="916"/>
      <c r="B488" s="1123"/>
      <c r="C488" s="1127"/>
      <c r="D488" s="1125"/>
      <c r="E488" s="1125"/>
      <c r="F488" s="1130"/>
      <c r="G488" s="95"/>
      <c r="H488" s="90"/>
      <c r="I488" s="1125"/>
      <c r="J488" s="1134"/>
      <c r="K488" s="1134"/>
      <c r="L488" s="916"/>
    </row>
    <row r="489" spans="1:12" s="103" customFormat="1" ht="15.75" hidden="1" customHeight="1" outlineLevel="1">
      <c r="A489" s="916"/>
      <c r="B489" s="1124"/>
      <c r="C489" s="1128"/>
      <c r="D489" s="1126"/>
      <c r="E489" s="1126"/>
      <c r="F489" s="1132"/>
      <c r="G489" s="100"/>
      <c r="H489" s="98"/>
      <c r="I489" s="1126"/>
      <c r="J489" s="1135"/>
      <c r="K489" s="1135"/>
      <c r="L489" s="916"/>
    </row>
    <row r="490" spans="1:12" s="103" customFormat="1" ht="15.75" hidden="1" customHeight="1" outlineLevel="1">
      <c r="A490" s="916"/>
      <c r="B490" s="1123">
        <v>160</v>
      </c>
      <c r="C490" s="1127"/>
      <c r="D490" s="1125"/>
      <c r="E490" s="1125" t="s">
        <v>18</v>
      </c>
      <c r="F490" s="1130" t="str">
        <f>VLOOKUP(E490,$N$13:$O$17,2,0)</f>
        <v>-</v>
      </c>
      <c r="G490" s="92"/>
      <c r="H490" s="90"/>
      <c r="I490" s="1125"/>
      <c r="J490" s="1133"/>
      <c r="K490" s="1133"/>
      <c r="L490" s="916"/>
    </row>
    <row r="491" spans="1:12" s="103" customFormat="1" ht="15.75" hidden="1" customHeight="1" outlineLevel="1">
      <c r="A491" s="916"/>
      <c r="B491" s="1123"/>
      <c r="C491" s="1127"/>
      <c r="D491" s="1125"/>
      <c r="E491" s="1125"/>
      <c r="F491" s="1130"/>
      <c r="G491" s="95"/>
      <c r="H491" s="90"/>
      <c r="I491" s="1125"/>
      <c r="J491" s="1134"/>
      <c r="K491" s="1134"/>
      <c r="L491" s="916"/>
    </row>
    <row r="492" spans="1:12" s="103" customFormat="1" ht="15.75" hidden="1" customHeight="1" outlineLevel="1">
      <c r="A492" s="916"/>
      <c r="B492" s="1124"/>
      <c r="C492" s="1128"/>
      <c r="D492" s="1126"/>
      <c r="E492" s="1126"/>
      <c r="F492" s="1132"/>
      <c r="G492" s="100"/>
      <c r="H492" s="98"/>
      <c r="I492" s="1126"/>
      <c r="J492" s="1135"/>
      <c r="K492" s="1135"/>
      <c r="L492" s="916"/>
    </row>
    <row r="493" spans="1:12" s="103" customFormat="1" ht="15.75" hidden="1" customHeight="1" outlineLevel="1">
      <c r="A493" s="916"/>
      <c r="B493" s="1123">
        <v>161</v>
      </c>
      <c r="C493" s="1127"/>
      <c r="D493" s="1125"/>
      <c r="E493" s="1125" t="s">
        <v>18</v>
      </c>
      <c r="F493" s="1130" t="str">
        <f>VLOOKUP(E493,$N$13:$O$17,2,0)</f>
        <v>-</v>
      </c>
      <c r="G493" s="92"/>
      <c r="H493" s="90"/>
      <c r="I493" s="1125"/>
      <c r="J493" s="1133"/>
      <c r="K493" s="1133"/>
      <c r="L493" s="916"/>
    </row>
    <row r="494" spans="1:12" s="103" customFormat="1" ht="15.75" hidden="1" customHeight="1" outlineLevel="1">
      <c r="A494" s="916"/>
      <c r="B494" s="1123"/>
      <c r="C494" s="1127"/>
      <c r="D494" s="1125"/>
      <c r="E494" s="1125"/>
      <c r="F494" s="1130"/>
      <c r="G494" s="95"/>
      <c r="H494" s="90"/>
      <c r="I494" s="1125"/>
      <c r="J494" s="1134"/>
      <c r="K494" s="1134"/>
      <c r="L494" s="916"/>
    </row>
    <row r="495" spans="1:12" s="103" customFormat="1" ht="15.75" hidden="1" customHeight="1" outlineLevel="1">
      <c r="A495" s="916"/>
      <c r="B495" s="1124"/>
      <c r="C495" s="1128"/>
      <c r="D495" s="1126"/>
      <c r="E495" s="1126"/>
      <c r="F495" s="1132"/>
      <c r="G495" s="100"/>
      <c r="H495" s="98"/>
      <c r="I495" s="1126"/>
      <c r="J495" s="1135"/>
      <c r="K495" s="1135"/>
      <c r="L495" s="916"/>
    </row>
    <row r="496" spans="1:12" s="103" customFormat="1" ht="15.75" hidden="1" customHeight="1" outlineLevel="1">
      <c r="A496" s="916"/>
      <c r="B496" s="1123">
        <v>162</v>
      </c>
      <c r="C496" s="1127"/>
      <c r="D496" s="1125"/>
      <c r="E496" s="1125" t="s">
        <v>18</v>
      </c>
      <c r="F496" s="1130" t="str">
        <f>VLOOKUP(E496,$N$13:$O$17,2,0)</f>
        <v>-</v>
      </c>
      <c r="G496" s="92"/>
      <c r="H496" s="90"/>
      <c r="I496" s="1125"/>
      <c r="J496" s="1133"/>
      <c r="K496" s="1133"/>
      <c r="L496" s="916"/>
    </row>
    <row r="497" spans="1:12" s="103" customFormat="1" ht="15.75" hidden="1" customHeight="1" outlineLevel="1">
      <c r="A497" s="916"/>
      <c r="B497" s="1123"/>
      <c r="C497" s="1127"/>
      <c r="D497" s="1125"/>
      <c r="E497" s="1125"/>
      <c r="F497" s="1130"/>
      <c r="G497" s="95"/>
      <c r="H497" s="90"/>
      <c r="I497" s="1125"/>
      <c r="J497" s="1134"/>
      <c r="K497" s="1134"/>
      <c r="L497" s="916"/>
    </row>
    <row r="498" spans="1:12" s="103" customFormat="1" ht="15.75" hidden="1" customHeight="1" outlineLevel="1">
      <c r="A498" s="916"/>
      <c r="B498" s="1124"/>
      <c r="C498" s="1128"/>
      <c r="D498" s="1126"/>
      <c r="E498" s="1126"/>
      <c r="F498" s="1132"/>
      <c r="G498" s="100"/>
      <c r="H498" s="98"/>
      <c r="I498" s="1126"/>
      <c r="J498" s="1135"/>
      <c r="K498" s="1135"/>
      <c r="L498" s="916"/>
    </row>
    <row r="499" spans="1:12" s="103" customFormat="1" ht="15.75" hidden="1" customHeight="1" outlineLevel="1">
      <c r="A499" s="916"/>
      <c r="B499" s="1123">
        <v>163</v>
      </c>
      <c r="C499" s="1127"/>
      <c r="D499" s="1125"/>
      <c r="E499" s="1125" t="s">
        <v>18</v>
      </c>
      <c r="F499" s="1130" t="str">
        <f>VLOOKUP(E499,$N$13:$O$17,2,0)</f>
        <v>-</v>
      </c>
      <c r="G499" s="92"/>
      <c r="H499" s="90"/>
      <c r="I499" s="1125"/>
      <c r="J499" s="1133"/>
      <c r="K499" s="1133"/>
      <c r="L499" s="916"/>
    </row>
    <row r="500" spans="1:12" s="103" customFormat="1" ht="15.75" hidden="1" customHeight="1" outlineLevel="1">
      <c r="A500" s="916"/>
      <c r="B500" s="1123"/>
      <c r="C500" s="1127"/>
      <c r="D500" s="1125"/>
      <c r="E500" s="1125"/>
      <c r="F500" s="1130"/>
      <c r="G500" s="95"/>
      <c r="H500" s="90"/>
      <c r="I500" s="1125"/>
      <c r="J500" s="1134"/>
      <c r="K500" s="1134"/>
      <c r="L500" s="916"/>
    </row>
    <row r="501" spans="1:12" s="103" customFormat="1" ht="15.75" hidden="1" customHeight="1" outlineLevel="1">
      <c r="A501" s="916"/>
      <c r="B501" s="1124"/>
      <c r="C501" s="1128"/>
      <c r="D501" s="1126"/>
      <c r="E501" s="1126"/>
      <c r="F501" s="1132"/>
      <c r="G501" s="100"/>
      <c r="H501" s="98"/>
      <c r="I501" s="1126"/>
      <c r="J501" s="1135"/>
      <c r="K501" s="1135"/>
      <c r="L501" s="916"/>
    </row>
    <row r="502" spans="1:12" s="103" customFormat="1" ht="15.75" hidden="1" customHeight="1" outlineLevel="1">
      <c r="A502" s="916"/>
      <c r="B502" s="1123">
        <v>164</v>
      </c>
      <c r="C502" s="1127"/>
      <c r="D502" s="1125"/>
      <c r="E502" s="1125" t="s">
        <v>18</v>
      </c>
      <c r="F502" s="1130" t="str">
        <f>VLOOKUP(E502,$N$13:$O$17,2,0)</f>
        <v>-</v>
      </c>
      <c r="G502" s="92"/>
      <c r="H502" s="90"/>
      <c r="I502" s="1125"/>
      <c r="J502" s="1133"/>
      <c r="K502" s="1133"/>
      <c r="L502" s="916"/>
    </row>
    <row r="503" spans="1:12" s="103" customFormat="1" ht="15.75" hidden="1" customHeight="1" outlineLevel="1">
      <c r="A503" s="916"/>
      <c r="B503" s="1123"/>
      <c r="C503" s="1127"/>
      <c r="D503" s="1125"/>
      <c r="E503" s="1125"/>
      <c r="F503" s="1130"/>
      <c r="G503" s="95"/>
      <c r="H503" s="90"/>
      <c r="I503" s="1125"/>
      <c r="J503" s="1134"/>
      <c r="K503" s="1134"/>
      <c r="L503" s="916"/>
    </row>
    <row r="504" spans="1:12" s="103" customFormat="1" ht="15.75" hidden="1" customHeight="1" outlineLevel="1">
      <c r="A504" s="916"/>
      <c r="B504" s="1124"/>
      <c r="C504" s="1128"/>
      <c r="D504" s="1126"/>
      <c r="E504" s="1126"/>
      <c r="F504" s="1132"/>
      <c r="G504" s="100"/>
      <c r="H504" s="98"/>
      <c r="I504" s="1126"/>
      <c r="J504" s="1135"/>
      <c r="K504" s="1135"/>
      <c r="L504" s="916"/>
    </row>
    <row r="505" spans="1:12" s="103" customFormat="1" ht="15.75" hidden="1" customHeight="1" outlineLevel="1">
      <c r="A505" s="916"/>
      <c r="B505" s="1123">
        <v>165</v>
      </c>
      <c r="C505" s="1127"/>
      <c r="D505" s="1125"/>
      <c r="E505" s="1125" t="s">
        <v>18</v>
      </c>
      <c r="F505" s="1130" t="str">
        <f>VLOOKUP(E505,$N$13:$O$17,2,0)</f>
        <v>-</v>
      </c>
      <c r="G505" s="92"/>
      <c r="H505" s="90"/>
      <c r="I505" s="1125"/>
      <c r="J505" s="1133"/>
      <c r="K505" s="1133"/>
      <c r="L505" s="916"/>
    </row>
    <row r="506" spans="1:12" s="103" customFormat="1" ht="15.75" hidden="1" customHeight="1" outlineLevel="1">
      <c r="A506" s="916"/>
      <c r="B506" s="1123"/>
      <c r="C506" s="1127"/>
      <c r="D506" s="1125"/>
      <c r="E506" s="1125"/>
      <c r="F506" s="1130"/>
      <c r="G506" s="95"/>
      <c r="H506" s="90"/>
      <c r="I506" s="1125"/>
      <c r="J506" s="1134"/>
      <c r="K506" s="1134"/>
      <c r="L506" s="916"/>
    </row>
    <row r="507" spans="1:12" s="103" customFormat="1" ht="15.75" hidden="1" customHeight="1" outlineLevel="1">
      <c r="A507" s="916"/>
      <c r="B507" s="1124"/>
      <c r="C507" s="1128"/>
      <c r="D507" s="1126"/>
      <c r="E507" s="1126"/>
      <c r="F507" s="1132"/>
      <c r="G507" s="100"/>
      <c r="H507" s="98"/>
      <c r="I507" s="1126"/>
      <c r="J507" s="1135"/>
      <c r="K507" s="1135"/>
      <c r="L507" s="916"/>
    </row>
    <row r="508" spans="1:12" s="103" customFormat="1" ht="15.75" hidden="1" customHeight="1" outlineLevel="1">
      <c r="A508" s="916"/>
      <c r="B508" s="1123">
        <v>166</v>
      </c>
      <c r="C508" s="1127"/>
      <c r="D508" s="1125"/>
      <c r="E508" s="1125" t="s">
        <v>18</v>
      </c>
      <c r="F508" s="1130" t="str">
        <f>VLOOKUP(E508,$N$13:$O$17,2,0)</f>
        <v>-</v>
      </c>
      <c r="G508" s="92"/>
      <c r="H508" s="90"/>
      <c r="I508" s="1125"/>
      <c r="J508" s="1133"/>
      <c r="K508" s="1133"/>
      <c r="L508" s="916"/>
    </row>
    <row r="509" spans="1:12" s="103" customFormat="1" ht="15.75" hidden="1" customHeight="1" outlineLevel="1">
      <c r="A509" s="916"/>
      <c r="B509" s="1123"/>
      <c r="C509" s="1127"/>
      <c r="D509" s="1125"/>
      <c r="E509" s="1125"/>
      <c r="F509" s="1130"/>
      <c r="G509" s="95"/>
      <c r="H509" s="90"/>
      <c r="I509" s="1125"/>
      <c r="J509" s="1134"/>
      <c r="K509" s="1134"/>
      <c r="L509" s="916"/>
    </row>
    <row r="510" spans="1:12" s="103" customFormat="1" ht="15.75" hidden="1" customHeight="1" outlineLevel="1">
      <c r="A510" s="916"/>
      <c r="B510" s="1124"/>
      <c r="C510" s="1128"/>
      <c r="D510" s="1126"/>
      <c r="E510" s="1126"/>
      <c r="F510" s="1132"/>
      <c r="G510" s="100"/>
      <c r="H510" s="98"/>
      <c r="I510" s="1126"/>
      <c r="J510" s="1135"/>
      <c r="K510" s="1135"/>
      <c r="L510" s="916"/>
    </row>
    <row r="511" spans="1:12" s="103" customFormat="1" ht="15.75" hidden="1" customHeight="1" outlineLevel="1">
      <c r="A511" s="916"/>
      <c r="B511" s="1123">
        <v>167</v>
      </c>
      <c r="C511" s="1127"/>
      <c r="D511" s="1125"/>
      <c r="E511" s="1125" t="s">
        <v>18</v>
      </c>
      <c r="F511" s="1130" t="str">
        <f>VLOOKUP(E511,$N$13:$O$17,2,0)</f>
        <v>-</v>
      </c>
      <c r="G511" s="92"/>
      <c r="H511" s="90"/>
      <c r="I511" s="1125"/>
      <c r="J511" s="1133"/>
      <c r="K511" s="1133"/>
      <c r="L511" s="916"/>
    </row>
    <row r="512" spans="1:12" s="103" customFormat="1" ht="15.75" hidden="1" customHeight="1" outlineLevel="1">
      <c r="A512" s="916"/>
      <c r="B512" s="1123"/>
      <c r="C512" s="1127"/>
      <c r="D512" s="1125"/>
      <c r="E512" s="1125"/>
      <c r="F512" s="1130"/>
      <c r="G512" s="95"/>
      <c r="H512" s="90"/>
      <c r="I512" s="1125"/>
      <c r="J512" s="1134"/>
      <c r="K512" s="1134"/>
      <c r="L512" s="916"/>
    </row>
    <row r="513" spans="1:12" s="103" customFormat="1" ht="15.75" hidden="1" customHeight="1" outlineLevel="1">
      <c r="A513" s="916"/>
      <c r="B513" s="1124"/>
      <c r="C513" s="1128"/>
      <c r="D513" s="1126"/>
      <c r="E513" s="1126"/>
      <c r="F513" s="1132"/>
      <c r="G513" s="100"/>
      <c r="H513" s="98"/>
      <c r="I513" s="1126"/>
      <c r="J513" s="1135"/>
      <c r="K513" s="1135"/>
      <c r="L513" s="916"/>
    </row>
    <row r="514" spans="1:12" s="103" customFormat="1" ht="15.75" hidden="1" customHeight="1" outlineLevel="1">
      <c r="A514" s="916"/>
      <c r="B514" s="1123">
        <v>168</v>
      </c>
      <c r="C514" s="1127"/>
      <c r="D514" s="1125"/>
      <c r="E514" s="1125" t="s">
        <v>18</v>
      </c>
      <c r="F514" s="1130" t="str">
        <f>VLOOKUP(E514,$N$13:$O$17,2,0)</f>
        <v>-</v>
      </c>
      <c r="G514" s="92"/>
      <c r="H514" s="90"/>
      <c r="I514" s="1125"/>
      <c r="J514" s="1133"/>
      <c r="K514" s="1133"/>
      <c r="L514" s="916"/>
    </row>
    <row r="515" spans="1:12" s="103" customFormat="1" ht="15.75" hidden="1" customHeight="1" outlineLevel="1">
      <c r="A515" s="916"/>
      <c r="B515" s="1123"/>
      <c r="C515" s="1127"/>
      <c r="D515" s="1125"/>
      <c r="E515" s="1125"/>
      <c r="F515" s="1130"/>
      <c r="G515" s="95"/>
      <c r="H515" s="90"/>
      <c r="I515" s="1125"/>
      <c r="J515" s="1134"/>
      <c r="K515" s="1134"/>
      <c r="L515" s="916"/>
    </row>
    <row r="516" spans="1:12" s="103" customFormat="1" ht="15.75" hidden="1" customHeight="1" outlineLevel="1">
      <c r="A516" s="916"/>
      <c r="B516" s="1124"/>
      <c r="C516" s="1128"/>
      <c r="D516" s="1126"/>
      <c r="E516" s="1126"/>
      <c r="F516" s="1132"/>
      <c r="G516" s="100"/>
      <c r="H516" s="98"/>
      <c r="I516" s="1126"/>
      <c r="J516" s="1135"/>
      <c r="K516" s="1135"/>
      <c r="L516" s="916"/>
    </row>
    <row r="517" spans="1:12" s="103" customFormat="1" ht="15.75" hidden="1" customHeight="1" outlineLevel="1">
      <c r="A517" s="916"/>
      <c r="B517" s="1123">
        <v>169</v>
      </c>
      <c r="C517" s="1127"/>
      <c r="D517" s="1125"/>
      <c r="E517" s="1125" t="s">
        <v>18</v>
      </c>
      <c r="F517" s="1130" t="str">
        <f>VLOOKUP(E517,$N$13:$O$17,2,0)</f>
        <v>-</v>
      </c>
      <c r="G517" s="92"/>
      <c r="H517" s="90"/>
      <c r="I517" s="1125"/>
      <c r="J517" s="1133"/>
      <c r="K517" s="1133"/>
      <c r="L517" s="916"/>
    </row>
    <row r="518" spans="1:12" s="103" customFormat="1" ht="15.75" hidden="1" customHeight="1" outlineLevel="1">
      <c r="A518" s="916"/>
      <c r="B518" s="1123"/>
      <c r="C518" s="1127"/>
      <c r="D518" s="1125"/>
      <c r="E518" s="1125"/>
      <c r="F518" s="1130"/>
      <c r="G518" s="95"/>
      <c r="H518" s="90"/>
      <c r="I518" s="1125"/>
      <c r="J518" s="1134"/>
      <c r="K518" s="1134"/>
      <c r="L518" s="916"/>
    </row>
    <row r="519" spans="1:12" s="103" customFormat="1" ht="15.75" hidden="1" customHeight="1" outlineLevel="1">
      <c r="A519" s="916"/>
      <c r="B519" s="1124"/>
      <c r="C519" s="1128"/>
      <c r="D519" s="1126"/>
      <c r="E519" s="1126"/>
      <c r="F519" s="1132"/>
      <c r="G519" s="100"/>
      <c r="H519" s="98"/>
      <c r="I519" s="1126"/>
      <c r="J519" s="1135"/>
      <c r="K519" s="1135"/>
      <c r="L519" s="916"/>
    </row>
    <row r="520" spans="1:12" s="103" customFormat="1" ht="15.75" hidden="1" customHeight="1" outlineLevel="1">
      <c r="A520" s="916"/>
      <c r="B520" s="1123">
        <v>170</v>
      </c>
      <c r="C520" s="1127"/>
      <c r="D520" s="1125"/>
      <c r="E520" s="1125" t="s">
        <v>18</v>
      </c>
      <c r="F520" s="1130" t="str">
        <f>VLOOKUP(E520,$N$13:$O$17,2,0)</f>
        <v>-</v>
      </c>
      <c r="G520" s="92"/>
      <c r="H520" s="90"/>
      <c r="I520" s="1125"/>
      <c r="J520" s="1133"/>
      <c r="K520" s="1133"/>
      <c r="L520" s="916"/>
    </row>
    <row r="521" spans="1:12" s="103" customFormat="1" ht="15.75" hidden="1" customHeight="1" outlineLevel="1">
      <c r="A521" s="916"/>
      <c r="B521" s="1123"/>
      <c r="C521" s="1127"/>
      <c r="D521" s="1125"/>
      <c r="E521" s="1125"/>
      <c r="F521" s="1130"/>
      <c r="G521" s="95"/>
      <c r="H521" s="90"/>
      <c r="I521" s="1125"/>
      <c r="J521" s="1134"/>
      <c r="K521" s="1134"/>
      <c r="L521" s="916"/>
    </row>
    <row r="522" spans="1:12" s="103" customFormat="1" ht="15.75" hidden="1" customHeight="1" outlineLevel="1">
      <c r="A522" s="916"/>
      <c r="B522" s="1124"/>
      <c r="C522" s="1128"/>
      <c r="D522" s="1126"/>
      <c r="E522" s="1126"/>
      <c r="F522" s="1132"/>
      <c r="G522" s="100"/>
      <c r="H522" s="98"/>
      <c r="I522" s="1126"/>
      <c r="J522" s="1135"/>
      <c r="K522" s="1135"/>
      <c r="L522" s="916"/>
    </row>
    <row r="523" spans="1:12" s="103" customFormat="1" ht="15.75" hidden="1" customHeight="1" outlineLevel="1">
      <c r="A523" s="916"/>
      <c r="B523" s="1123">
        <v>171</v>
      </c>
      <c r="C523" s="1127"/>
      <c r="D523" s="1125"/>
      <c r="E523" s="1125" t="s">
        <v>18</v>
      </c>
      <c r="F523" s="1130" t="str">
        <f>VLOOKUP(E523,$N$13:$O$17,2,0)</f>
        <v>-</v>
      </c>
      <c r="G523" s="92"/>
      <c r="H523" s="90"/>
      <c r="I523" s="1125"/>
      <c r="J523" s="1133"/>
      <c r="K523" s="1133"/>
      <c r="L523" s="916"/>
    </row>
    <row r="524" spans="1:12" s="103" customFormat="1" ht="15.75" hidden="1" customHeight="1" outlineLevel="1">
      <c r="A524" s="916"/>
      <c r="B524" s="1123"/>
      <c r="C524" s="1127"/>
      <c r="D524" s="1125"/>
      <c r="E524" s="1125"/>
      <c r="F524" s="1130"/>
      <c r="G524" s="95"/>
      <c r="H524" s="90"/>
      <c r="I524" s="1125"/>
      <c r="J524" s="1134"/>
      <c r="K524" s="1134"/>
      <c r="L524" s="916"/>
    </row>
    <row r="525" spans="1:12" s="103" customFormat="1" ht="15.75" hidden="1" customHeight="1" outlineLevel="1">
      <c r="A525" s="916"/>
      <c r="B525" s="1124"/>
      <c r="C525" s="1128"/>
      <c r="D525" s="1126"/>
      <c r="E525" s="1126"/>
      <c r="F525" s="1132"/>
      <c r="G525" s="100"/>
      <c r="H525" s="98"/>
      <c r="I525" s="1126"/>
      <c r="J525" s="1135"/>
      <c r="K525" s="1135"/>
      <c r="L525" s="916"/>
    </row>
    <row r="526" spans="1:12" s="103" customFormat="1" ht="15.75" hidden="1" customHeight="1" outlineLevel="1">
      <c r="A526" s="916"/>
      <c r="B526" s="1123">
        <v>172</v>
      </c>
      <c r="C526" s="1127"/>
      <c r="D526" s="1125"/>
      <c r="E526" s="1125" t="s">
        <v>18</v>
      </c>
      <c r="F526" s="1130" t="str">
        <f>VLOOKUP(E526,$N$13:$O$17,2,0)</f>
        <v>-</v>
      </c>
      <c r="G526" s="92"/>
      <c r="H526" s="90"/>
      <c r="I526" s="1125"/>
      <c r="J526" s="1133"/>
      <c r="K526" s="1133"/>
      <c r="L526" s="916"/>
    </row>
    <row r="527" spans="1:12" s="103" customFormat="1" ht="15.75" hidden="1" customHeight="1" outlineLevel="1">
      <c r="A527" s="916"/>
      <c r="B527" s="1123"/>
      <c r="C527" s="1127"/>
      <c r="D527" s="1125"/>
      <c r="E527" s="1125"/>
      <c r="F527" s="1130"/>
      <c r="G527" s="95"/>
      <c r="H527" s="90"/>
      <c r="I527" s="1125"/>
      <c r="J527" s="1134"/>
      <c r="K527" s="1134"/>
      <c r="L527" s="916"/>
    </row>
    <row r="528" spans="1:12" s="103" customFormat="1" ht="15.75" hidden="1" customHeight="1" outlineLevel="1">
      <c r="A528" s="916"/>
      <c r="B528" s="1124"/>
      <c r="C528" s="1128"/>
      <c r="D528" s="1126"/>
      <c r="E528" s="1126"/>
      <c r="F528" s="1132"/>
      <c r="G528" s="100"/>
      <c r="H528" s="98"/>
      <c r="I528" s="1126"/>
      <c r="J528" s="1135"/>
      <c r="K528" s="1135"/>
      <c r="L528" s="916"/>
    </row>
    <row r="529" spans="1:12" s="103" customFormat="1" ht="15.75" hidden="1" customHeight="1" outlineLevel="1">
      <c r="A529" s="916"/>
      <c r="B529" s="1123">
        <v>173</v>
      </c>
      <c r="C529" s="1127"/>
      <c r="D529" s="1125"/>
      <c r="E529" s="1125" t="s">
        <v>18</v>
      </c>
      <c r="F529" s="1130" t="str">
        <f>VLOOKUP(E529,$N$13:$O$17,2,0)</f>
        <v>-</v>
      </c>
      <c r="G529" s="92"/>
      <c r="H529" s="90"/>
      <c r="I529" s="1125"/>
      <c r="J529" s="1133"/>
      <c r="K529" s="1133"/>
      <c r="L529" s="916"/>
    </row>
    <row r="530" spans="1:12" s="103" customFormat="1" ht="15.75" hidden="1" customHeight="1" outlineLevel="1">
      <c r="A530" s="916"/>
      <c r="B530" s="1123"/>
      <c r="C530" s="1127"/>
      <c r="D530" s="1125"/>
      <c r="E530" s="1125"/>
      <c r="F530" s="1130"/>
      <c r="G530" s="95"/>
      <c r="H530" s="90"/>
      <c r="I530" s="1125"/>
      <c r="J530" s="1134"/>
      <c r="K530" s="1134"/>
      <c r="L530" s="916"/>
    </row>
    <row r="531" spans="1:12" s="103" customFormat="1" ht="15.75" hidden="1" customHeight="1" outlineLevel="1">
      <c r="A531" s="916"/>
      <c r="B531" s="1124"/>
      <c r="C531" s="1128"/>
      <c r="D531" s="1126"/>
      <c r="E531" s="1126"/>
      <c r="F531" s="1132"/>
      <c r="G531" s="100"/>
      <c r="H531" s="98"/>
      <c r="I531" s="1126"/>
      <c r="J531" s="1135"/>
      <c r="K531" s="1135"/>
      <c r="L531" s="916"/>
    </row>
    <row r="532" spans="1:12" s="103" customFormat="1" ht="15.75" hidden="1" customHeight="1" outlineLevel="1">
      <c r="A532" s="916"/>
      <c r="B532" s="1123">
        <v>174</v>
      </c>
      <c r="C532" s="1127"/>
      <c r="D532" s="1125"/>
      <c r="E532" s="1125" t="s">
        <v>18</v>
      </c>
      <c r="F532" s="1130" t="str">
        <f>VLOOKUP(E532,$N$13:$O$17,2,0)</f>
        <v>-</v>
      </c>
      <c r="G532" s="92"/>
      <c r="H532" s="90"/>
      <c r="I532" s="1125"/>
      <c r="J532" s="1133"/>
      <c r="K532" s="1133"/>
      <c r="L532" s="916"/>
    </row>
    <row r="533" spans="1:12" s="103" customFormat="1" ht="15.75" hidden="1" customHeight="1" outlineLevel="1">
      <c r="A533" s="916"/>
      <c r="B533" s="1123"/>
      <c r="C533" s="1127"/>
      <c r="D533" s="1125"/>
      <c r="E533" s="1125"/>
      <c r="F533" s="1130"/>
      <c r="G533" s="95"/>
      <c r="H533" s="90"/>
      <c r="I533" s="1125"/>
      <c r="J533" s="1134"/>
      <c r="K533" s="1134"/>
      <c r="L533" s="916"/>
    </row>
    <row r="534" spans="1:12" s="103" customFormat="1" ht="15.75" hidden="1" customHeight="1" outlineLevel="1">
      <c r="A534" s="916"/>
      <c r="B534" s="1124"/>
      <c r="C534" s="1128"/>
      <c r="D534" s="1126"/>
      <c r="E534" s="1126"/>
      <c r="F534" s="1132"/>
      <c r="G534" s="100"/>
      <c r="H534" s="98"/>
      <c r="I534" s="1126"/>
      <c r="J534" s="1135"/>
      <c r="K534" s="1135"/>
      <c r="L534" s="916"/>
    </row>
    <row r="535" spans="1:12" s="103" customFormat="1" ht="15.75" hidden="1" customHeight="1" outlineLevel="1">
      <c r="A535" s="916"/>
      <c r="B535" s="1123">
        <v>175</v>
      </c>
      <c r="C535" s="1127"/>
      <c r="D535" s="1125"/>
      <c r="E535" s="1125" t="s">
        <v>18</v>
      </c>
      <c r="F535" s="1130" t="str">
        <f>VLOOKUP(E535,$N$13:$O$17,2,0)</f>
        <v>-</v>
      </c>
      <c r="G535" s="92"/>
      <c r="H535" s="90"/>
      <c r="I535" s="1125"/>
      <c r="J535" s="1133"/>
      <c r="K535" s="1133"/>
      <c r="L535" s="916"/>
    </row>
    <row r="536" spans="1:12" s="103" customFormat="1" ht="15.75" hidden="1" customHeight="1" outlineLevel="1">
      <c r="A536" s="916"/>
      <c r="B536" s="1123"/>
      <c r="C536" s="1127"/>
      <c r="D536" s="1125"/>
      <c r="E536" s="1125"/>
      <c r="F536" s="1130"/>
      <c r="G536" s="95"/>
      <c r="H536" s="90"/>
      <c r="I536" s="1125"/>
      <c r="J536" s="1134"/>
      <c r="K536" s="1134"/>
      <c r="L536" s="916"/>
    </row>
    <row r="537" spans="1:12" s="103" customFormat="1" ht="15.75" hidden="1" customHeight="1" outlineLevel="1">
      <c r="A537" s="916"/>
      <c r="B537" s="1124"/>
      <c r="C537" s="1128"/>
      <c r="D537" s="1126"/>
      <c r="E537" s="1126"/>
      <c r="F537" s="1132"/>
      <c r="G537" s="100"/>
      <c r="H537" s="98"/>
      <c r="I537" s="1126"/>
      <c r="J537" s="1135"/>
      <c r="K537" s="1135"/>
      <c r="L537" s="916"/>
    </row>
    <row r="538" spans="1:12" s="103" customFormat="1" ht="15.75" hidden="1" customHeight="1" outlineLevel="1">
      <c r="A538" s="916"/>
      <c r="B538" s="1123">
        <v>176</v>
      </c>
      <c r="C538" s="1127"/>
      <c r="D538" s="1125"/>
      <c r="E538" s="1125" t="s">
        <v>18</v>
      </c>
      <c r="F538" s="1130" t="str">
        <f>VLOOKUP(E538,$N$13:$O$17,2,0)</f>
        <v>-</v>
      </c>
      <c r="G538" s="92"/>
      <c r="H538" s="90"/>
      <c r="I538" s="1125"/>
      <c r="J538" s="1133"/>
      <c r="K538" s="1133"/>
      <c r="L538" s="916"/>
    </row>
    <row r="539" spans="1:12" s="103" customFormat="1" ht="15.75" hidden="1" customHeight="1" outlineLevel="1">
      <c r="A539" s="916"/>
      <c r="B539" s="1123"/>
      <c r="C539" s="1127"/>
      <c r="D539" s="1125"/>
      <c r="E539" s="1125"/>
      <c r="F539" s="1130"/>
      <c r="G539" s="95"/>
      <c r="H539" s="90"/>
      <c r="I539" s="1125"/>
      <c r="J539" s="1134"/>
      <c r="K539" s="1134"/>
      <c r="L539" s="916"/>
    </row>
    <row r="540" spans="1:12" s="103" customFormat="1" ht="15.75" hidden="1" customHeight="1" outlineLevel="1">
      <c r="A540" s="916"/>
      <c r="B540" s="1124"/>
      <c r="C540" s="1128"/>
      <c r="D540" s="1126"/>
      <c r="E540" s="1126"/>
      <c r="F540" s="1132"/>
      <c r="G540" s="100"/>
      <c r="H540" s="98"/>
      <c r="I540" s="1126"/>
      <c r="J540" s="1135"/>
      <c r="K540" s="1135"/>
      <c r="L540" s="916"/>
    </row>
    <row r="541" spans="1:12" s="103" customFormat="1" ht="15.75" hidden="1" customHeight="1" outlineLevel="1">
      <c r="A541" s="916"/>
      <c r="B541" s="1123">
        <v>177</v>
      </c>
      <c r="C541" s="1127"/>
      <c r="D541" s="1125"/>
      <c r="E541" s="1125" t="s">
        <v>18</v>
      </c>
      <c r="F541" s="1130" t="str">
        <f>VLOOKUP(E541,$N$13:$O$17,2,0)</f>
        <v>-</v>
      </c>
      <c r="G541" s="92"/>
      <c r="H541" s="90"/>
      <c r="I541" s="1125"/>
      <c r="J541" s="1133"/>
      <c r="K541" s="1133"/>
      <c r="L541" s="916"/>
    </row>
    <row r="542" spans="1:12" s="103" customFormat="1" ht="15.75" hidden="1" customHeight="1" outlineLevel="1">
      <c r="A542" s="916"/>
      <c r="B542" s="1123"/>
      <c r="C542" s="1127"/>
      <c r="D542" s="1125"/>
      <c r="E542" s="1125"/>
      <c r="F542" s="1130"/>
      <c r="G542" s="95"/>
      <c r="H542" s="90"/>
      <c r="I542" s="1125"/>
      <c r="J542" s="1134"/>
      <c r="K542" s="1134"/>
      <c r="L542" s="916"/>
    </row>
    <row r="543" spans="1:12" s="103" customFormat="1" ht="15.75" hidden="1" customHeight="1" outlineLevel="1">
      <c r="A543" s="916"/>
      <c r="B543" s="1124"/>
      <c r="C543" s="1128"/>
      <c r="D543" s="1126"/>
      <c r="E543" s="1126"/>
      <c r="F543" s="1132"/>
      <c r="G543" s="100"/>
      <c r="H543" s="98"/>
      <c r="I543" s="1126"/>
      <c r="J543" s="1135"/>
      <c r="K543" s="1135"/>
      <c r="L543" s="916"/>
    </row>
    <row r="544" spans="1:12" s="103" customFormat="1" ht="15.75" hidden="1" customHeight="1" outlineLevel="1">
      <c r="A544" s="916"/>
      <c r="B544" s="1123">
        <v>178</v>
      </c>
      <c r="C544" s="1127"/>
      <c r="D544" s="1125"/>
      <c r="E544" s="1125" t="s">
        <v>18</v>
      </c>
      <c r="F544" s="1130" t="str">
        <f>VLOOKUP(E544,$N$13:$O$17,2,0)</f>
        <v>-</v>
      </c>
      <c r="G544" s="92"/>
      <c r="H544" s="90"/>
      <c r="I544" s="1125"/>
      <c r="J544" s="1133"/>
      <c r="K544" s="1133"/>
      <c r="L544" s="916"/>
    </row>
    <row r="545" spans="1:12" s="103" customFormat="1" ht="15.75" hidden="1" customHeight="1" outlineLevel="1">
      <c r="A545" s="916"/>
      <c r="B545" s="1123"/>
      <c r="C545" s="1127"/>
      <c r="D545" s="1125"/>
      <c r="E545" s="1125"/>
      <c r="F545" s="1130"/>
      <c r="G545" s="95"/>
      <c r="H545" s="90"/>
      <c r="I545" s="1125"/>
      <c r="J545" s="1134"/>
      <c r="K545" s="1134"/>
      <c r="L545" s="916"/>
    </row>
    <row r="546" spans="1:12" s="103" customFormat="1" ht="15.75" hidden="1" customHeight="1" outlineLevel="1">
      <c r="A546" s="916"/>
      <c r="B546" s="1124"/>
      <c r="C546" s="1128"/>
      <c r="D546" s="1126"/>
      <c r="E546" s="1126"/>
      <c r="F546" s="1132"/>
      <c r="G546" s="100"/>
      <c r="H546" s="98"/>
      <c r="I546" s="1126"/>
      <c r="J546" s="1135"/>
      <c r="K546" s="1135"/>
      <c r="L546" s="916"/>
    </row>
    <row r="547" spans="1:12" s="103" customFormat="1" ht="15.75" hidden="1" customHeight="1" outlineLevel="1">
      <c r="A547" s="916"/>
      <c r="B547" s="1123">
        <v>179</v>
      </c>
      <c r="C547" s="1127"/>
      <c r="D547" s="1125"/>
      <c r="E547" s="1125" t="s">
        <v>18</v>
      </c>
      <c r="F547" s="1130" t="str">
        <f>VLOOKUP(E547,$N$13:$O$17,2,0)</f>
        <v>-</v>
      </c>
      <c r="G547" s="92"/>
      <c r="H547" s="90"/>
      <c r="I547" s="1125"/>
      <c r="J547" s="1133"/>
      <c r="K547" s="1133"/>
      <c r="L547" s="916"/>
    </row>
    <row r="548" spans="1:12" s="103" customFormat="1" ht="15.75" hidden="1" customHeight="1" outlineLevel="1">
      <c r="A548" s="916"/>
      <c r="B548" s="1123"/>
      <c r="C548" s="1127"/>
      <c r="D548" s="1125"/>
      <c r="E548" s="1125"/>
      <c r="F548" s="1130"/>
      <c r="G548" s="95"/>
      <c r="H548" s="90"/>
      <c r="I548" s="1125"/>
      <c r="J548" s="1134"/>
      <c r="K548" s="1134"/>
      <c r="L548" s="916"/>
    </row>
    <row r="549" spans="1:12" s="103" customFormat="1" ht="15.75" hidden="1" customHeight="1" outlineLevel="1">
      <c r="A549" s="916"/>
      <c r="B549" s="1124"/>
      <c r="C549" s="1128"/>
      <c r="D549" s="1126"/>
      <c r="E549" s="1126"/>
      <c r="F549" s="1132"/>
      <c r="G549" s="100"/>
      <c r="H549" s="98"/>
      <c r="I549" s="1126"/>
      <c r="J549" s="1135"/>
      <c r="K549" s="1135"/>
      <c r="L549" s="916"/>
    </row>
    <row r="550" spans="1:12" s="103" customFormat="1" ht="15.75" hidden="1" customHeight="1" outlineLevel="1">
      <c r="A550" s="916"/>
      <c r="B550" s="1123">
        <v>180</v>
      </c>
      <c r="C550" s="1127"/>
      <c r="D550" s="1125"/>
      <c r="E550" s="1125" t="s">
        <v>18</v>
      </c>
      <c r="F550" s="1130" t="str">
        <f>VLOOKUP(E550,$N$13:$O$17,2,0)</f>
        <v>-</v>
      </c>
      <c r="G550" s="92"/>
      <c r="H550" s="90"/>
      <c r="I550" s="1125"/>
      <c r="J550" s="1133"/>
      <c r="K550" s="1133"/>
      <c r="L550" s="916"/>
    </row>
    <row r="551" spans="1:12" s="103" customFormat="1" ht="15.75" hidden="1" customHeight="1" outlineLevel="1">
      <c r="A551" s="916"/>
      <c r="B551" s="1123"/>
      <c r="C551" s="1127"/>
      <c r="D551" s="1125"/>
      <c r="E551" s="1125"/>
      <c r="F551" s="1130"/>
      <c r="G551" s="95"/>
      <c r="H551" s="90"/>
      <c r="I551" s="1125"/>
      <c r="J551" s="1134"/>
      <c r="K551" s="1134"/>
      <c r="L551" s="916"/>
    </row>
    <row r="552" spans="1:12" s="103" customFormat="1" ht="15.75" hidden="1" customHeight="1" outlineLevel="1">
      <c r="A552" s="916"/>
      <c r="B552" s="1124"/>
      <c r="C552" s="1128"/>
      <c r="D552" s="1126"/>
      <c r="E552" s="1126"/>
      <c r="F552" s="1132"/>
      <c r="G552" s="100"/>
      <c r="H552" s="98"/>
      <c r="I552" s="1126"/>
      <c r="J552" s="1135"/>
      <c r="K552" s="1135"/>
      <c r="L552" s="916"/>
    </row>
    <row r="553" spans="1:12" s="103" customFormat="1" ht="15.75" hidden="1" customHeight="1" outlineLevel="1">
      <c r="A553" s="916"/>
      <c r="B553" s="1123">
        <v>181</v>
      </c>
      <c r="C553" s="1127"/>
      <c r="D553" s="1125"/>
      <c r="E553" s="1125" t="s">
        <v>18</v>
      </c>
      <c r="F553" s="1130" t="str">
        <f>VLOOKUP(E553,$N$13:$O$17,2,0)</f>
        <v>-</v>
      </c>
      <c r="G553" s="92"/>
      <c r="H553" s="90"/>
      <c r="I553" s="1125"/>
      <c r="J553" s="1133"/>
      <c r="K553" s="1133"/>
      <c r="L553" s="916"/>
    </row>
    <row r="554" spans="1:12" s="103" customFormat="1" ht="15.75" hidden="1" customHeight="1" outlineLevel="1">
      <c r="A554" s="916"/>
      <c r="B554" s="1123"/>
      <c r="C554" s="1127"/>
      <c r="D554" s="1125"/>
      <c r="E554" s="1125"/>
      <c r="F554" s="1130"/>
      <c r="G554" s="95"/>
      <c r="H554" s="90"/>
      <c r="I554" s="1125"/>
      <c r="J554" s="1134"/>
      <c r="K554" s="1134"/>
      <c r="L554" s="916"/>
    </row>
    <row r="555" spans="1:12" s="103" customFormat="1" ht="15.75" hidden="1" customHeight="1" outlineLevel="1">
      <c r="A555" s="916"/>
      <c r="B555" s="1124"/>
      <c r="C555" s="1128"/>
      <c r="D555" s="1126"/>
      <c r="E555" s="1126"/>
      <c r="F555" s="1132"/>
      <c r="G555" s="100"/>
      <c r="H555" s="98"/>
      <c r="I555" s="1126"/>
      <c r="J555" s="1135"/>
      <c r="K555" s="1135"/>
      <c r="L555" s="916"/>
    </row>
    <row r="556" spans="1:12" s="103" customFormat="1" ht="15.75" hidden="1" customHeight="1" outlineLevel="1">
      <c r="A556" s="916"/>
      <c r="B556" s="1123">
        <v>182</v>
      </c>
      <c r="C556" s="1127"/>
      <c r="D556" s="1125"/>
      <c r="E556" s="1125" t="s">
        <v>18</v>
      </c>
      <c r="F556" s="1130" t="str">
        <f>VLOOKUP(E556,$N$13:$O$17,2,0)</f>
        <v>-</v>
      </c>
      <c r="G556" s="92"/>
      <c r="H556" s="90"/>
      <c r="I556" s="1125"/>
      <c r="J556" s="1133"/>
      <c r="K556" s="1133"/>
      <c r="L556" s="916"/>
    </row>
    <row r="557" spans="1:12" s="103" customFormat="1" ht="15.75" hidden="1" customHeight="1" outlineLevel="1">
      <c r="A557" s="916"/>
      <c r="B557" s="1123"/>
      <c r="C557" s="1127"/>
      <c r="D557" s="1125"/>
      <c r="E557" s="1125"/>
      <c r="F557" s="1130"/>
      <c r="G557" s="95"/>
      <c r="H557" s="90"/>
      <c r="I557" s="1125"/>
      <c r="J557" s="1134"/>
      <c r="K557" s="1134"/>
      <c r="L557" s="916"/>
    </row>
    <row r="558" spans="1:12" s="103" customFormat="1" ht="15.75" hidden="1" customHeight="1" outlineLevel="1">
      <c r="A558" s="916"/>
      <c r="B558" s="1124"/>
      <c r="C558" s="1128"/>
      <c r="D558" s="1126"/>
      <c r="E558" s="1126"/>
      <c r="F558" s="1132"/>
      <c r="G558" s="100"/>
      <c r="H558" s="98"/>
      <c r="I558" s="1126"/>
      <c r="J558" s="1135"/>
      <c r="K558" s="1135"/>
      <c r="L558" s="916"/>
    </row>
    <row r="559" spans="1:12" s="103" customFormat="1" ht="15.75" hidden="1" customHeight="1" outlineLevel="1">
      <c r="A559" s="916"/>
      <c r="B559" s="1123">
        <v>183</v>
      </c>
      <c r="C559" s="1127"/>
      <c r="D559" s="1125"/>
      <c r="E559" s="1125" t="s">
        <v>18</v>
      </c>
      <c r="F559" s="1130" t="str">
        <f>VLOOKUP(E559,$N$13:$O$17,2,0)</f>
        <v>-</v>
      </c>
      <c r="G559" s="92"/>
      <c r="H559" s="90"/>
      <c r="I559" s="1125"/>
      <c r="J559" s="1133"/>
      <c r="K559" s="1133"/>
      <c r="L559" s="916"/>
    </row>
    <row r="560" spans="1:12" s="103" customFormat="1" ht="15.75" hidden="1" customHeight="1" outlineLevel="1">
      <c r="A560" s="916"/>
      <c r="B560" s="1123"/>
      <c r="C560" s="1127"/>
      <c r="D560" s="1125"/>
      <c r="E560" s="1125"/>
      <c r="F560" s="1130"/>
      <c r="G560" s="95"/>
      <c r="H560" s="90"/>
      <c r="I560" s="1125"/>
      <c r="J560" s="1134"/>
      <c r="K560" s="1134"/>
      <c r="L560" s="916"/>
    </row>
    <row r="561" spans="1:12" s="103" customFormat="1" ht="15.75" hidden="1" customHeight="1" outlineLevel="1">
      <c r="A561" s="916"/>
      <c r="B561" s="1124"/>
      <c r="C561" s="1128"/>
      <c r="D561" s="1126"/>
      <c r="E561" s="1126"/>
      <c r="F561" s="1132"/>
      <c r="G561" s="100"/>
      <c r="H561" s="98"/>
      <c r="I561" s="1126"/>
      <c r="J561" s="1135"/>
      <c r="K561" s="1135"/>
      <c r="L561" s="916"/>
    </row>
    <row r="562" spans="1:12" s="103" customFormat="1" ht="15.75" hidden="1" customHeight="1" outlineLevel="1">
      <c r="A562" s="916"/>
      <c r="B562" s="1123">
        <v>184</v>
      </c>
      <c r="C562" s="1127"/>
      <c r="D562" s="1125"/>
      <c r="E562" s="1125" t="s">
        <v>18</v>
      </c>
      <c r="F562" s="1130" t="str">
        <f>VLOOKUP(E562,$N$13:$O$17,2,0)</f>
        <v>-</v>
      </c>
      <c r="G562" s="92"/>
      <c r="H562" s="90"/>
      <c r="I562" s="1125"/>
      <c r="J562" s="1133"/>
      <c r="K562" s="1133"/>
      <c r="L562" s="916"/>
    </row>
    <row r="563" spans="1:12" s="103" customFormat="1" ht="15.75" hidden="1" customHeight="1" outlineLevel="1">
      <c r="A563" s="916"/>
      <c r="B563" s="1123"/>
      <c r="C563" s="1127"/>
      <c r="D563" s="1125"/>
      <c r="E563" s="1125"/>
      <c r="F563" s="1130"/>
      <c r="G563" s="95"/>
      <c r="H563" s="90"/>
      <c r="I563" s="1125"/>
      <c r="J563" s="1134"/>
      <c r="K563" s="1134"/>
      <c r="L563" s="916"/>
    </row>
    <row r="564" spans="1:12" s="103" customFormat="1" ht="15.75" hidden="1" customHeight="1" outlineLevel="1">
      <c r="A564" s="916"/>
      <c r="B564" s="1124"/>
      <c r="C564" s="1128"/>
      <c r="D564" s="1126"/>
      <c r="E564" s="1126"/>
      <c r="F564" s="1132"/>
      <c r="G564" s="100"/>
      <c r="H564" s="98"/>
      <c r="I564" s="1126"/>
      <c r="J564" s="1135"/>
      <c r="K564" s="1135"/>
      <c r="L564" s="916"/>
    </row>
    <row r="565" spans="1:12" s="103" customFormat="1" ht="15.75" hidden="1" customHeight="1" outlineLevel="1">
      <c r="A565" s="916"/>
      <c r="B565" s="1123">
        <v>185</v>
      </c>
      <c r="C565" s="1127"/>
      <c r="D565" s="1125"/>
      <c r="E565" s="1125" t="s">
        <v>18</v>
      </c>
      <c r="F565" s="1130" t="str">
        <f>VLOOKUP(E565,$N$13:$O$17,2,0)</f>
        <v>-</v>
      </c>
      <c r="G565" s="92"/>
      <c r="H565" s="90"/>
      <c r="I565" s="1125"/>
      <c r="J565" s="1133"/>
      <c r="K565" s="1133"/>
      <c r="L565" s="916"/>
    </row>
    <row r="566" spans="1:12" s="103" customFormat="1" ht="15.75" hidden="1" customHeight="1" outlineLevel="1">
      <c r="A566" s="916"/>
      <c r="B566" s="1123"/>
      <c r="C566" s="1127"/>
      <c r="D566" s="1125"/>
      <c r="E566" s="1125"/>
      <c r="F566" s="1130"/>
      <c r="G566" s="95"/>
      <c r="H566" s="90"/>
      <c r="I566" s="1125"/>
      <c r="J566" s="1134"/>
      <c r="K566" s="1134"/>
      <c r="L566" s="916"/>
    </row>
    <row r="567" spans="1:12" s="103" customFormat="1" ht="15.75" hidden="1" customHeight="1" outlineLevel="1">
      <c r="A567" s="916"/>
      <c r="B567" s="1124"/>
      <c r="C567" s="1128"/>
      <c r="D567" s="1126"/>
      <c r="E567" s="1126"/>
      <c r="F567" s="1132"/>
      <c r="G567" s="100"/>
      <c r="H567" s="98"/>
      <c r="I567" s="1126"/>
      <c r="J567" s="1135"/>
      <c r="K567" s="1135"/>
      <c r="L567" s="916"/>
    </row>
    <row r="568" spans="1:12" s="103" customFormat="1" ht="15.75" hidden="1" customHeight="1" outlineLevel="1">
      <c r="A568" s="916"/>
      <c r="B568" s="1123">
        <v>186</v>
      </c>
      <c r="C568" s="1127"/>
      <c r="D568" s="1125"/>
      <c r="E568" s="1125" t="s">
        <v>18</v>
      </c>
      <c r="F568" s="1130" t="str">
        <f>VLOOKUP(E568,$N$13:$O$17,2,0)</f>
        <v>-</v>
      </c>
      <c r="G568" s="92"/>
      <c r="H568" s="90"/>
      <c r="I568" s="1125"/>
      <c r="J568" s="1133"/>
      <c r="K568" s="1133"/>
      <c r="L568" s="916"/>
    </row>
    <row r="569" spans="1:12" s="103" customFormat="1" ht="15.75" hidden="1" customHeight="1" outlineLevel="1">
      <c r="A569" s="916"/>
      <c r="B569" s="1123"/>
      <c r="C569" s="1127"/>
      <c r="D569" s="1125"/>
      <c r="E569" s="1125"/>
      <c r="F569" s="1130"/>
      <c r="G569" s="95"/>
      <c r="H569" s="90"/>
      <c r="I569" s="1125"/>
      <c r="J569" s="1134"/>
      <c r="K569" s="1134"/>
      <c r="L569" s="916"/>
    </row>
    <row r="570" spans="1:12" s="103" customFormat="1" ht="15.75" hidden="1" customHeight="1" outlineLevel="1">
      <c r="A570" s="916"/>
      <c r="B570" s="1124"/>
      <c r="C570" s="1128"/>
      <c r="D570" s="1126"/>
      <c r="E570" s="1126"/>
      <c r="F570" s="1132"/>
      <c r="G570" s="100"/>
      <c r="H570" s="98"/>
      <c r="I570" s="1126"/>
      <c r="J570" s="1135"/>
      <c r="K570" s="1135"/>
      <c r="L570" s="916"/>
    </row>
    <row r="571" spans="1:12" s="103" customFormat="1" ht="15.75" hidden="1" customHeight="1" outlineLevel="1">
      <c r="A571" s="916"/>
      <c r="B571" s="1123">
        <v>187</v>
      </c>
      <c r="C571" s="1127"/>
      <c r="D571" s="1125"/>
      <c r="E571" s="1125" t="s">
        <v>18</v>
      </c>
      <c r="F571" s="1130" t="str">
        <f>VLOOKUP(E571,$N$13:$O$17,2,0)</f>
        <v>-</v>
      </c>
      <c r="G571" s="92"/>
      <c r="H571" s="90"/>
      <c r="I571" s="1125"/>
      <c r="J571" s="1133"/>
      <c r="K571" s="1133"/>
      <c r="L571" s="916"/>
    </row>
    <row r="572" spans="1:12" s="103" customFormat="1" ht="15.75" hidden="1" customHeight="1" outlineLevel="1">
      <c r="A572" s="916"/>
      <c r="B572" s="1123"/>
      <c r="C572" s="1127"/>
      <c r="D572" s="1125"/>
      <c r="E572" s="1125"/>
      <c r="F572" s="1130"/>
      <c r="G572" s="95"/>
      <c r="H572" s="90"/>
      <c r="I572" s="1125"/>
      <c r="J572" s="1134"/>
      <c r="K572" s="1134"/>
      <c r="L572" s="916"/>
    </row>
    <row r="573" spans="1:12" s="103" customFormat="1" ht="15.75" hidden="1" customHeight="1" outlineLevel="1">
      <c r="A573" s="916"/>
      <c r="B573" s="1124"/>
      <c r="C573" s="1128"/>
      <c r="D573" s="1126"/>
      <c r="E573" s="1126"/>
      <c r="F573" s="1132"/>
      <c r="G573" s="100"/>
      <c r="H573" s="98"/>
      <c r="I573" s="1126"/>
      <c r="J573" s="1135"/>
      <c r="K573" s="1135"/>
      <c r="L573" s="916"/>
    </row>
    <row r="574" spans="1:12" s="103" customFormat="1" ht="15.75" hidden="1" customHeight="1" outlineLevel="1">
      <c r="A574" s="916"/>
      <c r="B574" s="1123">
        <v>188</v>
      </c>
      <c r="C574" s="1127"/>
      <c r="D574" s="1125"/>
      <c r="E574" s="1125" t="s">
        <v>18</v>
      </c>
      <c r="F574" s="1130" t="str">
        <f>VLOOKUP(E574,$N$13:$O$17,2,0)</f>
        <v>-</v>
      </c>
      <c r="G574" s="92"/>
      <c r="H574" s="90"/>
      <c r="I574" s="1125"/>
      <c r="J574" s="1133"/>
      <c r="K574" s="1133"/>
      <c r="L574" s="916"/>
    </row>
    <row r="575" spans="1:12" s="103" customFormat="1" ht="15.75" hidden="1" customHeight="1" outlineLevel="1">
      <c r="A575" s="916"/>
      <c r="B575" s="1123"/>
      <c r="C575" s="1127"/>
      <c r="D575" s="1125"/>
      <c r="E575" s="1125"/>
      <c r="F575" s="1130"/>
      <c r="G575" s="95"/>
      <c r="H575" s="90"/>
      <c r="I575" s="1125"/>
      <c r="J575" s="1134"/>
      <c r="K575" s="1134"/>
      <c r="L575" s="916"/>
    </row>
    <row r="576" spans="1:12" s="103" customFormat="1" ht="15.75" hidden="1" customHeight="1" outlineLevel="1">
      <c r="A576" s="916"/>
      <c r="B576" s="1124"/>
      <c r="C576" s="1128"/>
      <c r="D576" s="1126"/>
      <c r="E576" s="1126"/>
      <c r="F576" s="1132"/>
      <c r="G576" s="100"/>
      <c r="H576" s="98"/>
      <c r="I576" s="1126"/>
      <c r="J576" s="1135"/>
      <c r="K576" s="1135"/>
      <c r="L576" s="916"/>
    </row>
    <row r="577" spans="1:12" s="103" customFormat="1" ht="15.75" hidden="1" customHeight="1" outlineLevel="1">
      <c r="A577" s="916"/>
      <c r="B577" s="1123">
        <v>189</v>
      </c>
      <c r="C577" s="1127"/>
      <c r="D577" s="1125"/>
      <c r="E577" s="1125" t="s">
        <v>18</v>
      </c>
      <c r="F577" s="1130" t="str">
        <f>VLOOKUP(E577,$N$13:$O$17,2,0)</f>
        <v>-</v>
      </c>
      <c r="G577" s="92"/>
      <c r="H577" s="90"/>
      <c r="I577" s="1125"/>
      <c r="J577" s="1133"/>
      <c r="K577" s="1133"/>
      <c r="L577" s="916"/>
    </row>
    <row r="578" spans="1:12" s="103" customFormat="1" ht="15.75" hidden="1" customHeight="1" outlineLevel="1">
      <c r="A578" s="916"/>
      <c r="B578" s="1123"/>
      <c r="C578" s="1127"/>
      <c r="D578" s="1125"/>
      <c r="E578" s="1125"/>
      <c r="F578" s="1130"/>
      <c r="G578" s="95"/>
      <c r="H578" s="90"/>
      <c r="I578" s="1125"/>
      <c r="J578" s="1134"/>
      <c r="K578" s="1134"/>
      <c r="L578" s="916"/>
    </row>
    <row r="579" spans="1:12" s="103" customFormat="1" ht="15.75" hidden="1" customHeight="1" outlineLevel="1">
      <c r="A579" s="916"/>
      <c r="B579" s="1124"/>
      <c r="C579" s="1128"/>
      <c r="D579" s="1126"/>
      <c r="E579" s="1126"/>
      <c r="F579" s="1132"/>
      <c r="G579" s="100"/>
      <c r="H579" s="98"/>
      <c r="I579" s="1126"/>
      <c r="J579" s="1135"/>
      <c r="K579" s="1135"/>
      <c r="L579" s="916"/>
    </row>
    <row r="580" spans="1:12" s="103" customFormat="1" ht="15.75" hidden="1" customHeight="1" outlineLevel="1">
      <c r="A580" s="916"/>
      <c r="B580" s="1123">
        <v>190</v>
      </c>
      <c r="C580" s="1127"/>
      <c r="D580" s="1125"/>
      <c r="E580" s="1125" t="s">
        <v>18</v>
      </c>
      <c r="F580" s="1130" t="str">
        <f>VLOOKUP(E580,$N$13:$O$17,2,0)</f>
        <v>-</v>
      </c>
      <c r="G580" s="92"/>
      <c r="H580" s="90"/>
      <c r="I580" s="1125"/>
      <c r="J580" s="1133"/>
      <c r="K580" s="1133"/>
      <c r="L580" s="916"/>
    </row>
    <row r="581" spans="1:12" s="103" customFormat="1" ht="15.75" hidden="1" customHeight="1" outlineLevel="1">
      <c r="A581" s="916"/>
      <c r="B581" s="1123"/>
      <c r="C581" s="1127"/>
      <c r="D581" s="1125"/>
      <c r="E581" s="1125"/>
      <c r="F581" s="1130"/>
      <c r="G581" s="95"/>
      <c r="H581" s="90"/>
      <c r="I581" s="1125"/>
      <c r="J581" s="1134"/>
      <c r="K581" s="1134"/>
      <c r="L581" s="916"/>
    </row>
    <row r="582" spans="1:12" s="103" customFormat="1" ht="15.75" hidden="1" customHeight="1" outlineLevel="1">
      <c r="A582" s="916"/>
      <c r="B582" s="1124"/>
      <c r="C582" s="1128"/>
      <c r="D582" s="1126"/>
      <c r="E582" s="1126"/>
      <c r="F582" s="1132"/>
      <c r="G582" s="100"/>
      <c r="H582" s="98"/>
      <c r="I582" s="1126"/>
      <c r="J582" s="1135"/>
      <c r="K582" s="1135"/>
      <c r="L582" s="916"/>
    </row>
    <row r="583" spans="1:12" s="103" customFormat="1" ht="15.75" hidden="1" customHeight="1" outlineLevel="1">
      <c r="A583" s="916"/>
      <c r="B583" s="1123">
        <v>191</v>
      </c>
      <c r="C583" s="1127"/>
      <c r="D583" s="1125"/>
      <c r="E583" s="1125" t="s">
        <v>18</v>
      </c>
      <c r="F583" s="1130" t="str">
        <f>VLOOKUP(E583,$N$13:$O$17,2,0)</f>
        <v>-</v>
      </c>
      <c r="G583" s="92"/>
      <c r="H583" s="90"/>
      <c r="I583" s="1125"/>
      <c r="J583" s="1133"/>
      <c r="K583" s="1133"/>
      <c r="L583" s="916"/>
    </row>
    <row r="584" spans="1:12" s="103" customFormat="1" ht="15.75" hidden="1" customHeight="1" outlineLevel="1">
      <c r="A584" s="916"/>
      <c r="B584" s="1123"/>
      <c r="C584" s="1127"/>
      <c r="D584" s="1125"/>
      <c r="E584" s="1125"/>
      <c r="F584" s="1130"/>
      <c r="G584" s="95"/>
      <c r="H584" s="90"/>
      <c r="I584" s="1125"/>
      <c r="J584" s="1134"/>
      <c r="K584" s="1134"/>
      <c r="L584" s="916"/>
    </row>
    <row r="585" spans="1:12" s="103" customFormat="1" ht="15.75" hidden="1" customHeight="1" outlineLevel="1">
      <c r="A585" s="916"/>
      <c r="B585" s="1124"/>
      <c r="C585" s="1128"/>
      <c r="D585" s="1126"/>
      <c r="E585" s="1126"/>
      <c r="F585" s="1132"/>
      <c r="G585" s="100"/>
      <c r="H585" s="98"/>
      <c r="I585" s="1126"/>
      <c r="J585" s="1135"/>
      <c r="K585" s="1135"/>
      <c r="L585" s="916"/>
    </row>
    <row r="586" spans="1:12" s="103" customFormat="1" ht="15.75" hidden="1" customHeight="1" outlineLevel="1">
      <c r="A586" s="916"/>
      <c r="B586" s="1123">
        <v>192</v>
      </c>
      <c r="C586" s="1127"/>
      <c r="D586" s="1125"/>
      <c r="E586" s="1125" t="s">
        <v>18</v>
      </c>
      <c r="F586" s="1130" t="str">
        <f>VLOOKUP(E586,$N$13:$O$17,2,0)</f>
        <v>-</v>
      </c>
      <c r="G586" s="92"/>
      <c r="H586" s="90"/>
      <c r="I586" s="1125"/>
      <c r="J586" s="1133"/>
      <c r="K586" s="1133"/>
      <c r="L586" s="916"/>
    </row>
    <row r="587" spans="1:12" s="103" customFormat="1" ht="15.75" hidden="1" customHeight="1" outlineLevel="1">
      <c r="A587" s="916"/>
      <c r="B587" s="1123"/>
      <c r="C587" s="1127"/>
      <c r="D587" s="1125"/>
      <c r="E587" s="1125"/>
      <c r="F587" s="1130"/>
      <c r="G587" s="95"/>
      <c r="H587" s="90"/>
      <c r="I587" s="1125"/>
      <c r="J587" s="1134"/>
      <c r="K587" s="1134"/>
      <c r="L587" s="916"/>
    </row>
    <row r="588" spans="1:12" s="103" customFormat="1" ht="15.75" hidden="1" customHeight="1" outlineLevel="1">
      <c r="A588" s="916"/>
      <c r="B588" s="1124"/>
      <c r="C588" s="1128"/>
      <c r="D588" s="1126"/>
      <c r="E588" s="1126"/>
      <c r="F588" s="1132"/>
      <c r="G588" s="100"/>
      <c r="H588" s="98"/>
      <c r="I588" s="1126"/>
      <c r="J588" s="1135"/>
      <c r="K588" s="1135"/>
      <c r="L588" s="916"/>
    </row>
    <row r="589" spans="1:12" s="103" customFormat="1" ht="15.75" hidden="1" customHeight="1" outlineLevel="1">
      <c r="A589" s="916"/>
      <c r="B589" s="1123">
        <v>193</v>
      </c>
      <c r="C589" s="1127"/>
      <c r="D589" s="1125"/>
      <c r="E589" s="1125" t="s">
        <v>18</v>
      </c>
      <c r="F589" s="1130" t="str">
        <f>VLOOKUP(E589,$N$13:$O$17,2,0)</f>
        <v>-</v>
      </c>
      <c r="G589" s="92"/>
      <c r="H589" s="90"/>
      <c r="I589" s="1125"/>
      <c r="J589" s="1133"/>
      <c r="K589" s="1133"/>
      <c r="L589" s="916"/>
    </row>
    <row r="590" spans="1:12" s="103" customFormat="1" ht="15.75" hidden="1" customHeight="1" outlineLevel="1">
      <c r="A590" s="916"/>
      <c r="B590" s="1123"/>
      <c r="C590" s="1127"/>
      <c r="D590" s="1125"/>
      <c r="E590" s="1125"/>
      <c r="F590" s="1130"/>
      <c r="G590" s="95"/>
      <c r="H590" s="90"/>
      <c r="I590" s="1125"/>
      <c r="J590" s="1134"/>
      <c r="K590" s="1134"/>
      <c r="L590" s="916"/>
    </row>
    <row r="591" spans="1:12" s="103" customFormat="1" ht="15.75" hidden="1" customHeight="1" outlineLevel="1">
      <c r="A591" s="916"/>
      <c r="B591" s="1124"/>
      <c r="C591" s="1128"/>
      <c r="D591" s="1126"/>
      <c r="E591" s="1126"/>
      <c r="F591" s="1132"/>
      <c r="G591" s="100"/>
      <c r="H591" s="98"/>
      <c r="I591" s="1126"/>
      <c r="J591" s="1135"/>
      <c r="K591" s="1135"/>
      <c r="L591" s="916"/>
    </row>
    <row r="592" spans="1:12" s="103" customFormat="1" ht="15.75" hidden="1" customHeight="1" outlineLevel="1">
      <c r="A592" s="916"/>
      <c r="B592" s="1123">
        <v>194</v>
      </c>
      <c r="C592" s="1127"/>
      <c r="D592" s="1125"/>
      <c r="E592" s="1125" t="s">
        <v>18</v>
      </c>
      <c r="F592" s="1130" t="str">
        <f>VLOOKUP(E592,$N$13:$O$17,2,0)</f>
        <v>-</v>
      </c>
      <c r="G592" s="92"/>
      <c r="H592" s="90"/>
      <c r="I592" s="1125"/>
      <c r="J592" s="1133"/>
      <c r="K592" s="1133"/>
      <c r="L592" s="916"/>
    </row>
    <row r="593" spans="1:12" s="103" customFormat="1" ht="15.75" hidden="1" customHeight="1" outlineLevel="1">
      <c r="A593" s="916"/>
      <c r="B593" s="1123"/>
      <c r="C593" s="1127"/>
      <c r="D593" s="1125"/>
      <c r="E593" s="1125"/>
      <c r="F593" s="1130"/>
      <c r="G593" s="95"/>
      <c r="H593" s="90"/>
      <c r="I593" s="1125"/>
      <c r="J593" s="1134"/>
      <c r="K593" s="1134"/>
      <c r="L593" s="916"/>
    </row>
    <row r="594" spans="1:12" s="103" customFormat="1" ht="15.75" hidden="1" customHeight="1" outlineLevel="1">
      <c r="A594" s="916"/>
      <c r="B594" s="1124"/>
      <c r="C594" s="1128"/>
      <c r="D594" s="1126"/>
      <c r="E594" s="1126"/>
      <c r="F594" s="1132"/>
      <c r="G594" s="100"/>
      <c r="H594" s="98"/>
      <c r="I594" s="1126"/>
      <c r="J594" s="1135"/>
      <c r="K594" s="1135"/>
      <c r="L594" s="916"/>
    </row>
    <row r="595" spans="1:12" s="103" customFormat="1" ht="15.75" hidden="1" customHeight="1" outlineLevel="1">
      <c r="A595" s="916"/>
      <c r="B595" s="1123">
        <v>195</v>
      </c>
      <c r="C595" s="1127"/>
      <c r="D595" s="1125"/>
      <c r="E595" s="1125" t="s">
        <v>18</v>
      </c>
      <c r="F595" s="1130" t="str">
        <f>VLOOKUP(E595,$N$13:$O$17,2,0)</f>
        <v>-</v>
      </c>
      <c r="G595" s="92"/>
      <c r="H595" s="90"/>
      <c r="I595" s="1125"/>
      <c r="J595" s="1133"/>
      <c r="K595" s="1133"/>
      <c r="L595" s="916"/>
    </row>
    <row r="596" spans="1:12" s="103" customFormat="1" ht="15.75" hidden="1" customHeight="1" outlineLevel="1">
      <c r="A596" s="916"/>
      <c r="B596" s="1123"/>
      <c r="C596" s="1127"/>
      <c r="D596" s="1125"/>
      <c r="E596" s="1125"/>
      <c r="F596" s="1130"/>
      <c r="G596" s="95"/>
      <c r="H596" s="90"/>
      <c r="I596" s="1125"/>
      <c r="J596" s="1134"/>
      <c r="K596" s="1134"/>
      <c r="L596" s="916"/>
    </row>
    <row r="597" spans="1:12" s="103" customFormat="1" ht="15.75" hidden="1" customHeight="1" outlineLevel="1">
      <c r="A597" s="916"/>
      <c r="B597" s="1124"/>
      <c r="C597" s="1128"/>
      <c r="D597" s="1126"/>
      <c r="E597" s="1126"/>
      <c r="F597" s="1132"/>
      <c r="G597" s="100"/>
      <c r="H597" s="98"/>
      <c r="I597" s="1126"/>
      <c r="J597" s="1135"/>
      <c r="K597" s="1135"/>
      <c r="L597" s="916"/>
    </row>
    <row r="598" spans="1:12" s="103" customFormat="1" ht="15.75" hidden="1" customHeight="1" outlineLevel="1">
      <c r="A598" s="916"/>
      <c r="B598" s="1123">
        <v>196</v>
      </c>
      <c r="C598" s="1127"/>
      <c r="D598" s="1125"/>
      <c r="E598" s="1125" t="s">
        <v>18</v>
      </c>
      <c r="F598" s="1130" t="str">
        <f>VLOOKUP(E598,$N$13:$O$17,2,0)</f>
        <v>-</v>
      </c>
      <c r="G598" s="92"/>
      <c r="H598" s="90"/>
      <c r="I598" s="1125"/>
      <c r="J598" s="1133"/>
      <c r="K598" s="1133"/>
      <c r="L598" s="916"/>
    </row>
    <row r="599" spans="1:12" s="103" customFormat="1" ht="15.75" hidden="1" customHeight="1" outlineLevel="1">
      <c r="A599" s="916"/>
      <c r="B599" s="1123"/>
      <c r="C599" s="1127"/>
      <c r="D599" s="1125"/>
      <c r="E599" s="1125"/>
      <c r="F599" s="1130"/>
      <c r="G599" s="95"/>
      <c r="H599" s="90"/>
      <c r="I599" s="1125"/>
      <c r="J599" s="1134"/>
      <c r="K599" s="1134"/>
      <c r="L599" s="916"/>
    </row>
    <row r="600" spans="1:12" s="103" customFormat="1" ht="15.75" hidden="1" customHeight="1" outlineLevel="1">
      <c r="A600" s="916"/>
      <c r="B600" s="1124"/>
      <c r="C600" s="1128"/>
      <c r="D600" s="1126"/>
      <c r="E600" s="1126"/>
      <c r="F600" s="1132"/>
      <c r="G600" s="100"/>
      <c r="H600" s="98"/>
      <c r="I600" s="1126"/>
      <c r="J600" s="1135"/>
      <c r="K600" s="1135"/>
      <c r="L600" s="916"/>
    </row>
    <row r="601" spans="1:12" s="103" customFormat="1" ht="15.75" hidden="1" customHeight="1" outlineLevel="1">
      <c r="A601" s="916"/>
      <c r="B601" s="1123">
        <v>197</v>
      </c>
      <c r="C601" s="1127"/>
      <c r="D601" s="1125"/>
      <c r="E601" s="1125" t="s">
        <v>18</v>
      </c>
      <c r="F601" s="1130" t="str">
        <f>VLOOKUP(E601,$N$13:$O$17,2,0)</f>
        <v>-</v>
      </c>
      <c r="G601" s="92"/>
      <c r="H601" s="90"/>
      <c r="I601" s="1125"/>
      <c r="J601" s="1133"/>
      <c r="K601" s="1133"/>
      <c r="L601" s="916"/>
    </row>
    <row r="602" spans="1:12" s="103" customFormat="1" ht="15.75" hidden="1" customHeight="1" outlineLevel="1">
      <c r="A602" s="916"/>
      <c r="B602" s="1123"/>
      <c r="C602" s="1127"/>
      <c r="D602" s="1125"/>
      <c r="E602" s="1125"/>
      <c r="F602" s="1130"/>
      <c r="G602" s="95"/>
      <c r="H602" s="90"/>
      <c r="I602" s="1125"/>
      <c r="J602" s="1134"/>
      <c r="K602" s="1134"/>
      <c r="L602" s="916"/>
    </row>
    <row r="603" spans="1:12" s="103" customFormat="1" ht="15.75" hidden="1" customHeight="1" outlineLevel="1">
      <c r="A603" s="916"/>
      <c r="B603" s="1124"/>
      <c r="C603" s="1128"/>
      <c r="D603" s="1126"/>
      <c r="E603" s="1126"/>
      <c r="F603" s="1132"/>
      <c r="G603" s="100"/>
      <c r="H603" s="98"/>
      <c r="I603" s="1126"/>
      <c r="J603" s="1135"/>
      <c r="K603" s="1135"/>
      <c r="L603" s="916"/>
    </row>
    <row r="604" spans="1:12" s="103" customFormat="1" ht="15.75" hidden="1" customHeight="1" outlineLevel="1">
      <c r="A604" s="916"/>
      <c r="B604" s="1123">
        <v>198</v>
      </c>
      <c r="C604" s="1127"/>
      <c r="D604" s="1125"/>
      <c r="E604" s="1125" t="s">
        <v>18</v>
      </c>
      <c r="F604" s="1130" t="str">
        <f>VLOOKUP(E604,$N$13:$O$17,2,0)</f>
        <v>-</v>
      </c>
      <c r="G604" s="92"/>
      <c r="H604" s="90"/>
      <c r="I604" s="1125"/>
      <c r="J604" s="1133"/>
      <c r="K604" s="1133"/>
      <c r="L604" s="916"/>
    </row>
    <row r="605" spans="1:12" s="103" customFormat="1" ht="15.75" hidden="1" customHeight="1" outlineLevel="1">
      <c r="A605" s="916"/>
      <c r="B605" s="1123"/>
      <c r="C605" s="1127"/>
      <c r="D605" s="1125"/>
      <c r="E605" s="1125"/>
      <c r="F605" s="1130"/>
      <c r="G605" s="95"/>
      <c r="H605" s="90"/>
      <c r="I605" s="1125"/>
      <c r="J605" s="1134"/>
      <c r="K605" s="1134"/>
      <c r="L605" s="916"/>
    </row>
    <row r="606" spans="1:12" s="103" customFormat="1" ht="15.75" hidden="1" customHeight="1" outlineLevel="1">
      <c r="A606" s="916"/>
      <c r="B606" s="1124"/>
      <c r="C606" s="1128"/>
      <c r="D606" s="1126"/>
      <c r="E606" s="1126"/>
      <c r="F606" s="1132"/>
      <c r="G606" s="100"/>
      <c r="H606" s="98"/>
      <c r="I606" s="1126"/>
      <c r="J606" s="1135"/>
      <c r="K606" s="1135"/>
      <c r="L606" s="916"/>
    </row>
    <row r="607" spans="1:12" s="103" customFormat="1" ht="15.75" hidden="1" customHeight="1" outlineLevel="1">
      <c r="A607" s="916"/>
      <c r="B607" s="1123">
        <v>199</v>
      </c>
      <c r="C607" s="1127"/>
      <c r="D607" s="1125"/>
      <c r="E607" s="1125" t="s">
        <v>18</v>
      </c>
      <c r="F607" s="1130" t="str">
        <f>VLOOKUP(E607,$N$13:$O$17,2,0)</f>
        <v>-</v>
      </c>
      <c r="G607" s="92"/>
      <c r="H607" s="90"/>
      <c r="I607" s="1125"/>
      <c r="J607" s="1133"/>
      <c r="K607" s="1133"/>
      <c r="L607" s="916"/>
    </row>
    <row r="608" spans="1:12" s="103" customFormat="1" ht="15.75" hidden="1" customHeight="1" outlineLevel="1">
      <c r="A608" s="916"/>
      <c r="B608" s="1123"/>
      <c r="C608" s="1127"/>
      <c r="D608" s="1125"/>
      <c r="E608" s="1125"/>
      <c r="F608" s="1130"/>
      <c r="G608" s="95"/>
      <c r="H608" s="90"/>
      <c r="I608" s="1125"/>
      <c r="J608" s="1134"/>
      <c r="K608" s="1134"/>
      <c r="L608" s="916"/>
    </row>
    <row r="609" spans="1:12" s="103" customFormat="1" ht="15.75" hidden="1" customHeight="1" outlineLevel="1">
      <c r="A609" s="916"/>
      <c r="B609" s="1124"/>
      <c r="C609" s="1128"/>
      <c r="D609" s="1126"/>
      <c r="E609" s="1126"/>
      <c r="F609" s="1132"/>
      <c r="G609" s="100"/>
      <c r="H609" s="98"/>
      <c r="I609" s="1126"/>
      <c r="J609" s="1135"/>
      <c r="K609" s="1135"/>
      <c r="L609" s="916"/>
    </row>
    <row r="610" spans="1:12" s="103" customFormat="1" ht="15.75" hidden="1" customHeight="1" outlineLevel="1">
      <c r="A610" s="916"/>
      <c r="B610" s="1123">
        <v>200</v>
      </c>
      <c r="C610" s="1149" t="e">
        <f>CONCATENATE("Inne ",IF(#REF!=0,0,ROUND(#REF!/#REF!*100,1))," %")</f>
        <v>#REF!</v>
      </c>
      <c r="D610" s="1125"/>
      <c r="E610" s="1125" t="s">
        <v>18</v>
      </c>
      <c r="F610" s="1130" t="str">
        <f>VLOOKUP(E610,$N$13:$O$17,2,0)</f>
        <v>-</v>
      </c>
      <c r="G610" s="92"/>
      <c r="H610" s="90"/>
      <c r="I610" s="1125"/>
      <c r="J610" s="1133"/>
      <c r="K610" s="1133"/>
      <c r="L610" s="916"/>
    </row>
    <row r="611" spans="1:12" s="103" customFormat="1" ht="15.75" hidden="1" customHeight="1" outlineLevel="1">
      <c r="A611" s="916"/>
      <c r="B611" s="1123"/>
      <c r="C611" s="1150"/>
      <c r="D611" s="1125"/>
      <c r="E611" s="1125"/>
      <c r="F611" s="1130"/>
      <c r="G611" s="95"/>
      <c r="H611" s="90"/>
      <c r="I611" s="1125"/>
      <c r="J611" s="1134"/>
      <c r="K611" s="1134"/>
      <c r="L611" s="916"/>
    </row>
    <row r="612" spans="1:12" s="103" customFormat="1" ht="15.75" hidden="1" customHeight="1" outlineLevel="1" thickBot="1">
      <c r="A612" s="916"/>
      <c r="B612" s="1124"/>
      <c r="C612" s="1151"/>
      <c r="D612" s="1126"/>
      <c r="E612" s="1126"/>
      <c r="F612" s="1132"/>
      <c r="G612" s="100"/>
      <c r="H612" s="98"/>
      <c r="I612" s="1126"/>
      <c r="J612" s="1135"/>
      <c r="K612" s="1135"/>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45"/>
      <c r="G621" s="1146"/>
      <c r="H621" s="1146"/>
      <c r="I621" s="1146"/>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s>
  <phoneticPr fontId="2" type="noConversion"/>
  <dataValidations count="1">
    <dataValidation type="list" allowBlank="1" showInputMessage="1" showErrorMessage="1" sqref="E13:E612" xr:uid="{00000000-0002-0000-0E00-000000000000}">
      <formula1>$N$13:$N$17</formula1>
    </dataValidation>
  </dataValidations>
  <hyperlinks>
    <hyperlink ref="C1" location="Spis!B38" display="&gt;&gt; powrót do spisu treści" xr:uid="{00000000-0004-0000-0E00-000000000000}"/>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2067"/>
  <sheetViews>
    <sheetView zoomScale="90" zoomScaleNormal="90" workbookViewId="0">
      <pane ySplit="6" topLeftCell="A7" activePane="bottomLeft" state="frozen"/>
      <selection pane="bottomLeft" activeCell="B2" sqref="B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7" width="10.77734375" style="78" hidden="1" customWidth="1"/>
    <col min="18" max="22" width="10.77734375" style="78" customWidth="1"/>
    <col min="23"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47" t="s">
        <v>19</v>
      </c>
      <c r="D3" s="1147"/>
      <c r="E3" s="1147"/>
      <c r="F3" s="1147"/>
      <c r="G3" s="1147"/>
      <c r="H3" s="1148"/>
      <c r="I3" s="903"/>
      <c r="J3" s="880"/>
      <c r="K3" s="880"/>
      <c r="L3" s="880"/>
    </row>
    <row r="4" spans="1:19" ht="15" customHeight="1">
      <c r="A4" s="898"/>
      <c r="B4" s="915" t="s">
        <v>27</v>
      </c>
      <c r="C4" s="1147" t="s">
        <v>177</v>
      </c>
      <c r="D4" s="1147"/>
      <c r="E4" s="1147"/>
      <c r="F4" s="1147"/>
      <c r="G4" s="1147"/>
      <c r="H4" s="1148"/>
      <c r="I4" s="903"/>
      <c r="J4" s="880"/>
      <c r="K4" s="880"/>
      <c r="L4" s="880"/>
    </row>
    <row r="5" spans="1:19" ht="15" customHeight="1">
      <c r="A5" s="880"/>
      <c r="B5" s="897" t="s">
        <v>28</v>
      </c>
      <c r="C5" s="1116" t="s">
        <v>104</v>
      </c>
      <c r="D5" s="1116"/>
      <c r="E5" s="1116"/>
      <c r="F5" s="1116"/>
      <c r="G5" s="1116"/>
      <c r="H5" s="1148"/>
      <c r="I5" s="903"/>
      <c r="J5" s="880"/>
      <c r="K5" s="880"/>
      <c r="L5" s="880"/>
    </row>
    <row r="6" spans="1:19" ht="50.1" customHeight="1">
      <c r="A6" s="880"/>
      <c r="B6" s="897" t="s">
        <v>35</v>
      </c>
      <c r="C6" s="1116" t="s">
        <v>175</v>
      </c>
      <c r="D6" s="1120"/>
      <c r="E6" s="1120"/>
      <c r="F6" s="1120"/>
      <c r="G6" s="1120"/>
      <c r="H6" s="1148"/>
      <c r="I6" s="903"/>
      <c r="J6" s="880"/>
      <c r="K6" s="880"/>
      <c r="L6" s="880"/>
    </row>
    <row r="7" spans="1:19" s="79" customFormat="1" ht="30" customHeight="1" thickBot="1">
      <c r="A7" s="907"/>
      <c r="B7" s="908" t="s">
        <v>250</v>
      </c>
      <c r="C7" s="911"/>
      <c r="D7" s="909"/>
      <c r="E7" s="907"/>
      <c r="F7" s="910"/>
      <c r="G7" s="911"/>
      <c r="H7" s="912"/>
      <c r="I7" s="912"/>
      <c r="J7" s="913"/>
      <c r="K7" s="913"/>
      <c r="L7" s="913"/>
      <c r="M7" s="81"/>
    </row>
    <row r="8" spans="1:19"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c r="P8" s="76"/>
      <c r="Q8" s="76"/>
      <c r="R8" s="76"/>
      <c r="S8" s="76"/>
    </row>
    <row r="9" spans="1:19" ht="20.100000000000001" customHeight="1" thickBot="1">
      <c r="A9" s="880"/>
      <c r="B9" s="1152"/>
      <c r="C9" s="1106"/>
      <c r="D9" s="1106"/>
      <c r="E9" s="1106"/>
      <c r="F9" s="1106"/>
      <c r="G9" s="1106"/>
      <c r="H9" s="1106"/>
      <c r="I9" s="1103"/>
      <c r="J9" s="628">
        <f>Rok_ZPR</f>
        <v>2023</v>
      </c>
      <c r="K9" s="1102"/>
      <c r="L9" s="860"/>
      <c r="M9" s="84"/>
      <c r="N9" s="76"/>
      <c r="O9" s="76"/>
      <c r="P9" s="76"/>
      <c r="Q9" s="76"/>
      <c r="R9" s="76"/>
      <c r="S9" s="76"/>
    </row>
    <row r="10" spans="1:19" ht="20.100000000000001" customHeight="1">
      <c r="A10" s="880"/>
      <c r="B10" s="1152"/>
      <c r="C10" s="1106"/>
      <c r="D10" s="1106"/>
      <c r="E10" s="1106"/>
      <c r="F10" s="1106"/>
      <c r="G10" s="1106"/>
      <c r="H10" s="1106"/>
      <c r="I10" s="1104"/>
      <c r="J10" s="628" t="str">
        <f>'Tab.G1.1-4'!$D$11</f>
        <v>[tys. zł]</v>
      </c>
      <c r="K10" s="1102"/>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row>
    <row r="14" spans="1:19" s="82" customFormat="1" ht="12.75" customHeight="1">
      <c r="A14" s="900"/>
      <c r="B14" s="1123"/>
      <c r="C14" s="1153"/>
      <c r="D14" s="1125"/>
      <c r="E14" s="1125"/>
      <c r="F14" s="1130"/>
      <c r="G14" s="95"/>
      <c r="H14" s="1125"/>
      <c r="I14" s="1125"/>
      <c r="J14" s="1134"/>
      <c r="K14" s="1134"/>
      <c r="L14" s="892"/>
      <c r="M14" s="86"/>
      <c r="N14" s="96" t="s">
        <v>22</v>
      </c>
      <c r="O14" s="97" t="s">
        <v>59</v>
      </c>
    </row>
    <row r="15" spans="1:19" s="82" customFormat="1" ht="12.75" customHeight="1">
      <c r="A15" s="900"/>
      <c r="B15" s="1124"/>
      <c r="C15" s="1154"/>
      <c r="D15" s="1126"/>
      <c r="E15" s="1126"/>
      <c r="F15" s="1132"/>
      <c r="G15" s="100"/>
      <c r="H15" s="1126"/>
      <c r="I15" s="1126"/>
      <c r="J15" s="1135"/>
      <c r="K15" s="1135"/>
      <c r="L15" s="892"/>
      <c r="M15" s="86"/>
      <c r="N15" s="96" t="s">
        <v>23</v>
      </c>
      <c r="O15" s="97" t="s">
        <v>24</v>
      </c>
    </row>
    <row r="16" spans="1:19"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row>
    <row r="17" spans="1:15" s="82" customFormat="1" ht="12.75" customHeight="1" thickBot="1">
      <c r="A17" s="900"/>
      <c r="B17" s="1123"/>
      <c r="C17" s="1127"/>
      <c r="D17" s="1125"/>
      <c r="E17" s="1125"/>
      <c r="F17" s="1130"/>
      <c r="G17" s="95"/>
      <c r="H17" s="1125"/>
      <c r="I17" s="1125"/>
      <c r="J17" s="1134"/>
      <c r="K17" s="1134"/>
      <c r="L17" s="892"/>
      <c r="M17" s="86"/>
      <c r="N17" s="101" t="s">
        <v>18</v>
      </c>
      <c r="O17" s="102" t="s">
        <v>18</v>
      </c>
    </row>
    <row r="18" spans="1:15" s="82" customFormat="1" ht="12.75" customHeight="1">
      <c r="A18" s="900"/>
      <c r="B18" s="1124"/>
      <c r="C18" s="1128"/>
      <c r="D18" s="1126"/>
      <c r="E18" s="1126"/>
      <c r="F18" s="1132"/>
      <c r="G18" s="100"/>
      <c r="H18" s="1126"/>
      <c r="I18" s="1126"/>
      <c r="J18" s="1135"/>
      <c r="K18" s="1135"/>
      <c r="L18" s="892"/>
      <c r="M18" s="86"/>
      <c r="N18" s="103"/>
      <c r="O18" s="104"/>
    </row>
    <row r="19" spans="1:15" s="82" customFormat="1" ht="12.75" customHeight="1">
      <c r="A19" s="900"/>
      <c r="B19" s="1123">
        <v>3</v>
      </c>
      <c r="C19" s="1127"/>
      <c r="D19" s="1125"/>
      <c r="E19" s="1125" t="s">
        <v>18</v>
      </c>
      <c r="F19" s="1130" t="str">
        <f>VLOOKUP(E19,$N$13:$O$17,2,0)</f>
        <v>-</v>
      </c>
      <c r="G19" s="92"/>
      <c r="H19" s="1125"/>
      <c r="I19" s="1125"/>
      <c r="J19" s="1133"/>
      <c r="K19" s="1133"/>
      <c r="L19" s="892"/>
      <c r="M19" s="86"/>
      <c r="N19" s="103"/>
      <c r="O19" s="104"/>
    </row>
    <row r="20" spans="1:15" s="82" customFormat="1" ht="12.75" customHeight="1">
      <c r="A20" s="900"/>
      <c r="B20" s="1123"/>
      <c r="C20" s="1127"/>
      <c r="D20" s="1125"/>
      <c r="E20" s="1125"/>
      <c r="F20" s="1130"/>
      <c r="G20" s="95"/>
      <c r="H20" s="1125"/>
      <c r="I20" s="1125"/>
      <c r="J20" s="1134"/>
      <c r="K20" s="1134"/>
      <c r="L20" s="892"/>
      <c r="M20" s="86"/>
      <c r="N20" s="103"/>
      <c r="O20" s="104"/>
    </row>
    <row r="21" spans="1:15" s="82" customFormat="1" ht="12.75" customHeight="1">
      <c r="A21" s="900"/>
      <c r="B21" s="1124"/>
      <c r="C21" s="1128"/>
      <c r="D21" s="1126"/>
      <c r="E21" s="1126"/>
      <c r="F21" s="1132"/>
      <c r="G21" s="100"/>
      <c r="H21" s="1126"/>
      <c r="I21" s="1126"/>
      <c r="J21" s="1135"/>
      <c r="K21" s="1135"/>
      <c r="L21" s="892"/>
      <c r="M21" s="86"/>
      <c r="N21" s="103"/>
      <c r="O21" s="104"/>
    </row>
    <row r="22" spans="1:15" s="82" customFormat="1" ht="12.75" customHeight="1">
      <c r="A22" s="900"/>
      <c r="B22" s="1123">
        <v>4</v>
      </c>
      <c r="C22" s="1127"/>
      <c r="D22" s="1125"/>
      <c r="E22" s="1125" t="s">
        <v>18</v>
      </c>
      <c r="F22" s="1130" t="str">
        <f>VLOOKUP(E22,$N$13:$O$17,2,0)</f>
        <v>-</v>
      </c>
      <c r="G22" s="92"/>
      <c r="H22" s="1125"/>
      <c r="I22" s="1125"/>
      <c r="J22" s="1133"/>
      <c r="K22" s="1133"/>
      <c r="L22" s="892"/>
      <c r="M22" s="86"/>
      <c r="N22" s="103"/>
      <c r="O22" s="104"/>
    </row>
    <row r="23" spans="1:15" s="82" customFormat="1" ht="12.75" customHeight="1">
      <c r="A23" s="900"/>
      <c r="B23" s="1123"/>
      <c r="C23" s="1127"/>
      <c r="D23" s="1125"/>
      <c r="E23" s="1125"/>
      <c r="F23" s="1130"/>
      <c r="G23" s="95"/>
      <c r="H23" s="1125"/>
      <c r="I23" s="1125"/>
      <c r="J23" s="1134"/>
      <c r="K23" s="1134"/>
      <c r="L23" s="892"/>
      <c r="M23" s="86"/>
      <c r="N23" s="103"/>
      <c r="O23" s="104"/>
    </row>
    <row r="24" spans="1:15" s="82" customFormat="1" ht="12.75" customHeight="1">
      <c r="A24" s="900"/>
      <c r="B24" s="1124"/>
      <c r="C24" s="1128"/>
      <c r="D24" s="1126"/>
      <c r="E24" s="1126"/>
      <c r="F24" s="1132"/>
      <c r="G24" s="100"/>
      <c r="H24" s="1126"/>
      <c r="I24" s="1126"/>
      <c r="J24" s="1135"/>
      <c r="K24" s="1135"/>
      <c r="L24" s="892"/>
      <c r="M24" s="86"/>
      <c r="N24" s="103"/>
      <c r="O24" s="104"/>
    </row>
    <row r="25" spans="1:15" s="82" customFormat="1" ht="12.75" customHeight="1">
      <c r="A25" s="900"/>
      <c r="B25" s="1123">
        <v>5</v>
      </c>
      <c r="C25" s="1127"/>
      <c r="D25" s="1125"/>
      <c r="E25" s="1125" t="s">
        <v>18</v>
      </c>
      <c r="F25" s="1130" t="str">
        <f>VLOOKUP(E25,$N$13:$O$17,2,0)</f>
        <v>-</v>
      </c>
      <c r="G25" s="92"/>
      <c r="H25" s="1125"/>
      <c r="I25" s="1125"/>
      <c r="J25" s="1133"/>
      <c r="K25" s="1133"/>
      <c r="L25" s="892"/>
      <c r="M25" s="86"/>
      <c r="N25" s="103"/>
      <c r="O25" s="104"/>
    </row>
    <row r="26" spans="1:15" s="82" customFormat="1" ht="12.75" customHeight="1">
      <c r="A26" s="900"/>
      <c r="B26" s="1123"/>
      <c r="C26" s="1127"/>
      <c r="D26" s="1125"/>
      <c r="E26" s="1125"/>
      <c r="F26" s="1130"/>
      <c r="G26" s="95"/>
      <c r="H26" s="1125"/>
      <c r="I26" s="1125"/>
      <c r="J26" s="1134"/>
      <c r="K26" s="1134"/>
      <c r="L26" s="892"/>
      <c r="M26" s="86"/>
      <c r="N26" s="103"/>
      <c r="O26" s="104"/>
    </row>
    <row r="27" spans="1:15" s="82" customFormat="1" ht="12.75" customHeight="1">
      <c r="A27" s="900"/>
      <c r="B27" s="1124"/>
      <c r="C27" s="1128"/>
      <c r="D27" s="1126"/>
      <c r="E27" s="1126"/>
      <c r="F27" s="1132"/>
      <c r="G27" s="100"/>
      <c r="H27" s="1126"/>
      <c r="I27" s="1126"/>
      <c r="J27" s="1135"/>
      <c r="K27" s="1135"/>
      <c r="L27" s="892"/>
      <c r="M27" s="86"/>
      <c r="N27" s="103"/>
      <c r="O27" s="104"/>
    </row>
    <row r="28" spans="1:15" s="82" customFormat="1" ht="12.75" customHeight="1">
      <c r="A28" s="900"/>
      <c r="B28" s="1123">
        <v>6</v>
      </c>
      <c r="C28" s="1127"/>
      <c r="D28" s="1125"/>
      <c r="E28" s="1125" t="s">
        <v>18</v>
      </c>
      <c r="F28" s="1130" t="str">
        <f>VLOOKUP(E28,$N$13:$O$17,2,0)</f>
        <v>-</v>
      </c>
      <c r="G28" s="92"/>
      <c r="H28" s="1125"/>
      <c r="I28" s="1125"/>
      <c r="J28" s="1133"/>
      <c r="K28" s="1133"/>
      <c r="L28" s="892"/>
      <c r="M28" s="86"/>
      <c r="N28" s="103"/>
      <c r="O28" s="104"/>
    </row>
    <row r="29" spans="1:15" s="82" customFormat="1" ht="12.75" customHeight="1">
      <c r="A29" s="900"/>
      <c r="B29" s="1123"/>
      <c r="C29" s="1127"/>
      <c r="D29" s="1125"/>
      <c r="E29" s="1125"/>
      <c r="F29" s="1130"/>
      <c r="G29" s="95"/>
      <c r="H29" s="1125"/>
      <c r="I29" s="1125"/>
      <c r="J29" s="1134"/>
      <c r="K29" s="1134"/>
      <c r="L29" s="892"/>
      <c r="M29" s="86"/>
      <c r="N29" s="103"/>
      <c r="O29" s="104"/>
    </row>
    <row r="30" spans="1:15" s="82" customFormat="1" ht="12.75" customHeight="1">
      <c r="A30" s="900"/>
      <c r="B30" s="1124"/>
      <c r="C30" s="1128"/>
      <c r="D30" s="1126"/>
      <c r="E30" s="1126"/>
      <c r="F30" s="1132"/>
      <c r="G30" s="100"/>
      <c r="H30" s="1126"/>
      <c r="I30" s="1126"/>
      <c r="J30" s="1135"/>
      <c r="K30" s="1135"/>
      <c r="L30" s="892"/>
      <c r="M30" s="86"/>
      <c r="N30" s="103"/>
      <c r="O30" s="104"/>
    </row>
    <row r="31" spans="1:15" s="82" customFormat="1" ht="12.75" customHeight="1">
      <c r="A31" s="900"/>
      <c r="B31" s="1123">
        <v>7</v>
      </c>
      <c r="C31" s="1127"/>
      <c r="D31" s="1125"/>
      <c r="E31" s="1125" t="s">
        <v>18</v>
      </c>
      <c r="F31" s="1130" t="str">
        <f>VLOOKUP(E31,$N$13:$O$17,2,0)</f>
        <v>-</v>
      </c>
      <c r="G31" s="92"/>
      <c r="H31" s="1125"/>
      <c r="I31" s="1125"/>
      <c r="J31" s="1133"/>
      <c r="K31" s="1133"/>
      <c r="L31" s="892"/>
      <c r="M31" s="86"/>
      <c r="N31" s="103"/>
      <c r="O31" s="104"/>
    </row>
    <row r="32" spans="1:15" s="82" customFormat="1" ht="12.75" customHeight="1">
      <c r="A32" s="900"/>
      <c r="B32" s="1123"/>
      <c r="C32" s="1127"/>
      <c r="D32" s="1125"/>
      <c r="E32" s="1125"/>
      <c r="F32" s="1130"/>
      <c r="G32" s="95"/>
      <c r="H32" s="1125"/>
      <c r="I32" s="1125"/>
      <c r="J32" s="1134"/>
      <c r="K32" s="1134"/>
      <c r="L32" s="892"/>
      <c r="M32" s="86"/>
      <c r="N32" s="103"/>
      <c r="O32" s="104"/>
    </row>
    <row r="33" spans="1:15" s="82" customFormat="1" ht="12.75" customHeight="1">
      <c r="A33" s="900"/>
      <c r="B33" s="1124"/>
      <c r="C33" s="1128"/>
      <c r="D33" s="1126"/>
      <c r="E33" s="1126"/>
      <c r="F33" s="1132"/>
      <c r="G33" s="100"/>
      <c r="H33" s="1126"/>
      <c r="I33" s="1126"/>
      <c r="J33" s="1135"/>
      <c r="K33" s="1135"/>
      <c r="L33" s="892"/>
      <c r="M33" s="86"/>
      <c r="N33" s="103"/>
      <c r="O33" s="104"/>
    </row>
    <row r="34" spans="1:15" s="82" customFormat="1" ht="12.75" customHeight="1">
      <c r="A34" s="900"/>
      <c r="B34" s="1123">
        <v>8</v>
      </c>
      <c r="C34" s="1127"/>
      <c r="D34" s="1125"/>
      <c r="E34" s="1125" t="s">
        <v>18</v>
      </c>
      <c r="F34" s="1130" t="str">
        <f>VLOOKUP(E34,$N$13:$O$17,2,0)</f>
        <v>-</v>
      </c>
      <c r="G34" s="92"/>
      <c r="H34" s="1125"/>
      <c r="I34" s="1125"/>
      <c r="J34" s="1133"/>
      <c r="K34" s="1133"/>
      <c r="L34" s="892"/>
      <c r="M34" s="86"/>
      <c r="N34" s="103"/>
      <c r="O34" s="104"/>
    </row>
    <row r="35" spans="1:15" s="82" customFormat="1" ht="12.75" customHeight="1">
      <c r="A35" s="900"/>
      <c r="B35" s="1123"/>
      <c r="C35" s="1127"/>
      <c r="D35" s="1125"/>
      <c r="E35" s="1125"/>
      <c r="F35" s="1130"/>
      <c r="G35" s="825"/>
      <c r="H35" s="1125"/>
      <c r="I35" s="1125"/>
      <c r="J35" s="1134"/>
      <c r="K35" s="1134"/>
      <c r="L35" s="892"/>
      <c r="M35" s="86"/>
      <c r="N35" s="103"/>
      <c r="O35" s="104"/>
    </row>
    <row r="36" spans="1:15" s="82" customFormat="1" ht="12.75" customHeight="1">
      <c r="A36" s="900"/>
      <c r="B36" s="1124"/>
      <c r="C36" s="1128"/>
      <c r="D36" s="1126"/>
      <c r="E36" s="1126"/>
      <c r="F36" s="1132"/>
      <c r="G36" s="100"/>
      <c r="H36" s="1126"/>
      <c r="I36" s="1126"/>
      <c r="J36" s="1135"/>
      <c r="K36" s="1135"/>
      <c r="L36" s="892"/>
      <c r="M36" s="86"/>
      <c r="N36" s="103"/>
      <c r="O36" s="104"/>
    </row>
    <row r="37" spans="1:15" s="82" customFormat="1" ht="12.75" customHeight="1">
      <c r="A37" s="900"/>
      <c r="B37" s="1123">
        <v>9</v>
      </c>
      <c r="C37" s="1127"/>
      <c r="D37" s="1125"/>
      <c r="E37" s="1125" t="s">
        <v>18</v>
      </c>
      <c r="F37" s="1130" t="str">
        <f>VLOOKUP(E37,$N$13:$O$17,2,0)</f>
        <v>-</v>
      </c>
      <c r="G37" s="92"/>
      <c r="H37" s="1125"/>
      <c r="I37" s="1125"/>
      <c r="J37" s="1133"/>
      <c r="K37" s="1133"/>
      <c r="L37" s="892"/>
      <c r="M37" s="86"/>
      <c r="N37" s="103"/>
      <c r="O37" s="104"/>
    </row>
    <row r="38" spans="1:15" s="82" customFormat="1" ht="12.75" customHeight="1">
      <c r="A38" s="900"/>
      <c r="B38" s="1123"/>
      <c r="C38" s="1127"/>
      <c r="D38" s="1125"/>
      <c r="E38" s="1125"/>
      <c r="F38" s="1130"/>
      <c r="G38" s="95"/>
      <c r="H38" s="1125"/>
      <c r="I38" s="1125"/>
      <c r="J38" s="1134"/>
      <c r="K38" s="1134"/>
      <c r="L38" s="892"/>
      <c r="M38" s="86"/>
      <c r="N38" s="103"/>
      <c r="O38" s="104"/>
    </row>
    <row r="39" spans="1:15" s="82" customFormat="1" ht="12.75" customHeight="1">
      <c r="A39" s="900"/>
      <c r="B39" s="1124"/>
      <c r="C39" s="1128"/>
      <c r="D39" s="1126"/>
      <c r="E39" s="1126"/>
      <c r="F39" s="1132"/>
      <c r="G39" s="100"/>
      <c r="H39" s="1126"/>
      <c r="I39" s="1126"/>
      <c r="J39" s="1135"/>
      <c r="K39" s="1135"/>
      <c r="L39" s="892"/>
      <c r="M39" s="86"/>
      <c r="N39" s="103"/>
      <c r="O39" s="104"/>
    </row>
    <row r="40" spans="1:15" s="82" customFormat="1" ht="12.75" customHeight="1">
      <c r="A40" s="900"/>
      <c r="B40" s="1123">
        <v>10</v>
      </c>
      <c r="C40" s="1127"/>
      <c r="D40" s="1125"/>
      <c r="E40" s="1125" t="s">
        <v>18</v>
      </c>
      <c r="F40" s="1130" t="str">
        <f>VLOOKUP(E40,$N$13:$O$17,2,0)</f>
        <v>-</v>
      </c>
      <c r="G40" s="92"/>
      <c r="H40" s="1125"/>
      <c r="I40" s="1125"/>
      <c r="J40" s="1133"/>
      <c r="K40" s="1133"/>
      <c r="L40" s="892"/>
      <c r="M40" s="86"/>
      <c r="N40" s="103"/>
      <c r="O40" s="104"/>
    </row>
    <row r="41" spans="1:15" s="82" customFormat="1" ht="12.75" customHeight="1">
      <c r="A41" s="900"/>
      <c r="B41" s="1123"/>
      <c r="C41" s="1127"/>
      <c r="D41" s="1125"/>
      <c r="E41" s="1125"/>
      <c r="F41" s="1130"/>
      <c r="G41" s="95"/>
      <c r="H41" s="1125"/>
      <c r="I41" s="1125"/>
      <c r="J41" s="1134"/>
      <c r="K41" s="1134"/>
      <c r="L41" s="892"/>
      <c r="M41" s="86"/>
      <c r="N41" s="103"/>
      <c r="O41" s="104"/>
    </row>
    <row r="42" spans="1:15" s="82" customFormat="1" ht="12.75" customHeight="1" thickBot="1">
      <c r="A42" s="900"/>
      <c r="B42" s="1124"/>
      <c r="C42" s="1128"/>
      <c r="D42" s="1126"/>
      <c r="E42" s="1126"/>
      <c r="F42" s="1132"/>
      <c r="G42" s="100"/>
      <c r="H42" s="1126"/>
      <c r="I42" s="1126"/>
      <c r="J42" s="1135"/>
      <c r="K42" s="1135"/>
      <c r="L42" s="892"/>
      <c r="M42" s="86"/>
      <c r="N42" s="103"/>
      <c r="O42" s="104"/>
    </row>
    <row r="43" spans="1:15" s="103" customFormat="1" ht="15.75" hidden="1" customHeight="1" outlineLevel="1">
      <c r="A43" s="916"/>
      <c r="B43" s="1123">
        <v>11</v>
      </c>
      <c r="C43" s="1127"/>
      <c r="D43" s="1125"/>
      <c r="E43" s="1125" t="s">
        <v>18</v>
      </c>
      <c r="F43" s="1130" t="str">
        <f>VLOOKUP(E43,$N$13:$O$17,2,0)</f>
        <v>-</v>
      </c>
      <c r="G43" s="92"/>
      <c r="H43" s="1125"/>
      <c r="I43" s="1125"/>
      <c r="J43" s="1133"/>
      <c r="K43" s="1133"/>
      <c r="L43" s="916"/>
    </row>
    <row r="44" spans="1:15" s="103" customFormat="1" ht="15.75" hidden="1" customHeight="1" outlineLevel="1">
      <c r="A44" s="916"/>
      <c r="B44" s="1123"/>
      <c r="C44" s="1127"/>
      <c r="D44" s="1125"/>
      <c r="E44" s="1125"/>
      <c r="F44" s="1130"/>
      <c r="G44" s="95"/>
      <c r="H44" s="1125"/>
      <c r="I44" s="1125"/>
      <c r="J44" s="1134"/>
      <c r="K44" s="1134"/>
      <c r="L44" s="916"/>
    </row>
    <row r="45" spans="1:15" s="80" customFormat="1" ht="15.75" hidden="1" customHeight="1" outlineLevel="1">
      <c r="A45" s="910"/>
      <c r="B45" s="1124"/>
      <c r="C45" s="1128"/>
      <c r="D45" s="1126"/>
      <c r="E45" s="1126"/>
      <c r="F45" s="1132"/>
      <c r="G45" s="100"/>
      <c r="H45" s="1126"/>
      <c r="I45" s="1126"/>
      <c r="J45" s="1135"/>
      <c r="K45" s="1135"/>
      <c r="L45" s="910"/>
    </row>
    <row r="46" spans="1:15" s="80" customFormat="1" ht="15.75" hidden="1" customHeight="1" outlineLevel="1">
      <c r="A46" s="910"/>
      <c r="B46" s="1123">
        <v>12</v>
      </c>
      <c r="C46" s="1127"/>
      <c r="D46" s="1125"/>
      <c r="E46" s="1125" t="s">
        <v>18</v>
      </c>
      <c r="F46" s="1130" t="str">
        <f>VLOOKUP(E46,$N$13:$O$17,2,0)</f>
        <v>-</v>
      </c>
      <c r="G46" s="92"/>
      <c r="H46" s="1125"/>
      <c r="I46" s="1125"/>
      <c r="J46" s="1133"/>
      <c r="K46" s="1133"/>
      <c r="L46" s="910"/>
    </row>
    <row r="47" spans="1:15" s="103" customFormat="1" ht="15.75" hidden="1" customHeight="1" outlineLevel="1">
      <c r="A47" s="916"/>
      <c r="B47" s="1123"/>
      <c r="C47" s="1127"/>
      <c r="D47" s="1125"/>
      <c r="E47" s="1125"/>
      <c r="F47" s="1130"/>
      <c r="G47" s="95"/>
      <c r="H47" s="1125"/>
      <c r="I47" s="1125"/>
      <c r="J47" s="1134"/>
      <c r="K47" s="1134"/>
      <c r="L47" s="916"/>
    </row>
    <row r="48" spans="1:15" s="103" customFormat="1" ht="15.75" hidden="1" customHeight="1" outlineLevel="1">
      <c r="A48" s="916"/>
      <c r="B48" s="1124"/>
      <c r="C48" s="1128"/>
      <c r="D48" s="1126"/>
      <c r="E48" s="1126"/>
      <c r="F48" s="1132"/>
      <c r="G48" s="100"/>
      <c r="H48" s="1126"/>
      <c r="I48" s="1126"/>
      <c r="J48" s="1135"/>
      <c r="K48" s="1135"/>
      <c r="L48" s="916"/>
    </row>
    <row r="49" spans="1:12" s="103" customFormat="1" ht="15.75" hidden="1" customHeight="1" outlineLevel="1">
      <c r="A49" s="916"/>
      <c r="B49" s="1123">
        <v>13</v>
      </c>
      <c r="C49" s="1127"/>
      <c r="D49" s="1125"/>
      <c r="E49" s="1125" t="s">
        <v>18</v>
      </c>
      <c r="F49" s="1130" t="str">
        <f>VLOOKUP(E49,$N$13:$O$17,2,0)</f>
        <v>-</v>
      </c>
      <c r="G49" s="92"/>
      <c r="H49" s="1125"/>
      <c r="I49" s="1125"/>
      <c r="J49" s="1133"/>
      <c r="K49" s="1133"/>
      <c r="L49" s="916"/>
    </row>
    <row r="50" spans="1:12" s="103" customFormat="1" ht="15.75" hidden="1" customHeight="1" outlineLevel="1">
      <c r="A50" s="916"/>
      <c r="B50" s="1123"/>
      <c r="C50" s="1127"/>
      <c r="D50" s="1125"/>
      <c r="E50" s="1125"/>
      <c r="F50" s="1130"/>
      <c r="G50" s="95"/>
      <c r="H50" s="1125"/>
      <c r="I50" s="1125"/>
      <c r="J50" s="1134"/>
      <c r="K50" s="1134"/>
      <c r="L50" s="916"/>
    </row>
    <row r="51" spans="1:12" s="103" customFormat="1" ht="15.75" hidden="1" customHeight="1" outlineLevel="1">
      <c r="A51" s="916"/>
      <c r="B51" s="1124"/>
      <c r="C51" s="1128"/>
      <c r="D51" s="1126"/>
      <c r="E51" s="1126"/>
      <c r="F51" s="1132"/>
      <c r="G51" s="100"/>
      <c r="H51" s="1126"/>
      <c r="I51" s="1126"/>
      <c r="J51" s="1135"/>
      <c r="K51" s="1135"/>
      <c r="L51" s="916"/>
    </row>
    <row r="52" spans="1:12" s="103" customFormat="1" ht="15.75" hidden="1" customHeight="1" outlineLevel="1">
      <c r="A52" s="916"/>
      <c r="B52" s="1123">
        <v>14</v>
      </c>
      <c r="C52" s="1127"/>
      <c r="D52" s="1125"/>
      <c r="E52" s="1125" t="s">
        <v>18</v>
      </c>
      <c r="F52" s="1130" t="str">
        <f>VLOOKUP(E52,$N$13:$O$17,2,0)</f>
        <v>-</v>
      </c>
      <c r="G52" s="92"/>
      <c r="H52" s="1125"/>
      <c r="I52" s="1125"/>
      <c r="J52" s="1133"/>
      <c r="K52" s="1133"/>
      <c r="L52" s="916"/>
    </row>
    <row r="53" spans="1:12" s="103" customFormat="1" ht="15.75" hidden="1" customHeight="1" outlineLevel="1">
      <c r="A53" s="916"/>
      <c r="B53" s="1123"/>
      <c r="C53" s="1127"/>
      <c r="D53" s="1125"/>
      <c r="E53" s="1125"/>
      <c r="F53" s="1130"/>
      <c r="G53" s="95"/>
      <c r="H53" s="1125"/>
      <c r="I53" s="1125"/>
      <c r="J53" s="1134"/>
      <c r="K53" s="1134"/>
      <c r="L53" s="916"/>
    </row>
    <row r="54" spans="1:12" s="103" customFormat="1" ht="15.75" hidden="1" customHeight="1" outlineLevel="1">
      <c r="A54" s="916"/>
      <c r="B54" s="1124"/>
      <c r="C54" s="1128"/>
      <c r="D54" s="1126"/>
      <c r="E54" s="1126"/>
      <c r="F54" s="1132"/>
      <c r="G54" s="100"/>
      <c r="H54" s="1126"/>
      <c r="I54" s="1126"/>
      <c r="J54" s="1135"/>
      <c r="K54" s="1135"/>
      <c r="L54" s="916"/>
    </row>
    <row r="55" spans="1:12" s="103" customFormat="1" ht="15.75" hidden="1" customHeight="1" outlineLevel="1">
      <c r="A55" s="916"/>
      <c r="B55" s="1123">
        <v>15</v>
      </c>
      <c r="C55" s="1127"/>
      <c r="D55" s="1125"/>
      <c r="E55" s="1125" t="s">
        <v>18</v>
      </c>
      <c r="F55" s="1130" t="str">
        <f>VLOOKUP(E55,$N$13:$O$17,2,0)</f>
        <v>-</v>
      </c>
      <c r="G55" s="92"/>
      <c r="H55" s="1125"/>
      <c r="I55" s="1125"/>
      <c r="J55" s="1133"/>
      <c r="K55" s="1133"/>
      <c r="L55" s="916"/>
    </row>
    <row r="56" spans="1:12" s="103" customFormat="1" ht="15.75" hidden="1" customHeight="1" outlineLevel="1">
      <c r="A56" s="916"/>
      <c r="B56" s="1123"/>
      <c r="C56" s="1127"/>
      <c r="D56" s="1125"/>
      <c r="E56" s="1125"/>
      <c r="F56" s="1130"/>
      <c r="G56" s="95"/>
      <c r="H56" s="1125"/>
      <c r="I56" s="1125"/>
      <c r="J56" s="1134"/>
      <c r="K56" s="1134"/>
      <c r="L56" s="916"/>
    </row>
    <row r="57" spans="1:12" s="103" customFormat="1" ht="15.75" hidden="1" customHeight="1" outlineLevel="1">
      <c r="A57" s="916"/>
      <c r="B57" s="1124"/>
      <c r="C57" s="1128"/>
      <c r="D57" s="1126"/>
      <c r="E57" s="1126"/>
      <c r="F57" s="1132"/>
      <c r="G57" s="100"/>
      <c r="H57" s="1126"/>
      <c r="I57" s="1126"/>
      <c r="J57" s="1135"/>
      <c r="K57" s="1135"/>
      <c r="L57" s="916"/>
    </row>
    <row r="58" spans="1:12" s="103" customFormat="1" ht="15.75" hidden="1" customHeight="1" outlineLevel="1">
      <c r="A58" s="916"/>
      <c r="B58" s="1123">
        <v>16</v>
      </c>
      <c r="C58" s="1127"/>
      <c r="D58" s="1125"/>
      <c r="E58" s="1125" t="s">
        <v>18</v>
      </c>
      <c r="F58" s="1130" t="str">
        <f>VLOOKUP(E58,$N$13:$O$17,2,0)</f>
        <v>-</v>
      </c>
      <c r="G58" s="92"/>
      <c r="H58" s="1125"/>
      <c r="I58" s="1125"/>
      <c r="J58" s="1133"/>
      <c r="K58" s="1133"/>
      <c r="L58" s="916"/>
    </row>
    <row r="59" spans="1:12" s="103" customFormat="1" ht="15.75" hidden="1" customHeight="1" outlineLevel="1">
      <c r="A59" s="916"/>
      <c r="B59" s="1123"/>
      <c r="C59" s="1127"/>
      <c r="D59" s="1125"/>
      <c r="E59" s="1125"/>
      <c r="F59" s="1130"/>
      <c r="G59" s="95"/>
      <c r="H59" s="1125"/>
      <c r="I59" s="1125"/>
      <c r="J59" s="1134"/>
      <c r="K59" s="1134"/>
      <c r="L59" s="916"/>
    </row>
    <row r="60" spans="1:12" s="103" customFormat="1" ht="15.75" hidden="1" customHeight="1" outlineLevel="1">
      <c r="A60" s="916"/>
      <c r="B60" s="1124"/>
      <c r="C60" s="1128"/>
      <c r="D60" s="1126"/>
      <c r="E60" s="1126"/>
      <c r="F60" s="1132"/>
      <c r="G60" s="100"/>
      <c r="H60" s="1126"/>
      <c r="I60" s="1126"/>
      <c r="J60" s="1135"/>
      <c r="K60" s="1135"/>
      <c r="L60" s="916"/>
    </row>
    <row r="61" spans="1:12" s="103" customFormat="1" ht="15.75" hidden="1" customHeight="1" outlineLevel="1">
      <c r="A61" s="916"/>
      <c r="B61" s="1123">
        <v>17</v>
      </c>
      <c r="C61" s="1127"/>
      <c r="D61" s="1125"/>
      <c r="E61" s="1125" t="s">
        <v>18</v>
      </c>
      <c r="F61" s="1130" t="str">
        <f>VLOOKUP(E61,$N$13:$O$17,2,0)</f>
        <v>-</v>
      </c>
      <c r="G61" s="92"/>
      <c r="H61" s="1125"/>
      <c r="I61" s="1125"/>
      <c r="J61" s="1133"/>
      <c r="K61" s="1133"/>
      <c r="L61" s="916"/>
    </row>
    <row r="62" spans="1:12" s="103" customFormat="1" ht="15.75" hidden="1" customHeight="1" outlineLevel="1">
      <c r="A62" s="916"/>
      <c r="B62" s="1123"/>
      <c r="C62" s="1127"/>
      <c r="D62" s="1125"/>
      <c r="E62" s="1125"/>
      <c r="F62" s="1130"/>
      <c r="G62" s="95"/>
      <c r="H62" s="1125"/>
      <c r="I62" s="1125"/>
      <c r="J62" s="1134"/>
      <c r="K62" s="1134"/>
      <c r="L62" s="916"/>
    </row>
    <row r="63" spans="1:12" s="103" customFormat="1" ht="15.75" hidden="1" customHeight="1" outlineLevel="1">
      <c r="A63" s="916"/>
      <c r="B63" s="1124"/>
      <c r="C63" s="1128"/>
      <c r="D63" s="1126"/>
      <c r="E63" s="1126"/>
      <c r="F63" s="1132"/>
      <c r="G63" s="100"/>
      <c r="H63" s="1126"/>
      <c r="I63" s="1126"/>
      <c r="J63" s="1135"/>
      <c r="K63" s="1135"/>
      <c r="L63" s="916"/>
    </row>
    <row r="64" spans="1:12" s="103" customFormat="1" ht="15.75" hidden="1" customHeight="1" outlineLevel="1">
      <c r="A64" s="916"/>
      <c r="B64" s="1123">
        <v>18</v>
      </c>
      <c r="C64" s="1127"/>
      <c r="D64" s="1125"/>
      <c r="E64" s="1125" t="s">
        <v>18</v>
      </c>
      <c r="F64" s="1130" t="str">
        <f>VLOOKUP(E64,$N$13:$O$17,2,0)</f>
        <v>-</v>
      </c>
      <c r="G64" s="92"/>
      <c r="H64" s="1125"/>
      <c r="I64" s="1125"/>
      <c r="J64" s="1133"/>
      <c r="K64" s="1133"/>
      <c r="L64" s="916"/>
    </row>
    <row r="65" spans="1:12" s="103" customFormat="1" ht="15.75" hidden="1" customHeight="1" outlineLevel="1">
      <c r="A65" s="916"/>
      <c r="B65" s="1123"/>
      <c r="C65" s="1127"/>
      <c r="D65" s="1125"/>
      <c r="E65" s="1125"/>
      <c r="F65" s="1130"/>
      <c r="G65" s="95"/>
      <c r="H65" s="1125"/>
      <c r="I65" s="1125"/>
      <c r="J65" s="1134"/>
      <c r="K65" s="1134"/>
      <c r="L65" s="916"/>
    </row>
    <row r="66" spans="1:12" s="103" customFormat="1" ht="15.75" hidden="1" customHeight="1" outlineLevel="1">
      <c r="A66" s="916"/>
      <c r="B66" s="1124"/>
      <c r="C66" s="1128"/>
      <c r="D66" s="1126"/>
      <c r="E66" s="1126"/>
      <c r="F66" s="1132"/>
      <c r="G66" s="100"/>
      <c r="H66" s="1126"/>
      <c r="I66" s="1126"/>
      <c r="J66" s="1135"/>
      <c r="K66" s="1135"/>
      <c r="L66" s="916"/>
    </row>
    <row r="67" spans="1:12" s="103" customFormat="1" ht="15.75" hidden="1" customHeight="1" outlineLevel="1">
      <c r="A67" s="916"/>
      <c r="B67" s="1123">
        <v>19</v>
      </c>
      <c r="C67" s="1127"/>
      <c r="D67" s="1125"/>
      <c r="E67" s="1125" t="s">
        <v>18</v>
      </c>
      <c r="F67" s="1130" t="str">
        <f>VLOOKUP(E67,$N$13:$O$17,2,0)</f>
        <v>-</v>
      </c>
      <c r="G67" s="92"/>
      <c r="H67" s="1125"/>
      <c r="I67" s="1125"/>
      <c r="J67" s="1133"/>
      <c r="K67" s="1133"/>
      <c r="L67" s="916"/>
    </row>
    <row r="68" spans="1:12" s="103" customFormat="1" ht="15.75" hidden="1" customHeight="1" outlineLevel="1">
      <c r="A68" s="916"/>
      <c r="B68" s="1123"/>
      <c r="C68" s="1127"/>
      <c r="D68" s="1125"/>
      <c r="E68" s="1125"/>
      <c r="F68" s="1130"/>
      <c r="G68" s="95"/>
      <c r="H68" s="1125"/>
      <c r="I68" s="1125"/>
      <c r="J68" s="1134"/>
      <c r="K68" s="1134"/>
      <c r="L68" s="916"/>
    </row>
    <row r="69" spans="1:12" s="103" customFormat="1" ht="15.75" hidden="1" customHeight="1" outlineLevel="1">
      <c r="A69" s="916"/>
      <c r="B69" s="1124"/>
      <c r="C69" s="1128"/>
      <c r="D69" s="1126"/>
      <c r="E69" s="1126"/>
      <c r="F69" s="1132"/>
      <c r="G69" s="100"/>
      <c r="H69" s="1126"/>
      <c r="I69" s="1126"/>
      <c r="J69" s="1135"/>
      <c r="K69" s="1135"/>
      <c r="L69" s="916"/>
    </row>
    <row r="70" spans="1:12" s="103" customFormat="1" ht="15.75" hidden="1" customHeight="1" outlineLevel="1">
      <c r="A70" s="916"/>
      <c r="B70" s="1123">
        <v>20</v>
      </c>
      <c r="C70" s="1127"/>
      <c r="D70" s="1125"/>
      <c r="E70" s="1125" t="s">
        <v>18</v>
      </c>
      <c r="F70" s="1130" t="str">
        <f>VLOOKUP(E70,$N$13:$O$17,2,0)</f>
        <v>-</v>
      </c>
      <c r="G70" s="92"/>
      <c r="H70" s="1125"/>
      <c r="I70" s="1125"/>
      <c r="J70" s="1133"/>
      <c r="K70" s="1133"/>
      <c r="L70" s="916"/>
    </row>
    <row r="71" spans="1:12" s="103" customFormat="1" ht="15.75" hidden="1" customHeight="1" outlineLevel="1">
      <c r="A71" s="916"/>
      <c r="B71" s="1123"/>
      <c r="C71" s="1127"/>
      <c r="D71" s="1125"/>
      <c r="E71" s="1125"/>
      <c r="F71" s="1130"/>
      <c r="G71" s="95"/>
      <c r="H71" s="1125"/>
      <c r="I71" s="1125"/>
      <c r="J71" s="1134"/>
      <c r="K71" s="1134"/>
      <c r="L71" s="916"/>
    </row>
    <row r="72" spans="1:12" s="103" customFormat="1" ht="15.75" hidden="1" customHeight="1" outlineLevel="1">
      <c r="A72" s="916"/>
      <c r="B72" s="1124"/>
      <c r="C72" s="1128"/>
      <c r="D72" s="1126"/>
      <c r="E72" s="1126"/>
      <c r="F72" s="1132"/>
      <c r="G72" s="100"/>
      <c r="H72" s="1126"/>
      <c r="I72" s="1126"/>
      <c r="J72" s="1135"/>
      <c r="K72" s="1135"/>
      <c r="L72" s="916"/>
    </row>
    <row r="73" spans="1:12" s="103" customFormat="1" ht="15.75" hidden="1" customHeight="1" outlineLevel="1">
      <c r="A73" s="916"/>
      <c r="B73" s="1123">
        <v>21</v>
      </c>
      <c r="C73" s="1127"/>
      <c r="D73" s="1125"/>
      <c r="E73" s="1125" t="s">
        <v>18</v>
      </c>
      <c r="F73" s="1130" t="str">
        <f>VLOOKUP(E73,$N$13:$O$17,2,0)</f>
        <v>-</v>
      </c>
      <c r="G73" s="92"/>
      <c r="H73" s="1125"/>
      <c r="I73" s="1125"/>
      <c r="J73" s="1133"/>
      <c r="K73" s="1133"/>
      <c r="L73" s="916"/>
    </row>
    <row r="74" spans="1:12" s="103" customFormat="1" ht="15.75" hidden="1" customHeight="1" outlineLevel="1">
      <c r="A74" s="916"/>
      <c r="B74" s="1123"/>
      <c r="C74" s="1127"/>
      <c r="D74" s="1125"/>
      <c r="E74" s="1125"/>
      <c r="F74" s="1130"/>
      <c r="G74" s="95"/>
      <c r="H74" s="1125"/>
      <c r="I74" s="1125"/>
      <c r="J74" s="1134"/>
      <c r="K74" s="1134"/>
      <c r="L74" s="916"/>
    </row>
    <row r="75" spans="1:12" s="103" customFormat="1" ht="15.75" hidden="1" customHeight="1" outlineLevel="1">
      <c r="A75" s="916"/>
      <c r="B75" s="1124"/>
      <c r="C75" s="1128"/>
      <c r="D75" s="1126"/>
      <c r="E75" s="1126"/>
      <c r="F75" s="1132"/>
      <c r="G75" s="100"/>
      <c r="H75" s="1126"/>
      <c r="I75" s="1126"/>
      <c r="J75" s="1135"/>
      <c r="K75" s="1135"/>
      <c r="L75" s="916"/>
    </row>
    <row r="76" spans="1:12" s="103" customFormat="1" ht="15.75" hidden="1" customHeight="1" outlineLevel="1">
      <c r="A76" s="916"/>
      <c r="B76" s="1123">
        <v>22</v>
      </c>
      <c r="C76" s="1127"/>
      <c r="D76" s="1125"/>
      <c r="E76" s="1125" t="s">
        <v>18</v>
      </c>
      <c r="F76" s="1130" t="str">
        <f>VLOOKUP(E76,$N$13:$O$17,2,0)</f>
        <v>-</v>
      </c>
      <c r="G76" s="92"/>
      <c r="H76" s="1125"/>
      <c r="I76" s="1125"/>
      <c r="J76" s="1133"/>
      <c r="K76" s="1133"/>
      <c r="L76" s="916"/>
    </row>
    <row r="77" spans="1:12" s="103" customFormat="1" ht="15.75" hidden="1" customHeight="1" outlineLevel="1">
      <c r="A77" s="916"/>
      <c r="B77" s="1123"/>
      <c r="C77" s="1127"/>
      <c r="D77" s="1125"/>
      <c r="E77" s="1125"/>
      <c r="F77" s="1130"/>
      <c r="G77" s="95"/>
      <c r="H77" s="1125"/>
      <c r="I77" s="1125"/>
      <c r="J77" s="1134"/>
      <c r="K77" s="1134"/>
      <c r="L77" s="916"/>
    </row>
    <row r="78" spans="1:12" s="103" customFormat="1" ht="15.75" hidden="1" customHeight="1" outlineLevel="1">
      <c r="A78" s="916"/>
      <c r="B78" s="1124"/>
      <c r="C78" s="1128"/>
      <c r="D78" s="1126"/>
      <c r="E78" s="1126"/>
      <c r="F78" s="1132"/>
      <c r="G78" s="100"/>
      <c r="H78" s="1126"/>
      <c r="I78" s="1126"/>
      <c r="J78" s="1135"/>
      <c r="K78" s="1135"/>
      <c r="L78" s="916"/>
    </row>
    <row r="79" spans="1:12" s="103" customFormat="1" ht="15.75" hidden="1" customHeight="1" outlineLevel="1">
      <c r="A79" s="916"/>
      <c r="B79" s="1123">
        <v>23</v>
      </c>
      <c r="C79" s="1127"/>
      <c r="D79" s="1125"/>
      <c r="E79" s="1125" t="s">
        <v>18</v>
      </c>
      <c r="F79" s="1130" t="str">
        <f>VLOOKUP(E79,$N$13:$O$17,2,0)</f>
        <v>-</v>
      </c>
      <c r="G79" s="92"/>
      <c r="H79" s="1125"/>
      <c r="I79" s="1125"/>
      <c r="J79" s="1133"/>
      <c r="K79" s="1133"/>
      <c r="L79" s="916"/>
    </row>
    <row r="80" spans="1:12" s="103" customFormat="1" ht="15.75" hidden="1" customHeight="1" outlineLevel="1">
      <c r="A80" s="916"/>
      <c r="B80" s="1123"/>
      <c r="C80" s="1127"/>
      <c r="D80" s="1125"/>
      <c r="E80" s="1125"/>
      <c r="F80" s="1130"/>
      <c r="G80" s="95"/>
      <c r="H80" s="1125"/>
      <c r="I80" s="1125"/>
      <c r="J80" s="1134"/>
      <c r="K80" s="1134"/>
      <c r="L80" s="916"/>
    </row>
    <row r="81" spans="1:12" s="103" customFormat="1" ht="15.75" hidden="1" customHeight="1" outlineLevel="1">
      <c r="A81" s="916"/>
      <c r="B81" s="1124"/>
      <c r="C81" s="1128"/>
      <c r="D81" s="1126"/>
      <c r="E81" s="1126"/>
      <c r="F81" s="1132"/>
      <c r="G81" s="100"/>
      <c r="H81" s="1126"/>
      <c r="I81" s="1126"/>
      <c r="J81" s="1135"/>
      <c r="K81" s="1135"/>
      <c r="L81" s="916"/>
    </row>
    <row r="82" spans="1:12" s="103" customFormat="1" ht="15.75" hidden="1" customHeight="1" outlineLevel="1">
      <c r="A82" s="916"/>
      <c r="B82" s="1123">
        <v>24</v>
      </c>
      <c r="C82" s="1127"/>
      <c r="D82" s="1125"/>
      <c r="E82" s="1125" t="s">
        <v>18</v>
      </c>
      <c r="F82" s="1130" t="str">
        <f>VLOOKUP(E82,$N$13:$O$17,2,0)</f>
        <v>-</v>
      </c>
      <c r="G82" s="92"/>
      <c r="H82" s="1125"/>
      <c r="I82" s="1125"/>
      <c r="J82" s="1133"/>
      <c r="K82" s="1133"/>
      <c r="L82" s="916"/>
    </row>
    <row r="83" spans="1:12" s="103" customFormat="1" ht="15.75" hidden="1" customHeight="1" outlineLevel="1">
      <c r="A83" s="916"/>
      <c r="B83" s="1123"/>
      <c r="C83" s="1127"/>
      <c r="D83" s="1125"/>
      <c r="E83" s="1125"/>
      <c r="F83" s="1130"/>
      <c r="G83" s="95"/>
      <c r="H83" s="1125"/>
      <c r="I83" s="1125"/>
      <c r="J83" s="1134"/>
      <c r="K83" s="1134"/>
      <c r="L83" s="916"/>
    </row>
    <row r="84" spans="1:12" s="103" customFormat="1" ht="15.75" hidden="1" customHeight="1" outlineLevel="1">
      <c r="A84" s="916"/>
      <c r="B84" s="1124"/>
      <c r="C84" s="1128"/>
      <c r="D84" s="1126"/>
      <c r="E84" s="1126"/>
      <c r="F84" s="1132"/>
      <c r="G84" s="100"/>
      <c r="H84" s="1126"/>
      <c r="I84" s="1126"/>
      <c r="J84" s="1135"/>
      <c r="K84" s="1135"/>
      <c r="L84" s="916"/>
    </row>
    <row r="85" spans="1:12" s="103" customFormat="1" ht="15.75" hidden="1" customHeight="1" outlineLevel="1">
      <c r="A85" s="916"/>
      <c r="B85" s="1123">
        <v>25</v>
      </c>
      <c r="C85" s="1127"/>
      <c r="D85" s="1125"/>
      <c r="E85" s="1125" t="s">
        <v>18</v>
      </c>
      <c r="F85" s="1130" t="str">
        <f>VLOOKUP(E85,$N$13:$O$17,2,0)</f>
        <v>-</v>
      </c>
      <c r="G85" s="92"/>
      <c r="H85" s="1125"/>
      <c r="I85" s="1125"/>
      <c r="J85" s="1133"/>
      <c r="K85" s="1133"/>
      <c r="L85" s="916"/>
    </row>
    <row r="86" spans="1:12" s="103" customFormat="1" ht="15.75" hidden="1" customHeight="1" outlineLevel="1">
      <c r="A86" s="916"/>
      <c r="B86" s="1123"/>
      <c r="C86" s="1127"/>
      <c r="D86" s="1125"/>
      <c r="E86" s="1125"/>
      <c r="F86" s="1130"/>
      <c r="G86" s="95"/>
      <c r="H86" s="1125"/>
      <c r="I86" s="1125"/>
      <c r="J86" s="1134"/>
      <c r="K86" s="1134"/>
      <c r="L86" s="916"/>
    </row>
    <row r="87" spans="1:12" s="103" customFormat="1" ht="15.75" hidden="1" customHeight="1" outlineLevel="1">
      <c r="A87" s="916"/>
      <c r="B87" s="1124"/>
      <c r="C87" s="1128"/>
      <c r="D87" s="1126"/>
      <c r="E87" s="1126"/>
      <c r="F87" s="1132"/>
      <c r="G87" s="100"/>
      <c r="H87" s="1126"/>
      <c r="I87" s="1126"/>
      <c r="J87" s="1135"/>
      <c r="K87" s="1135"/>
      <c r="L87" s="916"/>
    </row>
    <row r="88" spans="1:12" s="103" customFormat="1" ht="15.75" hidden="1" customHeight="1" outlineLevel="1">
      <c r="A88" s="916"/>
      <c r="B88" s="1123">
        <v>26</v>
      </c>
      <c r="C88" s="1127"/>
      <c r="D88" s="1125"/>
      <c r="E88" s="1125" t="s">
        <v>18</v>
      </c>
      <c r="F88" s="1130" t="str">
        <f>VLOOKUP(E88,$N$13:$O$17,2,0)</f>
        <v>-</v>
      </c>
      <c r="G88" s="92"/>
      <c r="H88" s="1125"/>
      <c r="I88" s="1125"/>
      <c r="J88" s="1133"/>
      <c r="K88" s="1133"/>
      <c r="L88" s="916"/>
    </row>
    <row r="89" spans="1:12" s="103" customFormat="1" ht="15.75" hidden="1" customHeight="1" outlineLevel="1">
      <c r="A89" s="916"/>
      <c r="B89" s="1123"/>
      <c r="C89" s="1127"/>
      <c r="D89" s="1125"/>
      <c r="E89" s="1125"/>
      <c r="F89" s="1130"/>
      <c r="G89" s="95"/>
      <c r="H89" s="1125"/>
      <c r="I89" s="1125"/>
      <c r="J89" s="1134"/>
      <c r="K89" s="1134"/>
      <c r="L89" s="916"/>
    </row>
    <row r="90" spans="1:12" s="103" customFormat="1" ht="15.75" hidden="1" customHeight="1" outlineLevel="1">
      <c r="A90" s="916"/>
      <c r="B90" s="1124"/>
      <c r="C90" s="1128"/>
      <c r="D90" s="1126"/>
      <c r="E90" s="1126"/>
      <c r="F90" s="1132"/>
      <c r="G90" s="100"/>
      <c r="H90" s="1126"/>
      <c r="I90" s="1126"/>
      <c r="J90" s="1135"/>
      <c r="K90" s="1135"/>
      <c r="L90" s="916"/>
    </row>
    <row r="91" spans="1:12" s="103" customFormat="1" ht="15.75" hidden="1" customHeight="1" outlineLevel="1">
      <c r="A91" s="916"/>
      <c r="B91" s="1123">
        <v>27</v>
      </c>
      <c r="C91" s="1127"/>
      <c r="D91" s="1125"/>
      <c r="E91" s="1125" t="s">
        <v>18</v>
      </c>
      <c r="F91" s="1130" t="str">
        <f>VLOOKUP(E91,$N$13:$O$17,2,0)</f>
        <v>-</v>
      </c>
      <c r="G91" s="92"/>
      <c r="H91" s="1125"/>
      <c r="I91" s="1125"/>
      <c r="J91" s="1133"/>
      <c r="K91" s="1133"/>
      <c r="L91" s="916"/>
    </row>
    <row r="92" spans="1:12" s="103" customFormat="1" ht="15.75" hidden="1" customHeight="1" outlineLevel="1">
      <c r="A92" s="916"/>
      <c r="B92" s="1123"/>
      <c r="C92" s="1127"/>
      <c r="D92" s="1125"/>
      <c r="E92" s="1125"/>
      <c r="F92" s="1130"/>
      <c r="G92" s="95"/>
      <c r="H92" s="1125"/>
      <c r="I92" s="1125"/>
      <c r="J92" s="1134"/>
      <c r="K92" s="1134"/>
      <c r="L92" s="916"/>
    </row>
    <row r="93" spans="1:12" s="103" customFormat="1" ht="15.75" hidden="1" customHeight="1" outlineLevel="1">
      <c r="A93" s="916"/>
      <c r="B93" s="1124"/>
      <c r="C93" s="1128"/>
      <c r="D93" s="1126"/>
      <c r="E93" s="1126"/>
      <c r="F93" s="1132"/>
      <c r="G93" s="100"/>
      <c r="H93" s="1126"/>
      <c r="I93" s="1126"/>
      <c r="J93" s="1135"/>
      <c r="K93" s="1135"/>
      <c r="L93" s="916"/>
    </row>
    <row r="94" spans="1:12" s="103" customFormat="1" ht="15.75" hidden="1" customHeight="1" outlineLevel="1">
      <c r="A94" s="916"/>
      <c r="B94" s="1123">
        <v>28</v>
      </c>
      <c r="C94" s="1127"/>
      <c r="D94" s="1125"/>
      <c r="E94" s="1125" t="s">
        <v>18</v>
      </c>
      <c r="F94" s="1130" t="str">
        <f>VLOOKUP(E94,$N$13:$O$17,2,0)</f>
        <v>-</v>
      </c>
      <c r="G94" s="92"/>
      <c r="H94" s="1125"/>
      <c r="I94" s="1125"/>
      <c r="J94" s="1133"/>
      <c r="K94" s="1133"/>
      <c r="L94" s="916"/>
    </row>
    <row r="95" spans="1:12" s="103" customFormat="1" ht="15.75" hidden="1" customHeight="1" outlineLevel="1">
      <c r="A95" s="916"/>
      <c r="B95" s="1123"/>
      <c r="C95" s="1127"/>
      <c r="D95" s="1125"/>
      <c r="E95" s="1125"/>
      <c r="F95" s="1130"/>
      <c r="G95" s="95"/>
      <c r="H95" s="1125"/>
      <c r="I95" s="1125"/>
      <c r="J95" s="1134"/>
      <c r="K95" s="1134"/>
      <c r="L95" s="916"/>
    </row>
    <row r="96" spans="1:12" s="103" customFormat="1" ht="15.75" hidden="1" customHeight="1" outlineLevel="1">
      <c r="A96" s="916"/>
      <c r="B96" s="1124"/>
      <c r="C96" s="1128"/>
      <c r="D96" s="1126"/>
      <c r="E96" s="1126"/>
      <c r="F96" s="1132"/>
      <c r="G96" s="100"/>
      <c r="H96" s="1126"/>
      <c r="I96" s="1126"/>
      <c r="J96" s="1135"/>
      <c r="K96" s="1135"/>
      <c r="L96" s="916"/>
    </row>
    <row r="97" spans="1:12" s="103" customFormat="1" ht="15.75" hidden="1" customHeight="1" outlineLevel="1">
      <c r="A97" s="916"/>
      <c r="B97" s="1123">
        <v>29</v>
      </c>
      <c r="C97" s="1127"/>
      <c r="D97" s="1125"/>
      <c r="E97" s="1125" t="s">
        <v>18</v>
      </c>
      <c r="F97" s="1130" t="str">
        <f>VLOOKUP(E97,$N$13:$O$17,2,0)</f>
        <v>-</v>
      </c>
      <c r="G97" s="92"/>
      <c r="H97" s="1125"/>
      <c r="I97" s="1125"/>
      <c r="J97" s="1133"/>
      <c r="K97" s="1133"/>
      <c r="L97" s="916"/>
    </row>
    <row r="98" spans="1:12" s="103" customFormat="1" ht="15.75" hidden="1" customHeight="1" outlineLevel="1">
      <c r="A98" s="916"/>
      <c r="B98" s="1123"/>
      <c r="C98" s="1127"/>
      <c r="D98" s="1125"/>
      <c r="E98" s="1125"/>
      <c r="F98" s="1130"/>
      <c r="G98" s="95"/>
      <c r="H98" s="1125"/>
      <c r="I98" s="1125"/>
      <c r="J98" s="1134"/>
      <c r="K98" s="1134"/>
      <c r="L98" s="916"/>
    </row>
    <row r="99" spans="1:12" s="103" customFormat="1" ht="15.75" hidden="1" customHeight="1" outlineLevel="1">
      <c r="A99" s="916"/>
      <c r="B99" s="1124"/>
      <c r="C99" s="1128"/>
      <c r="D99" s="1126"/>
      <c r="E99" s="1126"/>
      <c r="F99" s="1132"/>
      <c r="G99" s="100"/>
      <c r="H99" s="1126"/>
      <c r="I99" s="1126"/>
      <c r="J99" s="1135"/>
      <c r="K99" s="1135"/>
      <c r="L99" s="916"/>
    </row>
    <row r="100" spans="1:12" s="103" customFormat="1" ht="15.75" hidden="1" customHeight="1" outlineLevel="1">
      <c r="A100" s="916"/>
      <c r="B100" s="1123">
        <v>30</v>
      </c>
      <c r="C100" s="1127"/>
      <c r="D100" s="1125"/>
      <c r="E100" s="1125" t="s">
        <v>18</v>
      </c>
      <c r="F100" s="1130" t="str">
        <f>VLOOKUP(E100,$N$13:$O$17,2,0)</f>
        <v>-</v>
      </c>
      <c r="G100" s="92"/>
      <c r="H100" s="1125"/>
      <c r="I100" s="1125"/>
      <c r="J100" s="1133"/>
      <c r="K100" s="1133"/>
      <c r="L100" s="916"/>
    </row>
    <row r="101" spans="1:12" s="103" customFormat="1" ht="15.75" hidden="1" customHeight="1" outlineLevel="1">
      <c r="A101" s="916"/>
      <c r="B101" s="1123"/>
      <c r="C101" s="1127"/>
      <c r="D101" s="1125"/>
      <c r="E101" s="1125"/>
      <c r="F101" s="1130"/>
      <c r="G101" s="95"/>
      <c r="H101" s="1125"/>
      <c r="I101" s="1125"/>
      <c r="J101" s="1134"/>
      <c r="K101" s="1134"/>
      <c r="L101" s="916"/>
    </row>
    <row r="102" spans="1:12" s="103" customFormat="1" ht="15.75" hidden="1" customHeight="1" outlineLevel="1">
      <c r="A102" s="916"/>
      <c r="B102" s="1124"/>
      <c r="C102" s="1128"/>
      <c r="D102" s="1126"/>
      <c r="E102" s="1126"/>
      <c r="F102" s="1132"/>
      <c r="G102" s="100"/>
      <c r="H102" s="1126"/>
      <c r="I102" s="1126"/>
      <c r="J102" s="1135"/>
      <c r="K102" s="1135"/>
      <c r="L102" s="916"/>
    </row>
    <row r="103" spans="1:12" s="103" customFormat="1" ht="15.75" hidden="1" customHeight="1" outlineLevel="1">
      <c r="A103" s="916"/>
      <c r="B103" s="1123">
        <v>31</v>
      </c>
      <c r="C103" s="1127"/>
      <c r="D103" s="1125"/>
      <c r="E103" s="1125" t="s">
        <v>18</v>
      </c>
      <c r="F103" s="1130" t="str">
        <f>VLOOKUP(E103,$N$13:$O$17,2,0)</f>
        <v>-</v>
      </c>
      <c r="G103" s="92"/>
      <c r="H103" s="1125"/>
      <c r="I103" s="1125"/>
      <c r="J103" s="1133"/>
      <c r="K103" s="1133"/>
      <c r="L103" s="916"/>
    </row>
    <row r="104" spans="1:12" s="103" customFormat="1" ht="15.75" hidden="1" customHeight="1" outlineLevel="1">
      <c r="A104" s="916"/>
      <c r="B104" s="1123"/>
      <c r="C104" s="1127"/>
      <c r="D104" s="1125"/>
      <c r="E104" s="1125"/>
      <c r="F104" s="1130"/>
      <c r="G104" s="95"/>
      <c r="H104" s="1125"/>
      <c r="I104" s="1125"/>
      <c r="J104" s="1134"/>
      <c r="K104" s="1134"/>
      <c r="L104" s="916"/>
    </row>
    <row r="105" spans="1:12" s="103" customFormat="1" ht="15.75" hidden="1" customHeight="1" outlineLevel="1">
      <c r="A105" s="916"/>
      <c r="B105" s="1124"/>
      <c r="C105" s="1128"/>
      <c r="D105" s="1126"/>
      <c r="E105" s="1126"/>
      <c r="F105" s="1132"/>
      <c r="G105" s="100"/>
      <c r="H105" s="1126"/>
      <c r="I105" s="1126"/>
      <c r="J105" s="1135"/>
      <c r="K105" s="1135"/>
      <c r="L105" s="916"/>
    </row>
    <row r="106" spans="1:12" s="103" customFormat="1" ht="15.75" hidden="1" customHeight="1" outlineLevel="1">
      <c r="A106" s="916"/>
      <c r="B106" s="1123">
        <v>32</v>
      </c>
      <c r="C106" s="1127"/>
      <c r="D106" s="1125"/>
      <c r="E106" s="1125" t="s">
        <v>18</v>
      </c>
      <c r="F106" s="1130" t="str">
        <f>VLOOKUP(E106,$N$13:$O$17,2,0)</f>
        <v>-</v>
      </c>
      <c r="G106" s="92"/>
      <c r="H106" s="1125"/>
      <c r="I106" s="1125"/>
      <c r="J106" s="1133"/>
      <c r="K106" s="1133"/>
      <c r="L106" s="916"/>
    </row>
    <row r="107" spans="1:12" s="103" customFormat="1" ht="15.75" hidden="1" customHeight="1" outlineLevel="1">
      <c r="A107" s="916"/>
      <c r="B107" s="1123"/>
      <c r="C107" s="1127"/>
      <c r="D107" s="1125"/>
      <c r="E107" s="1125"/>
      <c r="F107" s="1130"/>
      <c r="G107" s="95"/>
      <c r="H107" s="1125"/>
      <c r="I107" s="1125"/>
      <c r="J107" s="1134"/>
      <c r="K107" s="1134"/>
      <c r="L107" s="916"/>
    </row>
    <row r="108" spans="1:12" s="103" customFormat="1" ht="15.75" hidden="1" customHeight="1" outlineLevel="1">
      <c r="A108" s="916"/>
      <c r="B108" s="1124"/>
      <c r="C108" s="1128"/>
      <c r="D108" s="1126"/>
      <c r="E108" s="1126"/>
      <c r="F108" s="1132"/>
      <c r="G108" s="100"/>
      <c r="H108" s="1126"/>
      <c r="I108" s="1126"/>
      <c r="J108" s="1135"/>
      <c r="K108" s="1135"/>
      <c r="L108" s="916"/>
    </row>
    <row r="109" spans="1:12" s="103" customFormat="1" ht="15.75" hidden="1" customHeight="1" outlineLevel="1">
      <c r="A109" s="916"/>
      <c r="B109" s="1123">
        <v>33</v>
      </c>
      <c r="C109" s="1127"/>
      <c r="D109" s="1125"/>
      <c r="E109" s="1125" t="s">
        <v>18</v>
      </c>
      <c r="F109" s="1130" t="str">
        <f>VLOOKUP(E109,$N$13:$O$17,2,0)</f>
        <v>-</v>
      </c>
      <c r="G109" s="92"/>
      <c r="H109" s="1125"/>
      <c r="I109" s="1125"/>
      <c r="J109" s="1133"/>
      <c r="K109" s="1133"/>
      <c r="L109" s="916"/>
    </row>
    <row r="110" spans="1:12" s="103" customFormat="1" ht="15.75" hidden="1" customHeight="1" outlineLevel="1">
      <c r="A110" s="916"/>
      <c r="B110" s="1123"/>
      <c r="C110" s="1127"/>
      <c r="D110" s="1125"/>
      <c r="E110" s="1125"/>
      <c r="F110" s="1130"/>
      <c r="G110" s="95"/>
      <c r="H110" s="1125"/>
      <c r="I110" s="1125"/>
      <c r="J110" s="1134"/>
      <c r="K110" s="1134"/>
      <c r="L110" s="916"/>
    </row>
    <row r="111" spans="1:12" s="103" customFormat="1" ht="15.75" hidden="1" customHeight="1" outlineLevel="1">
      <c r="A111" s="916"/>
      <c r="B111" s="1124"/>
      <c r="C111" s="1128"/>
      <c r="D111" s="1126"/>
      <c r="E111" s="1126"/>
      <c r="F111" s="1132"/>
      <c r="G111" s="100"/>
      <c r="H111" s="1126"/>
      <c r="I111" s="1126"/>
      <c r="J111" s="1135"/>
      <c r="K111" s="1135"/>
      <c r="L111" s="916"/>
    </row>
    <row r="112" spans="1:12" s="103" customFormat="1" ht="15.75" hidden="1" customHeight="1" outlineLevel="1">
      <c r="A112" s="916"/>
      <c r="B112" s="1123">
        <v>34</v>
      </c>
      <c r="C112" s="1127"/>
      <c r="D112" s="1125"/>
      <c r="E112" s="1125" t="s">
        <v>18</v>
      </c>
      <c r="F112" s="1130" t="str">
        <f>VLOOKUP(E112,$N$13:$O$17,2,0)</f>
        <v>-</v>
      </c>
      <c r="G112" s="92"/>
      <c r="H112" s="1125"/>
      <c r="I112" s="1125"/>
      <c r="J112" s="1133"/>
      <c r="K112" s="1133"/>
      <c r="L112" s="916"/>
    </row>
    <row r="113" spans="1:12" s="103" customFormat="1" ht="15.75" hidden="1" customHeight="1" outlineLevel="1">
      <c r="A113" s="916"/>
      <c r="B113" s="1123"/>
      <c r="C113" s="1127"/>
      <c r="D113" s="1125"/>
      <c r="E113" s="1125"/>
      <c r="F113" s="1130"/>
      <c r="G113" s="95"/>
      <c r="H113" s="1125"/>
      <c r="I113" s="1125"/>
      <c r="J113" s="1134"/>
      <c r="K113" s="1134"/>
      <c r="L113" s="916"/>
    </row>
    <row r="114" spans="1:12" s="103" customFormat="1" ht="15.75" hidden="1" customHeight="1" outlineLevel="1">
      <c r="A114" s="916"/>
      <c r="B114" s="1124"/>
      <c r="C114" s="1128"/>
      <c r="D114" s="1126"/>
      <c r="E114" s="1126"/>
      <c r="F114" s="1132"/>
      <c r="G114" s="100"/>
      <c r="H114" s="1126"/>
      <c r="I114" s="1126"/>
      <c r="J114" s="1135"/>
      <c r="K114" s="1135"/>
      <c r="L114" s="916"/>
    </row>
    <row r="115" spans="1:12" s="103" customFormat="1" ht="15.75" hidden="1" customHeight="1" outlineLevel="1">
      <c r="A115" s="916"/>
      <c r="B115" s="1123">
        <v>35</v>
      </c>
      <c r="C115" s="1127"/>
      <c r="D115" s="1125"/>
      <c r="E115" s="1125" t="s">
        <v>18</v>
      </c>
      <c r="F115" s="1130" t="str">
        <f>VLOOKUP(E115,$N$13:$O$17,2,0)</f>
        <v>-</v>
      </c>
      <c r="G115" s="92"/>
      <c r="H115" s="1125"/>
      <c r="I115" s="1125"/>
      <c r="J115" s="1133"/>
      <c r="K115" s="1133"/>
      <c r="L115" s="916"/>
    </row>
    <row r="116" spans="1:12" s="103" customFormat="1" ht="15.75" hidden="1" customHeight="1" outlineLevel="1">
      <c r="A116" s="916"/>
      <c r="B116" s="1123"/>
      <c r="C116" s="1127"/>
      <c r="D116" s="1125"/>
      <c r="E116" s="1125"/>
      <c r="F116" s="1130"/>
      <c r="G116" s="95"/>
      <c r="H116" s="1125"/>
      <c r="I116" s="1125"/>
      <c r="J116" s="1134"/>
      <c r="K116" s="1134"/>
      <c r="L116" s="916"/>
    </row>
    <row r="117" spans="1:12" s="103" customFormat="1" ht="15.75" hidden="1" customHeight="1" outlineLevel="1">
      <c r="A117" s="916"/>
      <c r="B117" s="1124"/>
      <c r="C117" s="1128"/>
      <c r="D117" s="1126"/>
      <c r="E117" s="1126"/>
      <c r="F117" s="1132"/>
      <c r="G117" s="100"/>
      <c r="H117" s="1126"/>
      <c r="I117" s="1126"/>
      <c r="J117" s="1135"/>
      <c r="K117" s="1135"/>
      <c r="L117" s="916"/>
    </row>
    <row r="118" spans="1:12" s="103" customFormat="1" ht="15.75" hidden="1" customHeight="1" outlineLevel="1">
      <c r="A118" s="916"/>
      <c r="B118" s="1123">
        <v>36</v>
      </c>
      <c r="C118" s="1127"/>
      <c r="D118" s="1125"/>
      <c r="E118" s="1125" t="s">
        <v>18</v>
      </c>
      <c r="F118" s="1130" t="str">
        <f>VLOOKUP(E118,$N$13:$O$17,2,0)</f>
        <v>-</v>
      </c>
      <c r="G118" s="92"/>
      <c r="H118" s="1125"/>
      <c r="I118" s="1125"/>
      <c r="J118" s="1133"/>
      <c r="K118" s="1133"/>
      <c r="L118" s="916"/>
    </row>
    <row r="119" spans="1:12" s="103" customFormat="1" ht="15.75" hidden="1" customHeight="1" outlineLevel="1">
      <c r="A119" s="916"/>
      <c r="B119" s="1123"/>
      <c r="C119" s="1127"/>
      <c r="D119" s="1125"/>
      <c r="E119" s="1125"/>
      <c r="F119" s="1130"/>
      <c r="G119" s="95"/>
      <c r="H119" s="1125"/>
      <c r="I119" s="1125"/>
      <c r="J119" s="1134"/>
      <c r="K119" s="1134"/>
      <c r="L119" s="916"/>
    </row>
    <row r="120" spans="1:12" s="103" customFormat="1" ht="15.75" hidden="1" customHeight="1" outlineLevel="1">
      <c r="A120" s="916"/>
      <c r="B120" s="1124"/>
      <c r="C120" s="1128"/>
      <c r="D120" s="1126"/>
      <c r="E120" s="1126"/>
      <c r="F120" s="1132"/>
      <c r="G120" s="100"/>
      <c r="H120" s="1126"/>
      <c r="I120" s="1126"/>
      <c r="J120" s="1135"/>
      <c r="K120" s="1135"/>
      <c r="L120" s="916"/>
    </row>
    <row r="121" spans="1:12" s="103" customFormat="1" ht="15.75" hidden="1" customHeight="1" outlineLevel="1">
      <c r="A121" s="916"/>
      <c r="B121" s="1123">
        <v>37</v>
      </c>
      <c r="C121" s="1127"/>
      <c r="D121" s="1125"/>
      <c r="E121" s="1125" t="s">
        <v>18</v>
      </c>
      <c r="F121" s="1130" t="str">
        <f>VLOOKUP(E121,$N$13:$O$17,2,0)</f>
        <v>-</v>
      </c>
      <c r="G121" s="92"/>
      <c r="H121" s="1125"/>
      <c r="I121" s="1125"/>
      <c r="J121" s="1133"/>
      <c r="K121" s="1133"/>
      <c r="L121" s="916"/>
    </row>
    <row r="122" spans="1:12" s="103" customFormat="1" ht="15.75" hidden="1" customHeight="1" outlineLevel="1">
      <c r="A122" s="916"/>
      <c r="B122" s="1123"/>
      <c r="C122" s="1127"/>
      <c r="D122" s="1125"/>
      <c r="E122" s="1125"/>
      <c r="F122" s="1130"/>
      <c r="G122" s="95"/>
      <c r="H122" s="1125"/>
      <c r="I122" s="1125"/>
      <c r="J122" s="1134"/>
      <c r="K122" s="1134"/>
      <c r="L122" s="916"/>
    </row>
    <row r="123" spans="1:12" s="103" customFormat="1" ht="15.75" hidden="1" customHeight="1" outlineLevel="1">
      <c r="A123" s="916"/>
      <c r="B123" s="1124"/>
      <c r="C123" s="1128"/>
      <c r="D123" s="1126"/>
      <c r="E123" s="1126"/>
      <c r="F123" s="1132"/>
      <c r="G123" s="100"/>
      <c r="H123" s="1126"/>
      <c r="I123" s="1126"/>
      <c r="J123" s="1135"/>
      <c r="K123" s="1135"/>
      <c r="L123" s="916"/>
    </row>
    <row r="124" spans="1:12" s="103" customFormat="1" ht="15.75" hidden="1" customHeight="1" outlineLevel="1">
      <c r="A124" s="916"/>
      <c r="B124" s="1123">
        <v>38</v>
      </c>
      <c r="C124" s="1127"/>
      <c r="D124" s="1125"/>
      <c r="E124" s="1125" t="s">
        <v>18</v>
      </c>
      <c r="F124" s="1130" t="str">
        <f>VLOOKUP(E124,$N$13:$O$17,2,0)</f>
        <v>-</v>
      </c>
      <c r="G124" s="92"/>
      <c r="H124" s="1125"/>
      <c r="I124" s="1125"/>
      <c r="J124" s="1133"/>
      <c r="K124" s="1133"/>
      <c r="L124" s="916"/>
    </row>
    <row r="125" spans="1:12" s="103" customFormat="1" ht="15.75" hidden="1" customHeight="1" outlineLevel="1">
      <c r="A125" s="916"/>
      <c r="B125" s="1123"/>
      <c r="C125" s="1127"/>
      <c r="D125" s="1125"/>
      <c r="E125" s="1125"/>
      <c r="F125" s="1130"/>
      <c r="G125" s="95"/>
      <c r="H125" s="1125"/>
      <c r="I125" s="1125"/>
      <c r="J125" s="1134"/>
      <c r="K125" s="1134"/>
      <c r="L125" s="916"/>
    </row>
    <row r="126" spans="1:12" s="103" customFormat="1" ht="15.75" hidden="1" customHeight="1" outlineLevel="1">
      <c r="A126" s="916"/>
      <c r="B126" s="1124"/>
      <c r="C126" s="1128"/>
      <c r="D126" s="1126"/>
      <c r="E126" s="1126"/>
      <c r="F126" s="1132"/>
      <c r="G126" s="100"/>
      <c r="H126" s="1126"/>
      <c r="I126" s="1126"/>
      <c r="J126" s="1135"/>
      <c r="K126" s="1135"/>
      <c r="L126" s="916"/>
    </row>
    <row r="127" spans="1:12" s="103" customFormat="1" ht="15.75" hidden="1" customHeight="1" outlineLevel="1">
      <c r="A127" s="916"/>
      <c r="B127" s="1123">
        <v>39</v>
      </c>
      <c r="C127" s="1127"/>
      <c r="D127" s="1125"/>
      <c r="E127" s="1125" t="s">
        <v>18</v>
      </c>
      <c r="F127" s="1130" t="str">
        <f>VLOOKUP(E127,$N$13:$O$17,2,0)</f>
        <v>-</v>
      </c>
      <c r="G127" s="92"/>
      <c r="H127" s="1125"/>
      <c r="I127" s="1125"/>
      <c r="J127" s="1133"/>
      <c r="K127" s="1133"/>
      <c r="L127" s="916"/>
    </row>
    <row r="128" spans="1:12" s="103" customFormat="1" ht="15.75" hidden="1" customHeight="1" outlineLevel="1">
      <c r="A128" s="916"/>
      <c r="B128" s="1123"/>
      <c r="C128" s="1127"/>
      <c r="D128" s="1125"/>
      <c r="E128" s="1125"/>
      <c r="F128" s="1130"/>
      <c r="G128" s="95"/>
      <c r="H128" s="1125"/>
      <c r="I128" s="1125"/>
      <c r="J128" s="1134"/>
      <c r="K128" s="1134"/>
      <c r="L128" s="916"/>
    </row>
    <row r="129" spans="1:12" s="103" customFormat="1" ht="15.75" hidden="1" customHeight="1" outlineLevel="1">
      <c r="A129" s="916"/>
      <c r="B129" s="1124"/>
      <c r="C129" s="1128"/>
      <c r="D129" s="1126"/>
      <c r="E129" s="1126"/>
      <c r="F129" s="1132"/>
      <c r="G129" s="100"/>
      <c r="H129" s="1126"/>
      <c r="I129" s="1126"/>
      <c r="J129" s="1135"/>
      <c r="K129" s="1135"/>
      <c r="L129" s="916"/>
    </row>
    <row r="130" spans="1:12" s="103" customFormat="1" ht="15.75" hidden="1" customHeight="1" outlineLevel="1">
      <c r="A130" s="916"/>
      <c r="B130" s="1123">
        <v>40</v>
      </c>
      <c r="C130" s="1127"/>
      <c r="D130" s="1125"/>
      <c r="E130" s="1125" t="s">
        <v>18</v>
      </c>
      <c r="F130" s="1130" t="str">
        <f>VLOOKUP(E130,$N$13:$O$17,2,0)</f>
        <v>-</v>
      </c>
      <c r="G130" s="92"/>
      <c r="H130" s="1125"/>
      <c r="I130" s="1125"/>
      <c r="J130" s="1133"/>
      <c r="K130" s="1133"/>
      <c r="L130" s="916"/>
    </row>
    <row r="131" spans="1:12" s="103" customFormat="1" ht="15.75" hidden="1" customHeight="1" outlineLevel="1">
      <c r="A131" s="916"/>
      <c r="B131" s="1123"/>
      <c r="C131" s="1127"/>
      <c r="D131" s="1125"/>
      <c r="E131" s="1125"/>
      <c r="F131" s="1130"/>
      <c r="G131" s="95"/>
      <c r="H131" s="1125"/>
      <c r="I131" s="1125"/>
      <c r="J131" s="1134"/>
      <c r="K131" s="1134"/>
      <c r="L131" s="916"/>
    </row>
    <row r="132" spans="1:12" s="103" customFormat="1" ht="15.75" hidden="1" customHeight="1" outlineLevel="1">
      <c r="A132" s="916"/>
      <c r="B132" s="1124"/>
      <c r="C132" s="1128"/>
      <c r="D132" s="1126"/>
      <c r="E132" s="1126"/>
      <c r="F132" s="1132"/>
      <c r="G132" s="100"/>
      <c r="H132" s="1126"/>
      <c r="I132" s="1126"/>
      <c r="J132" s="1135"/>
      <c r="K132" s="1135"/>
      <c r="L132" s="916"/>
    </row>
    <row r="133" spans="1:12" s="103" customFormat="1" ht="15.75" hidden="1" customHeight="1" outlineLevel="1">
      <c r="A133" s="916"/>
      <c r="B133" s="1123">
        <v>41</v>
      </c>
      <c r="C133" s="1127"/>
      <c r="D133" s="1125"/>
      <c r="E133" s="1125" t="s">
        <v>18</v>
      </c>
      <c r="F133" s="1130" t="str">
        <f>VLOOKUP(E133,$N$13:$O$17,2,0)</f>
        <v>-</v>
      </c>
      <c r="G133" s="92"/>
      <c r="H133" s="1125"/>
      <c r="I133" s="1125"/>
      <c r="J133" s="1133"/>
      <c r="K133" s="1133"/>
      <c r="L133" s="916"/>
    </row>
    <row r="134" spans="1:12" s="103" customFormat="1" ht="15.75" hidden="1" customHeight="1" outlineLevel="1">
      <c r="A134" s="916"/>
      <c r="B134" s="1123"/>
      <c r="C134" s="1127"/>
      <c r="D134" s="1125"/>
      <c r="E134" s="1125"/>
      <c r="F134" s="1130"/>
      <c r="G134" s="95"/>
      <c r="H134" s="1125"/>
      <c r="I134" s="1125"/>
      <c r="J134" s="1134"/>
      <c r="K134" s="1134"/>
      <c r="L134" s="916"/>
    </row>
    <row r="135" spans="1:12" s="103" customFormat="1" ht="15.75" hidden="1" customHeight="1" outlineLevel="1">
      <c r="A135" s="916"/>
      <c r="B135" s="1124"/>
      <c r="C135" s="1128"/>
      <c r="D135" s="1126"/>
      <c r="E135" s="1126"/>
      <c r="F135" s="1132"/>
      <c r="G135" s="100"/>
      <c r="H135" s="1126"/>
      <c r="I135" s="1126"/>
      <c r="J135" s="1135"/>
      <c r="K135" s="1135"/>
      <c r="L135" s="916"/>
    </row>
    <row r="136" spans="1:12" s="103" customFormat="1" ht="15.75" hidden="1" customHeight="1" outlineLevel="1">
      <c r="A136" s="916"/>
      <c r="B136" s="1123">
        <v>42</v>
      </c>
      <c r="C136" s="1127"/>
      <c r="D136" s="1125"/>
      <c r="E136" s="1125" t="s">
        <v>18</v>
      </c>
      <c r="F136" s="1130" t="str">
        <f>VLOOKUP(E136,$N$13:$O$17,2,0)</f>
        <v>-</v>
      </c>
      <c r="G136" s="92"/>
      <c r="H136" s="1125"/>
      <c r="I136" s="1125"/>
      <c r="J136" s="1133"/>
      <c r="K136" s="1133"/>
      <c r="L136" s="916"/>
    </row>
    <row r="137" spans="1:12" s="103" customFormat="1" ht="15.75" hidden="1" customHeight="1" outlineLevel="1">
      <c r="A137" s="916"/>
      <c r="B137" s="1123"/>
      <c r="C137" s="1127"/>
      <c r="D137" s="1125"/>
      <c r="E137" s="1125"/>
      <c r="F137" s="1130"/>
      <c r="G137" s="95"/>
      <c r="H137" s="1125"/>
      <c r="I137" s="1125"/>
      <c r="J137" s="1134"/>
      <c r="K137" s="1134"/>
      <c r="L137" s="916"/>
    </row>
    <row r="138" spans="1:12" s="103" customFormat="1" ht="15.75" hidden="1" customHeight="1" outlineLevel="1">
      <c r="A138" s="916"/>
      <c r="B138" s="1124"/>
      <c r="C138" s="1128"/>
      <c r="D138" s="1126"/>
      <c r="E138" s="1126"/>
      <c r="F138" s="1132"/>
      <c r="G138" s="100"/>
      <c r="H138" s="1126"/>
      <c r="I138" s="1126"/>
      <c r="J138" s="1135"/>
      <c r="K138" s="1135"/>
      <c r="L138" s="916"/>
    </row>
    <row r="139" spans="1:12" s="103" customFormat="1" ht="15.75" hidden="1" customHeight="1" outlineLevel="1">
      <c r="A139" s="916"/>
      <c r="B139" s="1123">
        <v>43</v>
      </c>
      <c r="C139" s="1127"/>
      <c r="D139" s="1125"/>
      <c r="E139" s="1125" t="s">
        <v>18</v>
      </c>
      <c r="F139" s="1130" t="str">
        <f>VLOOKUP(E139,$N$13:$O$17,2,0)</f>
        <v>-</v>
      </c>
      <c r="G139" s="92"/>
      <c r="H139" s="1125"/>
      <c r="I139" s="1125"/>
      <c r="J139" s="1133"/>
      <c r="K139" s="1133"/>
      <c r="L139" s="916"/>
    </row>
    <row r="140" spans="1:12" s="103" customFormat="1" ht="15.75" hidden="1" customHeight="1" outlineLevel="1">
      <c r="A140" s="916"/>
      <c r="B140" s="1123"/>
      <c r="C140" s="1127"/>
      <c r="D140" s="1125"/>
      <c r="E140" s="1125"/>
      <c r="F140" s="1130"/>
      <c r="G140" s="95"/>
      <c r="H140" s="1125"/>
      <c r="I140" s="1125"/>
      <c r="J140" s="1134"/>
      <c r="K140" s="1134"/>
      <c r="L140" s="916"/>
    </row>
    <row r="141" spans="1:12" s="103" customFormat="1" ht="15.75" hidden="1" customHeight="1" outlineLevel="1">
      <c r="A141" s="916"/>
      <c r="B141" s="1124"/>
      <c r="C141" s="1128"/>
      <c r="D141" s="1126"/>
      <c r="E141" s="1126"/>
      <c r="F141" s="1132"/>
      <c r="G141" s="100"/>
      <c r="H141" s="1126"/>
      <c r="I141" s="1126"/>
      <c r="J141" s="1135"/>
      <c r="K141" s="1135"/>
      <c r="L141" s="916"/>
    </row>
    <row r="142" spans="1:12" s="103" customFormat="1" ht="15.75" hidden="1" customHeight="1" outlineLevel="1">
      <c r="A142" s="916"/>
      <c r="B142" s="1123">
        <v>44</v>
      </c>
      <c r="C142" s="1127"/>
      <c r="D142" s="1125"/>
      <c r="E142" s="1125" t="s">
        <v>18</v>
      </c>
      <c r="F142" s="1130" t="str">
        <f>VLOOKUP(E142,$N$13:$O$17,2,0)</f>
        <v>-</v>
      </c>
      <c r="G142" s="92"/>
      <c r="H142" s="823"/>
      <c r="I142" s="1125"/>
      <c r="J142" s="1133"/>
      <c r="K142" s="1133"/>
      <c r="L142" s="916"/>
    </row>
    <row r="143" spans="1:12" s="103" customFormat="1" ht="15.75" hidden="1" customHeight="1" outlineLevel="1">
      <c r="A143" s="916"/>
      <c r="B143" s="1123"/>
      <c r="C143" s="1127"/>
      <c r="D143" s="1125"/>
      <c r="E143" s="1125"/>
      <c r="F143" s="1130"/>
      <c r="G143" s="95"/>
      <c r="H143" s="823"/>
      <c r="I143" s="1125"/>
      <c r="J143" s="1134"/>
      <c r="K143" s="1134"/>
      <c r="L143" s="916"/>
    </row>
    <row r="144" spans="1:12" s="103" customFormat="1" ht="15.75" hidden="1" customHeight="1" outlineLevel="1">
      <c r="A144" s="916"/>
      <c r="B144" s="1124"/>
      <c r="C144" s="1128"/>
      <c r="D144" s="1126"/>
      <c r="E144" s="1126"/>
      <c r="F144" s="1132"/>
      <c r="G144" s="100"/>
      <c r="H144" s="824"/>
      <c r="I144" s="1126"/>
      <c r="J144" s="1135"/>
      <c r="K144" s="1135"/>
      <c r="L144" s="916"/>
    </row>
    <row r="145" spans="1:12" s="103" customFormat="1" ht="15.75" hidden="1" customHeight="1" outlineLevel="1">
      <c r="A145" s="916"/>
      <c r="B145" s="1123">
        <v>45</v>
      </c>
      <c r="C145" s="1127"/>
      <c r="D145" s="1125"/>
      <c r="E145" s="1125" t="s">
        <v>18</v>
      </c>
      <c r="F145" s="1130" t="str">
        <f>VLOOKUP(E145,$N$13:$O$17,2,0)</f>
        <v>-</v>
      </c>
      <c r="G145" s="92"/>
      <c r="H145" s="823"/>
      <c r="I145" s="1125"/>
      <c r="J145" s="1133"/>
      <c r="K145" s="1133"/>
      <c r="L145" s="916"/>
    </row>
    <row r="146" spans="1:12" s="103" customFormat="1" ht="15.75" hidden="1" customHeight="1" outlineLevel="1">
      <c r="A146" s="916"/>
      <c r="B146" s="1123"/>
      <c r="C146" s="1127"/>
      <c r="D146" s="1125"/>
      <c r="E146" s="1125"/>
      <c r="F146" s="1130"/>
      <c r="G146" s="95"/>
      <c r="H146" s="823"/>
      <c r="I146" s="1125"/>
      <c r="J146" s="1134"/>
      <c r="K146" s="1134"/>
      <c r="L146" s="916"/>
    </row>
    <row r="147" spans="1:12" s="103" customFormat="1" ht="15.75" hidden="1" customHeight="1" outlineLevel="1">
      <c r="A147" s="916"/>
      <c r="B147" s="1124"/>
      <c r="C147" s="1128"/>
      <c r="D147" s="1126"/>
      <c r="E147" s="1126"/>
      <c r="F147" s="1132"/>
      <c r="G147" s="100"/>
      <c r="H147" s="824"/>
      <c r="I147" s="1126"/>
      <c r="J147" s="1135"/>
      <c r="K147" s="1135"/>
      <c r="L147" s="916"/>
    </row>
    <row r="148" spans="1:12" s="103" customFormat="1" ht="15.75" hidden="1" customHeight="1" outlineLevel="1">
      <c r="A148" s="916"/>
      <c r="B148" s="1123">
        <v>46</v>
      </c>
      <c r="C148" s="1127"/>
      <c r="D148" s="1125"/>
      <c r="E148" s="1125" t="s">
        <v>18</v>
      </c>
      <c r="F148" s="1130" t="str">
        <f>VLOOKUP(E148,$N$13:$O$17,2,0)</f>
        <v>-</v>
      </c>
      <c r="G148" s="92"/>
      <c r="H148" s="823"/>
      <c r="I148" s="1125"/>
      <c r="J148" s="1133"/>
      <c r="K148" s="1133"/>
      <c r="L148" s="916"/>
    </row>
    <row r="149" spans="1:12" s="103" customFormat="1" ht="15.75" hidden="1" customHeight="1" outlineLevel="1">
      <c r="A149" s="916"/>
      <c r="B149" s="1123"/>
      <c r="C149" s="1127"/>
      <c r="D149" s="1125"/>
      <c r="E149" s="1125"/>
      <c r="F149" s="1130"/>
      <c r="G149" s="95"/>
      <c r="H149" s="823"/>
      <c r="I149" s="1125"/>
      <c r="J149" s="1134"/>
      <c r="K149" s="1134"/>
      <c r="L149" s="916"/>
    </row>
    <row r="150" spans="1:12" s="103" customFormat="1" ht="15.75" hidden="1" customHeight="1" outlineLevel="1">
      <c r="A150" s="916"/>
      <c r="B150" s="1124"/>
      <c r="C150" s="1128"/>
      <c r="D150" s="1126"/>
      <c r="E150" s="1126"/>
      <c r="F150" s="1132"/>
      <c r="G150" s="100"/>
      <c r="H150" s="824"/>
      <c r="I150" s="1126"/>
      <c r="J150" s="1135"/>
      <c r="K150" s="1135"/>
      <c r="L150" s="916"/>
    </row>
    <row r="151" spans="1:12" s="103" customFormat="1" ht="15.75" hidden="1" customHeight="1" outlineLevel="1">
      <c r="A151" s="916"/>
      <c r="B151" s="1123">
        <v>47</v>
      </c>
      <c r="C151" s="1127"/>
      <c r="D151" s="1125"/>
      <c r="E151" s="1125" t="s">
        <v>18</v>
      </c>
      <c r="F151" s="1130" t="str">
        <f>VLOOKUP(E151,$N$13:$O$17,2,0)</f>
        <v>-</v>
      </c>
      <c r="G151" s="92"/>
      <c r="H151" s="823"/>
      <c r="I151" s="1125"/>
      <c r="J151" s="1133"/>
      <c r="K151" s="1133"/>
      <c r="L151" s="916"/>
    </row>
    <row r="152" spans="1:12" s="103" customFormat="1" ht="15.75" hidden="1" customHeight="1" outlineLevel="1">
      <c r="A152" s="916"/>
      <c r="B152" s="1123"/>
      <c r="C152" s="1127"/>
      <c r="D152" s="1125"/>
      <c r="E152" s="1125"/>
      <c r="F152" s="1130"/>
      <c r="G152" s="95"/>
      <c r="H152" s="823"/>
      <c r="I152" s="1125"/>
      <c r="J152" s="1134"/>
      <c r="K152" s="1134"/>
      <c r="L152" s="916"/>
    </row>
    <row r="153" spans="1:12" s="103" customFormat="1" ht="15.75" hidden="1" customHeight="1" outlineLevel="1">
      <c r="A153" s="916"/>
      <c r="B153" s="1124"/>
      <c r="C153" s="1128"/>
      <c r="D153" s="1126"/>
      <c r="E153" s="1126"/>
      <c r="F153" s="1132"/>
      <c r="G153" s="100"/>
      <c r="H153" s="824"/>
      <c r="I153" s="1126"/>
      <c r="J153" s="1135"/>
      <c r="K153" s="1135"/>
      <c r="L153" s="916"/>
    </row>
    <row r="154" spans="1:12" s="103" customFormat="1" ht="15.75" hidden="1" customHeight="1" outlineLevel="1">
      <c r="A154" s="916"/>
      <c r="B154" s="1123">
        <v>48</v>
      </c>
      <c r="C154" s="1127"/>
      <c r="D154" s="1125"/>
      <c r="E154" s="1125" t="s">
        <v>18</v>
      </c>
      <c r="F154" s="1130" t="str">
        <f>VLOOKUP(E154,$N$13:$O$17,2,0)</f>
        <v>-</v>
      </c>
      <c r="G154" s="92"/>
      <c r="H154" s="823"/>
      <c r="I154" s="1125"/>
      <c r="J154" s="1133"/>
      <c r="K154" s="1133"/>
      <c r="L154" s="916"/>
    </row>
    <row r="155" spans="1:12" s="103" customFormat="1" ht="15.75" hidden="1" customHeight="1" outlineLevel="1">
      <c r="A155" s="916"/>
      <c r="B155" s="1123"/>
      <c r="C155" s="1127"/>
      <c r="D155" s="1125"/>
      <c r="E155" s="1125"/>
      <c r="F155" s="1130"/>
      <c r="G155" s="95"/>
      <c r="H155" s="823"/>
      <c r="I155" s="1125"/>
      <c r="J155" s="1134"/>
      <c r="K155" s="1134"/>
      <c r="L155" s="916"/>
    </row>
    <row r="156" spans="1:12" s="103" customFormat="1" ht="15.75" hidden="1" customHeight="1" outlineLevel="1">
      <c r="A156" s="916"/>
      <c r="B156" s="1124"/>
      <c r="C156" s="1128"/>
      <c r="D156" s="1126"/>
      <c r="E156" s="1126"/>
      <c r="F156" s="1132"/>
      <c r="G156" s="100"/>
      <c r="H156" s="824"/>
      <c r="I156" s="1126"/>
      <c r="J156" s="1135"/>
      <c r="K156" s="1135"/>
      <c r="L156" s="916"/>
    </row>
    <row r="157" spans="1:12" s="103" customFormat="1" ht="15.75" hidden="1" customHeight="1" outlineLevel="1">
      <c r="A157" s="916"/>
      <c r="B157" s="1123">
        <v>49</v>
      </c>
      <c r="C157" s="1127"/>
      <c r="D157" s="1125"/>
      <c r="E157" s="1125" t="s">
        <v>18</v>
      </c>
      <c r="F157" s="1130" t="str">
        <f>VLOOKUP(E157,$N$13:$O$17,2,0)</f>
        <v>-</v>
      </c>
      <c r="G157" s="92"/>
      <c r="H157" s="823"/>
      <c r="I157" s="1125"/>
      <c r="J157" s="1133"/>
      <c r="K157" s="1133"/>
      <c r="L157" s="916"/>
    </row>
    <row r="158" spans="1:12" s="103" customFormat="1" ht="15.75" hidden="1" customHeight="1" outlineLevel="1">
      <c r="A158" s="916"/>
      <c r="B158" s="1123"/>
      <c r="C158" s="1127"/>
      <c r="D158" s="1125"/>
      <c r="E158" s="1125"/>
      <c r="F158" s="1130"/>
      <c r="G158" s="95"/>
      <c r="H158" s="823"/>
      <c r="I158" s="1125"/>
      <c r="J158" s="1134"/>
      <c r="K158" s="1134"/>
      <c r="L158" s="916"/>
    </row>
    <row r="159" spans="1:12" s="103" customFormat="1" ht="15.75" hidden="1" customHeight="1" outlineLevel="1">
      <c r="A159" s="916"/>
      <c r="B159" s="1124"/>
      <c r="C159" s="1128"/>
      <c r="D159" s="1126"/>
      <c r="E159" s="1126"/>
      <c r="F159" s="1132"/>
      <c r="G159" s="100"/>
      <c r="H159" s="824"/>
      <c r="I159" s="1126"/>
      <c r="J159" s="1135"/>
      <c r="K159" s="1135"/>
      <c r="L159" s="916"/>
    </row>
    <row r="160" spans="1:12" s="103" customFormat="1" ht="15.75" hidden="1" customHeight="1" outlineLevel="1">
      <c r="A160" s="916"/>
      <c r="B160" s="1123">
        <v>50</v>
      </c>
      <c r="C160" s="1127"/>
      <c r="D160" s="1125"/>
      <c r="E160" s="1125" t="s">
        <v>18</v>
      </c>
      <c r="F160" s="1130" t="str">
        <f>VLOOKUP(E160,$N$13:$O$17,2,0)</f>
        <v>-</v>
      </c>
      <c r="G160" s="92"/>
      <c r="H160" s="823"/>
      <c r="I160" s="1125"/>
      <c r="J160" s="1133"/>
      <c r="K160" s="1133"/>
      <c r="L160" s="916"/>
    </row>
    <row r="161" spans="1:12" s="103" customFormat="1" ht="15.75" hidden="1" customHeight="1" outlineLevel="1">
      <c r="A161" s="916"/>
      <c r="B161" s="1123"/>
      <c r="C161" s="1127"/>
      <c r="D161" s="1125"/>
      <c r="E161" s="1125"/>
      <c r="F161" s="1130"/>
      <c r="G161" s="95"/>
      <c r="H161" s="823"/>
      <c r="I161" s="1125"/>
      <c r="J161" s="1134"/>
      <c r="K161" s="1134"/>
      <c r="L161" s="916"/>
    </row>
    <row r="162" spans="1:12" s="103" customFormat="1" ht="15.75" hidden="1" customHeight="1" outlineLevel="1">
      <c r="A162" s="916"/>
      <c r="B162" s="1124"/>
      <c r="C162" s="1128"/>
      <c r="D162" s="1126"/>
      <c r="E162" s="1126"/>
      <c r="F162" s="1132"/>
      <c r="G162" s="100"/>
      <c r="H162" s="824"/>
      <c r="I162" s="1126"/>
      <c r="J162" s="1135"/>
      <c r="K162" s="1135"/>
      <c r="L162" s="916"/>
    </row>
    <row r="163" spans="1:12" s="103" customFormat="1" ht="15.75" hidden="1" customHeight="1" outlineLevel="1">
      <c r="A163" s="916"/>
      <c r="B163" s="1123">
        <v>51</v>
      </c>
      <c r="C163" s="1127"/>
      <c r="D163" s="1125"/>
      <c r="E163" s="1125" t="s">
        <v>18</v>
      </c>
      <c r="F163" s="1130" t="str">
        <f>VLOOKUP(E163,$N$13:$O$17,2,0)</f>
        <v>-</v>
      </c>
      <c r="G163" s="92"/>
      <c r="H163" s="823"/>
      <c r="I163" s="1125"/>
      <c r="J163" s="1133"/>
      <c r="K163" s="1133"/>
      <c r="L163" s="916"/>
    </row>
    <row r="164" spans="1:12" s="103" customFormat="1" ht="15.75" hidden="1" customHeight="1" outlineLevel="1">
      <c r="A164" s="916"/>
      <c r="B164" s="1123"/>
      <c r="C164" s="1127"/>
      <c r="D164" s="1125"/>
      <c r="E164" s="1125"/>
      <c r="F164" s="1130"/>
      <c r="G164" s="95"/>
      <c r="H164" s="823"/>
      <c r="I164" s="1125"/>
      <c r="J164" s="1134"/>
      <c r="K164" s="1134"/>
      <c r="L164" s="916"/>
    </row>
    <row r="165" spans="1:12" s="103" customFormat="1" ht="15.75" hidden="1" customHeight="1" outlineLevel="1">
      <c r="A165" s="916"/>
      <c r="B165" s="1124"/>
      <c r="C165" s="1128"/>
      <c r="D165" s="1126"/>
      <c r="E165" s="1126"/>
      <c r="F165" s="1132"/>
      <c r="G165" s="100"/>
      <c r="H165" s="824"/>
      <c r="I165" s="1126"/>
      <c r="J165" s="1135"/>
      <c r="K165" s="1135"/>
      <c r="L165" s="916"/>
    </row>
    <row r="166" spans="1:12" s="103" customFormat="1" ht="15.75" hidden="1" customHeight="1" outlineLevel="1">
      <c r="A166" s="916"/>
      <c r="B166" s="1123">
        <v>52</v>
      </c>
      <c r="C166" s="1127"/>
      <c r="D166" s="1125"/>
      <c r="E166" s="1125" t="s">
        <v>18</v>
      </c>
      <c r="F166" s="1130" t="str">
        <f>VLOOKUP(E166,$N$13:$O$17,2,0)</f>
        <v>-</v>
      </c>
      <c r="G166" s="92"/>
      <c r="H166" s="823"/>
      <c r="I166" s="1125"/>
      <c r="J166" s="1133"/>
      <c r="K166" s="1133"/>
      <c r="L166" s="916"/>
    </row>
    <row r="167" spans="1:12" s="103" customFormat="1" ht="15.75" hidden="1" customHeight="1" outlineLevel="1">
      <c r="A167" s="916"/>
      <c r="B167" s="1123"/>
      <c r="C167" s="1127"/>
      <c r="D167" s="1125"/>
      <c r="E167" s="1125"/>
      <c r="F167" s="1130"/>
      <c r="G167" s="95"/>
      <c r="H167" s="823"/>
      <c r="I167" s="1125"/>
      <c r="J167" s="1134"/>
      <c r="K167" s="1134"/>
      <c r="L167" s="916"/>
    </row>
    <row r="168" spans="1:12" s="103" customFormat="1" ht="15.75" hidden="1" customHeight="1" outlineLevel="1">
      <c r="A168" s="916"/>
      <c r="B168" s="1124"/>
      <c r="C168" s="1128"/>
      <c r="D168" s="1126"/>
      <c r="E168" s="1126"/>
      <c r="F168" s="1132"/>
      <c r="G168" s="100"/>
      <c r="H168" s="824"/>
      <c r="I168" s="1126"/>
      <c r="J168" s="1135"/>
      <c r="K168" s="1135"/>
      <c r="L168" s="916"/>
    </row>
    <row r="169" spans="1:12" s="103" customFormat="1" ht="15.75" hidden="1" customHeight="1" outlineLevel="1">
      <c r="A169" s="916"/>
      <c r="B169" s="1123">
        <v>53</v>
      </c>
      <c r="C169" s="1127"/>
      <c r="D169" s="1125"/>
      <c r="E169" s="1125" t="s">
        <v>18</v>
      </c>
      <c r="F169" s="1130" t="str">
        <f>VLOOKUP(E169,$N$13:$O$17,2,0)</f>
        <v>-</v>
      </c>
      <c r="G169" s="92"/>
      <c r="H169" s="823"/>
      <c r="I169" s="1125"/>
      <c r="J169" s="1133"/>
      <c r="K169" s="1133"/>
      <c r="L169" s="916"/>
    </row>
    <row r="170" spans="1:12" s="103" customFormat="1" ht="15.75" hidden="1" customHeight="1" outlineLevel="1">
      <c r="A170" s="916"/>
      <c r="B170" s="1123"/>
      <c r="C170" s="1127"/>
      <c r="D170" s="1125"/>
      <c r="E170" s="1125"/>
      <c r="F170" s="1130"/>
      <c r="G170" s="95"/>
      <c r="H170" s="823"/>
      <c r="I170" s="1125"/>
      <c r="J170" s="1134"/>
      <c r="K170" s="1134"/>
      <c r="L170" s="916"/>
    </row>
    <row r="171" spans="1:12" s="103" customFormat="1" ht="15.75" hidden="1" customHeight="1" outlineLevel="1">
      <c r="A171" s="916"/>
      <c r="B171" s="1124"/>
      <c r="C171" s="1128"/>
      <c r="D171" s="1126"/>
      <c r="E171" s="1126"/>
      <c r="F171" s="1132"/>
      <c r="G171" s="100"/>
      <c r="H171" s="824"/>
      <c r="I171" s="1126"/>
      <c r="J171" s="1135"/>
      <c r="K171" s="1135"/>
      <c r="L171" s="916"/>
    </row>
    <row r="172" spans="1:12" s="103" customFormat="1" ht="15.75" hidden="1" customHeight="1" outlineLevel="1">
      <c r="A172" s="916"/>
      <c r="B172" s="1123">
        <v>54</v>
      </c>
      <c r="C172" s="1127"/>
      <c r="D172" s="1125"/>
      <c r="E172" s="1125" t="s">
        <v>18</v>
      </c>
      <c r="F172" s="1130" t="str">
        <f>VLOOKUP(E172,$N$13:$O$17,2,0)</f>
        <v>-</v>
      </c>
      <c r="G172" s="92"/>
      <c r="H172" s="823"/>
      <c r="I172" s="1125"/>
      <c r="J172" s="1133"/>
      <c r="K172" s="1133"/>
      <c r="L172" s="916"/>
    </row>
    <row r="173" spans="1:12" s="103" customFormat="1" ht="15.75" hidden="1" customHeight="1" outlineLevel="1">
      <c r="A173" s="916"/>
      <c r="B173" s="1123"/>
      <c r="C173" s="1127"/>
      <c r="D173" s="1125"/>
      <c r="E173" s="1125"/>
      <c r="F173" s="1130"/>
      <c r="G173" s="95"/>
      <c r="H173" s="823"/>
      <c r="I173" s="1125"/>
      <c r="J173" s="1134"/>
      <c r="K173" s="1134"/>
      <c r="L173" s="916"/>
    </row>
    <row r="174" spans="1:12" s="103" customFormat="1" ht="15.75" hidden="1" customHeight="1" outlineLevel="1">
      <c r="A174" s="916"/>
      <c r="B174" s="1124"/>
      <c r="C174" s="1128"/>
      <c r="D174" s="1126"/>
      <c r="E174" s="1126"/>
      <c r="F174" s="1132"/>
      <c r="G174" s="100"/>
      <c r="H174" s="824"/>
      <c r="I174" s="1126"/>
      <c r="J174" s="1135"/>
      <c r="K174" s="1135"/>
      <c r="L174" s="916"/>
    </row>
    <row r="175" spans="1:12" s="103" customFormat="1" ht="15.75" hidden="1" customHeight="1" outlineLevel="1">
      <c r="A175" s="916"/>
      <c r="B175" s="1123">
        <v>55</v>
      </c>
      <c r="C175" s="1127"/>
      <c r="D175" s="1125"/>
      <c r="E175" s="1125" t="s">
        <v>18</v>
      </c>
      <c r="F175" s="1130" t="str">
        <f>VLOOKUP(E175,$N$13:$O$17,2,0)</f>
        <v>-</v>
      </c>
      <c r="G175" s="92"/>
      <c r="H175" s="823"/>
      <c r="I175" s="1125"/>
      <c r="J175" s="1133"/>
      <c r="K175" s="1133"/>
      <c r="L175" s="916"/>
    </row>
    <row r="176" spans="1:12" s="103" customFormat="1" ht="15.75" hidden="1" customHeight="1" outlineLevel="1">
      <c r="A176" s="916"/>
      <c r="B176" s="1123"/>
      <c r="C176" s="1127"/>
      <c r="D176" s="1125"/>
      <c r="E176" s="1125"/>
      <c r="F176" s="1130"/>
      <c r="G176" s="95"/>
      <c r="H176" s="823"/>
      <c r="I176" s="1125"/>
      <c r="J176" s="1134"/>
      <c r="K176" s="1134"/>
      <c r="L176" s="916"/>
    </row>
    <row r="177" spans="1:12" s="103" customFormat="1" ht="15.75" hidden="1" customHeight="1" outlineLevel="1">
      <c r="A177" s="916"/>
      <c r="B177" s="1124"/>
      <c r="C177" s="1128"/>
      <c r="D177" s="1126"/>
      <c r="E177" s="1126"/>
      <c r="F177" s="1132"/>
      <c r="G177" s="100"/>
      <c r="H177" s="824"/>
      <c r="I177" s="1126"/>
      <c r="J177" s="1135"/>
      <c r="K177" s="1135"/>
      <c r="L177" s="916"/>
    </row>
    <row r="178" spans="1:12" s="103" customFormat="1" ht="15.75" hidden="1" customHeight="1" outlineLevel="1">
      <c r="A178" s="916"/>
      <c r="B178" s="1123">
        <v>56</v>
      </c>
      <c r="C178" s="1127"/>
      <c r="D178" s="1125"/>
      <c r="E178" s="1125" t="s">
        <v>18</v>
      </c>
      <c r="F178" s="1130" t="str">
        <f>VLOOKUP(E178,$N$13:$O$17,2,0)</f>
        <v>-</v>
      </c>
      <c r="G178" s="92"/>
      <c r="H178" s="823"/>
      <c r="I178" s="1125"/>
      <c r="J178" s="1133"/>
      <c r="K178" s="1133"/>
      <c r="L178" s="916"/>
    </row>
    <row r="179" spans="1:12" s="103" customFormat="1" ht="15.75" hidden="1" customHeight="1" outlineLevel="1">
      <c r="A179" s="916"/>
      <c r="B179" s="1123"/>
      <c r="C179" s="1127"/>
      <c r="D179" s="1125"/>
      <c r="E179" s="1125"/>
      <c r="F179" s="1130"/>
      <c r="G179" s="95"/>
      <c r="H179" s="823"/>
      <c r="I179" s="1125"/>
      <c r="J179" s="1134"/>
      <c r="K179" s="1134"/>
      <c r="L179" s="916"/>
    </row>
    <row r="180" spans="1:12" s="103" customFormat="1" ht="15.75" hidden="1" customHeight="1" outlineLevel="1">
      <c r="A180" s="916"/>
      <c r="B180" s="1124"/>
      <c r="C180" s="1128"/>
      <c r="D180" s="1126"/>
      <c r="E180" s="1126"/>
      <c r="F180" s="1132"/>
      <c r="G180" s="100"/>
      <c r="H180" s="824"/>
      <c r="I180" s="1126"/>
      <c r="J180" s="1135"/>
      <c r="K180" s="1135"/>
      <c r="L180" s="916"/>
    </row>
    <row r="181" spans="1:12" s="103" customFormat="1" ht="15.75" hidden="1" customHeight="1" outlineLevel="1">
      <c r="A181" s="916"/>
      <c r="B181" s="1123">
        <v>57</v>
      </c>
      <c r="C181" s="1127"/>
      <c r="D181" s="1125"/>
      <c r="E181" s="1125" t="s">
        <v>18</v>
      </c>
      <c r="F181" s="1130" t="str">
        <f>VLOOKUP(E181,$N$13:$O$17,2,0)</f>
        <v>-</v>
      </c>
      <c r="G181" s="92"/>
      <c r="H181" s="823"/>
      <c r="I181" s="1125"/>
      <c r="J181" s="1133"/>
      <c r="K181" s="1133"/>
      <c r="L181" s="916"/>
    </row>
    <row r="182" spans="1:12" s="103" customFormat="1" ht="15.75" hidden="1" customHeight="1" outlineLevel="1">
      <c r="A182" s="916"/>
      <c r="B182" s="1123"/>
      <c r="C182" s="1127"/>
      <c r="D182" s="1125"/>
      <c r="E182" s="1125"/>
      <c r="F182" s="1130"/>
      <c r="G182" s="95"/>
      <c r="H182" s="823"/>
      <c r="I182" s="1125"/>
      <c r="J182" s="1134"/>
      <c r="K182" s="1134"/>
      <c r="L182" s="916"/>
    </row>
    <row r="183" spans="1:12" s="103" customFormat="1" ht="15.75" hidden="1" customHeight="1" outlineLevel="1">
      <c r="A183" s="916"/>
      <c r="B183" s="1124"/>
      <c r="C183" s="1128"/>
      <c r="D183" s="1126"/>
      <c r="E183" s="1126"/>
      <c r="F183" s="1132"/>
      <c r="G183" s="100"/>
      <c r="H183" s="824"/>
      <c r="I183" s="1126"/>
      <c r="J183" s="1135"/>
      <c r="K183" s="1135"/>
      <c r="L183" s="916"/>
    </row>
    <row r="184" spans="1:12" s="103" customFormat="1" ht="15.75" hidden="1" customHeight="1" outlineLevel="1">
      <c r="A184" s="916"/>
      <c r="B184" s="1123">
        <v>58</v>
      </c>
      <c r="C184" s="1127"/>
      <c r="D184" s="1125"/>
      <c r="E184" s="1125" t="s">
        <v>18</v>
      </c>
      <c r="F184" s="1130" t="str">
        <f>VLOOKUP(E184,$N$13:$O$17,2,0)</f>
        <v>-</v>
      </c>
      <c r="G184" s="92"/>
      <c r="H184" s="823"/>
      <c r="I184" s="1125"/>
      <c r="J184" s="1133"/>
      <c r="K184" s="1133"/>
      <c r="L184" s="916"/>
    </row>
    <row r="185" spans="1:12" s="103" customFormat="1" ht="15.75" hidden="1" customHeight="1" outlineLevel="1">
      <c r="A185" s="916"/>
      <c r="B185" s="1123"/>
      <c r="C185" s="1127"/>
      <c r="D185" s="1125"/>
      <c r="E185" s="1125"/>
      <c r="F185" s="1130"/>
      <c r="G185" s="95"/>
      <c r="H185" s="823"/>
      <c r="I185" s="1125"/>
      <c r="J185" s="1134"/>
      <c r="K185" s="1134"/>
      <c r="L185" s="916"/>
    </row>
    <row r="186" spans="1:12" s="103" customFormat="1" ht="15.75" hidden="1" customHeight="1" outlineLevel="1">
      <c r="A186" s="916"/>
      <c r="B186" s="1124"/>
      <c r="C186" s="1128"/>
      <c r="D186" s="1126"/>
      <c r="E186" s="1126"/>
      <c r="F186" s="1132"/>
      <c r="G186" s="100"/>
      <c r="H186" s="824"/>
      <c r="I186" s="1126"/>
      <c r="J186" s="1135"/>
      <c r="K186" s="1135"/>
      <c r="L186" s="916"/>
    </row>
    <row r="187" spans="1:12" s="103" customFormat="1" ht="15.75" hidden="1" customHeight="1" outlineLevel="1">
      <c r="A187" s="916"/>
      <c r="B187" s="1123">
        <v>59</v>
      </c>
      <c r="C187" s="1127"/>
      <c r="D187" s="1125"/>
      <c r="E187" s="1125" t="s">
        <v>18</v>
      </c>
      <c r="F187" s="1130" t="str">
        <f>VLOOKUP(E187,$N$13:$O$17,2,0)</f>
        <v>-</v>
      </c>
      <c r="G187" s="92"/>
      <c r="H187" s="823"/>
      <c r="I187" s="1125"/>
      <c r="J187" s="1133"/>
      <c r="K187" s="1133"/>
      <c r="L187" s="916"/>
    </row>
    <row r="188" spans="1:12" s="103" customFormat="1" ht="15.75" hidden="1" customHeight="1" outlineLevel="1">
      <c r="A188" s="916"/>
      <c r="B188" s="1123"/>
      <c r="C188" s="1127"/>
      <c r="D188" s="1125"/>
      <c r="E188" s="1125"/>
      <c r="F188" s="1130"/>
      <c r="G188" s="95"/>
      <c r="H188" s="823"/>
      <c r="I188" s="1125"/>
      <c r="J188" s="1134"/>
      <c r="K188" s="1134"/>
      <c r="L188" s="916"/>
    </row>
    <row r="189" spans="1:12" s="103" customFormat="1" ht="15.75" hidden="1" customHeight="1" outlineLevel="1">
      <c r="A189" s="916"/>
      <c r="B189" s="1124"/>
      <c r="C189" s="1128"/>
      <c r="D189" s="1126"/>
      <c r="E189" s="1126"/>
      <c r="F189" s="1132"/>
      <c r="G189" s="100"/>
      <c r="H189" s="824"/>
      <c r="I189" s="1126"/>
      <c r="J189" s="1135"/>
      <c r="K189" s="1135"/>
      <c r="L189" s="916"/>
    </row>
    <row r="190" spans="1:12" s="103" customFormat="1" ht="15.75" hidden="1" customHeight="1" outlineLevel="1">
      <c r="A190" s="916"/>
      <c r="B190" s="1123">
        <v>60</v>
      </c>
      <c r="C190" s="1127"/>
      <c r="D190" s="1125"/>
      <c r="E190" s="1125" t="s">
        <v>18</v>
      </c>
      <c r="F190" s="1130" t="str">
        <f>VLOOKUP(E190,$N$13:$O$17,2,0)</f>
        <v>-</v>
      </c>
      <c r="G190" s="92"/>
      <c r="H190" s="823"/>
      <c r="I190" s="1125"/>
      <c r="J190" s="1133"/>
      <c r="K190" s="1133"/>
      <c r="L190" s="916"/>
    </row>
    <row r="191" spans="1:12" s="103" customFormat="1" ht="15.75" hidden="1" customHeight="1" outlineLevel="1">
      <c r="A191" s="916"/>
      <c r="B191" s="1123"/>
      <c r="C191" s="1127"/>
      <c r="D191" s="1125"/>
      <c r="E191" s="1125"/>
      <c r="F191" s="1130"/>
      <c r="G191" s="95"/>
      <c r="H191" s="823"/>
      <c r="I191" s="1125"/>
      <c r="J191" s="1134"/>
      <c r="K191" s="1134"/>
      <c r="L191" s="916"/>
    </row>
    <row r="192" spans="1:12" s="103" customFormat="1" ht="15.75" hidden="1" customHeight="1" outlineLevel="1">
      <c r="A192" s="916"/>
      <c r="B192" s="1124"/>
      <c r="C192" s="1128"/>
      <c r="D192" s="1126"/>
      <c r="E192" s="1126"/>
      <c r="F192" s="1132"/>
      <c r="G192" s="100"/>
      <c r="H192" s="824"/>
      <c r="I192" s="1126"/>
      <c r="J192" s="1135"/>
      <c r="K192" s="1135"/>
      <c r="L192" s="916"/>
    </row>
    <row r="193" spans="1:12" s="103" customFormat="1" ht="15.75" hidden="1" customHeight="1" outlineLevel="1">
      <c r="A193" s="916"/>
      <c r="B193" s="1123">
        <v>61</v>
      </c>
      <c r="C193" s="1127"/>
      <c r="D193" s="1125"/>
      <c r="E193" s="1125" t="s">
        <v>18</v>
      </c>
      <c r="F193" s="1130" t="str">
        <f>VLOOKUP(E193,$N$13:$O$17,2,0)</f>
        <v>-</v>
      </c>
      <c r="G193" s="92"/>
      <c r="H193" s="823"/>
      <c r="I193" s="1125"/>
      <c r="J193" s="1133"/>
      <c r="K193" s="1133"/>
      <c r="L193" s="916"/>
    </row>
    <row r="194" spans="1:12" s="103" customFormat="1" ht="15.75" hidden="1" customHeight="1" outlineLevel="1">
      <c r="A194" s="916"/>
      <c r="B194" s="1123"/>
      <c r="C194" s="1127"/>
      <c r="D194" s="1125"/>
      <c r="E194" s="1125"/>
      <c r="F194" s="1130"/>
      <c r="G194" s="95"/>
      <c r="H194" s="823"/>
      <c r="I194" s="1125"/>
      <c r="J194" s="1134"/>
      <c r="K194" s="1134"/>
      <c r="L194" s="916"/>
    </row>
    <row r="195" spans="1:12" s="103" customFormat="1" ht="15.75" hidden="1" customHeight="1" outlineLevel="1">
      <c r="A195" s="916"/>
      <c r="B195" s="1124"/>
      <c r="C195" s="1128"/>
      <c r="D195" s="1126"/>
      <c r="E195" s="1126"/>
      <c r="F195" s="1132"/>
      <c r="G195" s="100"/>
      <c r="H195" s="824"/>
      <c r="I195" s="1126"/>
      <c r="J195" s="1135"/>
      <c r="K195" s="1135"/>
      <c r="L195" s="916"/>
    </row>
    <row r="196" spans="1:12" s="103" customFormat="1" ht="15.75" hidden="1" customHeight="1" outlineLevel="1">
      <c r="A196" s="916"/>
      <c r="B196" s="1123">
        <v>62</v>
      </c>
      <c r="C196" s="1127"/>
      <c r="D196" s="1125"/>
      <c r="E196" s="1125" t="s">
        <v>18</v>
      </c>
      <c r="F196" s="1130" t="str">
        <f>VLOOKUP(E196,$N$13:$O$17,2,0)</f>
        <v>-</v>
      </c>
      <c r="G196" s="92"/>
      <c r="H196" s="823"/>
      <c r="I196" s="1125"/>
      <c r="J196" s="1133"/>
      <c r="K196" s="1133"/>
      <c r="L196" s="916"/>
    </row>
    <row r="197" spans="1:12" s="103" customFormat="1" ht="15.75" hidden="1" customHeight="1" outlineLevel="1">
      <c r="A197" s="916"/>
      <c r="B197" s="1123"/>
      <c r="C197" s="1127"/>
      <c r="D197" s="1125"/>
      <c r="E197" s="1125"/>
      <c r="F197" s="1130"/>
      <c r="G197" s="95"/>
      <c r="H197" s="823"/>
      <c r="I197" s="1125"/>
      <c r="J197" s="1134"/>
      <c r="K197" s="1134"/>
      <c r="L197" s="916"/>
    </row>
    <row r="198" spans="1:12" s="103" customFormat="1" ht="15.75" hidden="1" customHeight="1" outlineLevel="1">
      <c r="A198" s="916"/>
      <c r="B198" s="1124"/>
      <c r="C198" s="1128"/>
      <c r="D198" s="1126"/>
      <c r="E198" s="1126"/>
      <c r="F198" s="1132"/>
      <c r="G198" s="100"/>
      <c r="H198" s="824"/>
      <c r="I198" s="1126"/>
      <c r="J198" s="1135"/>
      <c r="K198" s="1135"/>
      <c r="L198" s="916"/>
    </row>
    <row r="199" spans="1:12" s="103" customFormat="1" ht="15.75" hidden="1" customHeight="1" outlineLevel="1">
      <c r="A199" s="916"/>
      <c r="B199" s="1123">
        <v>63</v>
      </c>
      <c r="C199" s="1127"/>
      <c r="D199" s="1125"/>
      <c r="E199" s="1125" t="s">
        <v>18</v>
      </c>
      <c r="F199" s="1130" t="str">
        <f>VLOOKUP(E199,$N$13:$O$17,2,0)</f>
        <v>-</v>
      </c>
      <c r="G199" s="92"/>
      <c r="H199" s="823"/>
      <c r="I199" s="1125"/>
      <c r="J199" s="1133"/>
      <c r="K199" s="1133"/>
      <c r="L199" s="916"/>
    </row>
    <row r="200" spans="1:12" s="103" customFormat="1" ht="15.75" hidden="1" customHeight="1" outlineLevel="1">
      <c r="A200" s="916"/>
      <c r="B200" s="1123"/>
      <c r="C200" s="1127"/>
      <c r="D200" s="1125"/>
      <c r="E200" s="1125"/>
      <c r="F200" s="1130"/>
      <c r="G200" s="95"/>
      <c r="H200" s="823"/>
      <c r="I200" s="1125"/>
      <c r="J200" s="1134"/>
      <c r="K200" s="1134"/>
      <c r="L200" s="916"/>
    </row>
    <row r="201" spans="1:12" s="103" customFormat="1" ht="15.75" hidden="1" customHeight="1" outlineLevel="1">
      <c r="A201" s="916"/>
      <c r="B201" s="1124"/>
      <c r="C201" s="1128"/>
      <c r="D201" s="1126"/>
      <c r="E201" s="1126"/>
      <c r="F201" s="1132"/>
      <c r="G201" s="100"/>
      <c r="H201" s="824"/>
      <c r="I201" s="1126"/>
      <c r="J201" s="1135"/>
      <c r="K201" s="1135"/>
      <c r="L201" s="916"/>
    </row>
    <row r="202" spans="1:12" s="103" customFormat="1" ht="15.75" hidden="1" customHeight="1" outlineLevel="1">
      <c r="A202" s="916"/>
      <c r="B202" s="1123">
        <v>64</v>
      </c>
      <c r="C202" s="1127"/>
      <c r="D202" s="1125"/>
      <c r="E202" s="1125" t="s">
        <v>18</v>
      </c>
      <c r="F202" s="1130" t="str">
        <f>VLOOKUP(E202,$N$13:$O$17,2,0)</f>
        <v>-</v>
      </c>
      <c r="G202" s="92"/>
      <c r="H202" s="823"/>
      <c r="I202" s="1125"/>
      <c r="J202" s="1133"/>
      <c r="K202" s="1133"/>
      <c r="L202" s="916"/>
    </row>
    <row r="203" spans="1:12" s="103" customFormat="1" ht="15.75" hidden="1" customHeight="1" outlineLevel="1">
      <c r="A203" s="916"/>
      <c r="B203" s="1123"/>
      <c r="C203" s="1127"/>
      <c r="D203" s="1125"/>
      <c r="E203" s="1125"/>
      <c r="F203" s="1130"/>
      <c r="G203" s="95"/>
      <c r="H203" s="823"/>
      <c r="I203" s="1125"/>
      <c r="J203" s="1134"/>
      <c r="K203" s="1134"/>
      <c r="L203" s="916"/>
    </row>
    <row r="204" spans="1:12" s="103" customFormat="1" ht="15.75" hidden="1" customHeight="1" outlineLevel="1">
      <c r="A204" s="916"/>
      <c r="B204" s="1124"/>
      <c r="C204" s="1128"/>
      <c r="D204" s="1126"/>
      <c r="E204" s="1126"/>
      <c r="F204" s="1132"/>
      <c r="G204" s="100"/>
      <c r="H204" s="824"/>
      <c r="I204" s="1126"/>
      <c r="J204" s="1135"/>
      <c r="K204" s="1135"/>
      <c r="L204" s="916"/>
    </row>
    <row r="205" spans="1:12" s="103" customFormat="1" ht="15.75" hidden="1" customHeight="1" outlineLevel="1">
      <c r="A205" s="916"/>
      <c r="B205" s="1123">
        <v>65</v>
      </c>
      <c r="C205" s="1127"/>
      <c r="D205" s="1125"/>
      <c r="E205" s="1125" t="s">
        <v>18</v>
      </c>
      <c r="F205" s="1130" t="str">
        <f>VLOOKUP(E205,$N$13:$O$17,2,0)</f>
        <v>-</v>
      </c>
      <c r="G205" s="92"/>
      <c r="H205" s="823"/>
      <c r="I205" s="1125"/>
      <c r="J205" s="1133"/>
      <c r="K205" s="1133"/>
      <c r="L205" s="916"/>
    </row>
    <row r="206" spans="1:12" s="103" customFormat="1" ht="15.75" hidden="1" customHeight="1" outlineLevel="1">
      <c r="A206" s="916"/>
      <c r="B206" s="1123"/>
      <c r="C206" s="1127"/>
      <c r="D206" s="1125"/>
      <c r="E206" s="1125"/>
      <c r="F206" s="1130"/>
      <c r="G206" s="95"/>
      <c r="H206" s="823"/>
      <c r="I206" s="1125"/>
      <c r="J206" s="1134"/>
      <c r="K206" s="1134"/>
      <c r="L206" s="916"/>
    </row>
    <row r="207" spans="1:12" s="103" customFormat="1" ht="15.75" hidden="1" customHeight="1" outlineLevel="1">
      <c r="A207" s="916"/>
      <c r="B207" s="1124"/>
      <c r="C207" s="1128"/>
      <c r="D207" s="1126"/>
      <c r="E207" s="1126"/>
      <c r="F207" s="1132"/>
      <c r="G207" s="100"/>
      <c r="H207" s="824"/>
      <c r="I207" s="1126"/>
      <c r="J207" s="1135"/>
      <c r="K207" s="1135"/>
      <c r="L207" s="916"/>
    </row>
    <row r="208" spans="1:12" s="103" customFormat="1" ht="15.75" hidden="1" customHeight="1" outlineLevel="1">
      <c r="A208" s="916"/>
      <c r="B208" s="1123">
        <v>66</v>
      </c>
      <c r="C208" s="1127"/>
      <c r="D208" s="1125"/>
      <c r="E208" s="1125" t="s">
        <v>18</v>
      </c>
      <c r="F208" s="1130" t="str">
        <f>VLOOKUP(E208,$N$13:$O$17,2,0)</f>
        <v>-</v>
      </c>
      <c r="G208" s="92"/>
      <c r="H208" s="823"/>
      <c r="I208" s="1125"/>
      <c r="J208" s="1133"/>
      <c r="K208" s="1133"/>
      <c r="L208" s="916"/>
    </row>
    <row r="209" spans="1:12" s="103" customFormat="1" ht="15.75" hidden="1" customHeight="1" outlineLevel="1">
      <c r="A209" s="916"/>
      <c r="B209" s="1123"/>
      <c r="C209" s="1127"/>
      <c r="D209" s="1125"/>
      <c r="E209" s="1125"/>
      <c r="F209" s="1130"/>
      <c r="G209" s="95"/>
      <c r="H209" s="823"/>
      <c r="I209" s="1125"/>
      <c r="J209" s="1134"/>
      <c r="K209" s="1134"/>
      <c r="L209" s="916"/>
    </row>
    <row r="210" spans="1:12" s="103" customFormat="1" ht="15.75" hidden="1" customHeight="1" outlineLevel="1">
      <c r="A210" s="916"/>
      <c r="B210" s="1124"/>
      <c r="C210" s="1128"/>
      <c r="D210" s="1126"/>
      <c r="E210" s="1126"/>
      <c r="F210" s="1132"/>
      <c r="G210" s="100"/>
      <c r="H210" s="824"/>
      <c r="I210" s="1126"/>
      <c r="J210" s="1135"/>
      <c r="K210" s="1135"/>
      <c r="L210" s="916"/>
    </row>
    <row r="211" spans="1:12" s="103" customFormat="1" ht="15.75" hidden="1" customHeight="1" outlineLevel="1">
      <c r="A211" s="916"/>
      <c r="B211" s="1123">
        <v>67</v>
      </c>
      <c r="C211" s="1127"/>
      <c r="D211" s="1125"/>
      <c r="E211" s="1125" t="s">
        <v>18</v>
      </c>
      <c r="F211" s="1130" t="str">
        <f>VLOOKUP(E211,$N$13:$O$17,2,0)</f>
        <v>-</v>
      </c>
      <c r="G211" s="92"/>
      <c r="H211" s="823"/>
      <c r="I211" s="1125"/>
      <c r="J211" s="1133"/>
      <c r="K211" s="1133"/>
      <c r="L211" s="916"/>
    </row>
    <row r="212" spans="1:12" s="103" customFormat="1" ht="15.75" hidden="1" customHeight="1" outlineLevel="1">
      <c r="A212" s="916"/>
      <c r="B212" s="1123"/>
      <c r="C212" s="1127"/>
      <c r="D212" s="1125"/>
      <c r="E212" s="1125"/>
      <c r="F212" s="1130"/>
      <c r="G212" s="95"/>
      <c r="H212" s="823"/>
      <c r="I212" s="1125"/>
      <c r="J212" s="1134"/>
      <c r="K212" s="1134"/>
      <c r="L212" s="916"/>
    </row>
    <row r="213" spans="1:12" s="103" customFormat="1" ht="15.75" hidden="1" customHeight="1" outlineLevel="1">
      <c r="A213" s="916"/>
      <c r="B213" s="1124"/>
      <c r="C213" s="1128"/>
      <c r="D213" s="1126"/>
      <c r="E213" s="1126"/>
      <c r="F213" s="1132"/>
      <c r="G213" s="100"/>
      <c r="H213" s="824"/>
      <c r="I213" s="1126"/>
      <c r="J213" s="1135"/>
      <c r="K213" s="1135"/>
      <c r="L213" s="916"/>
    </row>
    <row r="214" spans="1:12" s="103" customFormat="1" ht="15.75" hidden="1" customHeight="1" outlineLevel="1">
      <c r="A214" s="916"/>
      <c r="B214" s="1123">
        <v>68</v>
      </c>
      <c r="C214" s="1127"/>
      <c r="D214" s="1125"/>
      <c r="E214" s="1125" t="s">
        <v>18</v>
      </c>
      <c r="F214" s="1130" t="str">
        <f>VLOOKUP(E214,$N$13:$O$17,2,0)</f>
        <v>-</v>
      </c>
      <c r="G214" s="92"/>
      <c r="H214" s="823"/>
      <c r="I214" s="1125"/>
      <c r="J214" s="1133"/>
      <c r="K214" s="1133"/>
      <c r="L214" s="916"/>
    </row>
    <row r="215" spans="1:12" s="103" customFormat="1" ht="15.75" hidden="1" customHeight="1" outlineLevel="1">
      <c r="A215" s="916"/>
      <c r="B215" s="1123"/>
      <c r="C215" s="1127"/>
      <c r="D215" s="1125"/>
      <c r="E215" s="1125"/>
      <c r="F215" s="1130"/>
      <c r="G215" s="95"/>
      <c r="H215" s="823"/>
      <c r="I215" s="1125"/>
      <c r="J215" s="1134"/>
      <c r="K215" s="1134"/>
      <c r="L215" s="916"/>
    </row>
    <row r="216" spans="1:12" s="103" customFormat="1" ht="15.75" hidden="1" customHeight="1" outlineLevel="1">
      <c r="A216" s="916"/>
      <c r="B216" s="1124"/>
      <c r="C216" s="1128"/>
      <c r="D216" s="1126"/>
      <c r="E216" s="1126"/>
      <c r="F216" s="1132"/>
      <c r="G216" s="100"/>
      <c r="H216" s="824"/>
      <c r="I216" s="1126"/>
      <c r="J216" s="1135"/>
      <c r="K216" s="1135"/>
      <c r="L216" s="916"/>
    </row>
    <row r="217" spans="1:12" s="103" customFormat="1" ht="15.75" hidden="1" customHeight="1" outlineLevel="1">
      <c r="A217" s="916"/>
      <c r="B217" s="1123">
        <v>69</v>
      </c>
      <c r="C217" s="1127"/>
      <c r="D217" s="1125"/>
      <c r="E217" s="1125" t="s">
        <v>18</v>
      </c>
      <c r="F217" s="1130" t="str">
        <f>VLOOKUP(E217,$N$13:$O$17,2,0)</f>
        <v>-</v>
      </c>
      <c r="G217" s="92"/>
      <c r="H217" s="823"/>
      <c r="I217" s="1125"/>
      <c r="J217" s="1133"/>
      <c r="K217" s="1133"/>
      <c r="L217" s="916"/>
    </row>
    <row r="218" spans="1:12" s="103" customFormat="1" ht="15.75" hidden="1" customHeight="1" outlineLevel="1">
      <c r="A218" s="916"/>
      <c r="B218" s="1123"/>
      <c r="C218" s="1127"/>
      <c r="D218" s="1125"/>
      <c r="E218" s="1125"/>
      <c r="F218" s="1130"/>
      <c r="G218" s="95"/>
      <c r="H218" s="823"/>
      <c r="I218" s="1125"/>
      <c r="J218" s="1134"/>
      <c r="K218" s="1134"/>
      <c r="L218" s="916"/>
    </row>
    <row r="219" spans="1:12" s="103" customFormat="1" ht="15.75" hidden="1" customHeight="1" outlineLevel="1">
      <c r="A219" s="916"/>
      <c r="B219" s="1124"/>
      <c r="C219" s="1128"/>
      <c r="D219" s="1126"/>
      <c r="E219" s="1126"/>
      <c r="F219" s="1132"/>
      <c r="G219" s="100"/>
      <c r="H219" s="824"/>
      <c r="I219" s="1126"/>
      <c r="J219" s="1135"/>
      <c r="K219" s="1135"/>
      <c r="L219" s="916"/>
    </row>
    <row r="220" spans="1:12" s="103" customFormat="1" ht="15.75" hidden="1" customHeight="1" outlineLevel="1">
      <c r="A220" s="916"/>
      <c r="B220" s="1123">
        <v>70</v>
      </c>
      <c r="C220" s="1127"/>
      <c r="D220" s="1125"/>
      <c r="E220" s="1125" t="s">
        <v>18</v>
      </c>
      <c r="F220" s="1130" t="str">
        <f>VLOOKUP(E220,$N$13:$O$17,2,0)</f>
        <v>-</v>
      </c>
      <c r="G220" s="92"/>
      <c r="H220" s="823"/>
      <c r="I220" s="1125"/>
      <c r="J220" s="1133"/>
      <c r="K220" s="1133"/>
      <c r="L220" s="916"/>
    </row>
    <row r="221" spans="1:12" s="103" customFormat="1" ht="15.75" hidden="1" customHeight="1" outlineLevel="1">
      <c r="A221" s="916"/>
      <c r="B221" s="1123"/>
      <c r="C221" s="1127"/>
      <c r="D221" s="1125"/>
      <c r="E221" s="1125"/>
      <c r="F221" s="1130"/>
      <c r="G221" s="95"/>
      <c r="H221" s="823"/>
      <c r="I221" s="1125"/>
      <c r="J221" s="1134"/>
      <c r="K221" s="1134"/>
      <c r="L221" s="916"/>
    </row>
    <row r="222" spans="1:12" s="103" customFormat="1" ht="15.75" hidden="1" customHeight="1" outlineLevel="1">
      <c r="A222" s="916"/>
      <c r="B222" s="1124"/>
      <c r="C222" s="1128"/>
      <c r="D222" s="1126"/>
      <c r="E222" s="1126"/>
      <c r="F222" s="1132"/>
      <c r="G222" s="100"/>
      <c r="H222" s="824"/>
      <c r="I222" s="1126"/>
      <c r="J222" s="1135"/>
      <c r="K222" s="1135"/>
      <c r="L222" s="916"/>
    </row>
    <row r="223" spans="1:12" s="103" customFormat="1" ht="15.75" hidden="1" customHeight="1" outlineLevel="1">
      <c r="A223" s="916"/>
      <c r="B223" s="1123">
        <v>71</v>
      </c>
      <c r="C223" s="1127"/>
      <c r="D223" s="1125"/>
      <c r="E223" s="1125" t="s">
        <v>18</v>
      </c>
      <c r="F223" s="1130" t="str">
        <f>VLOOKUP(E223,$N$13:$O$17,2,0)</f>
        <v>-</v>
      </c>
      <c r="G223" s="92"/>
      <c r="H223" s="823"/>
      <c r="I223" s="1125"/>
      <c r="J223" s="1133"/>
      <c r="K223" s="1133"/>
      <c r="L223" s="916"/>
    </row>
    <row r="224" spans="1:12" s="103" customFormat="1" ht="15.75" hidden="1" customHeight="1" outlineLevel="1">
      <c r="A224" s="916"/>
      <c r="B224" s="1123"/>
      <c r="C224" s="1127"/>
      <c r="D224" s="1125"/>
      <c r="E224" s="1125"/>
      <c r="F224" s="1130"/>
      <c r="G224" s="95"/>
      <c r="H224" s="823"/>
      <c r="I224" s="1125"/>
      <c r="J224" s="1134"/>
      <c r="K224" s="1134"/>
      <c r="L224" s="916"/>
    </row>
    <row r="225" spans="1:12" s="103" customFormat="1" ht="15.75" hidden="1" customHeight="1" outlineLevel="1">
      <c r="A225" s="916"/>
      <c r="B225" s="1124"/>
      <c r="C225" s="1128"/>
      <c r="D225" s="1126"/>
      <c r="E225" s="1126"/>
      <c r="F225" s="1132"/>
      <c r="G225" s="100"/>
      <c r="H225" s="824"/>
      <c r="I225" s="1126"/>
      <c r="J225" s="1135"/>
      <c r="K225" s="1135"/>
      <c r="L225" s="916"/>
    </row>
    <row r="226" spans="1:12" s="103" customFormat="1" ht="15.75" hidden="1" customHeight="1" outlineLevel="1">
      <c r="A226" s="916"/>
      <c r="B226" s="1123">
        <v>72</v>
      </c>
      <c r="C226" s="1127"/>
      <c r="D226" s="1125"/>
      <c r="E226" s="1125" t="s">
        <v>18</v>
      </c>
      <c r="F226" s="1130" t="str">
        <f>VLOOKUP(E226,$N$13:$O$17,2,0)</f>
        <v>-</v>
      </c>
      <c r="G226" s="92"/>
      <c r="H226" s="823"/>
      <c r="I226" s="1125"/>
      <c r="J226" s="1133"/>
      <c r="K226" s="1133"/>
      <c r="L226" s="916"/>
    </row>
    <row r="227" spans="1:12" s="103" customFormat="1" ht="15.75" hidden="1" customHeight="1" outlineLevel="1">
      <c r="A227" s="916"/>
      <c r="B227" s="1123"/>
      <c r="C227" s="1127"/>
      <c r="D227" s="1125"/>
      <c r="E227" s="1125"/>
      <c r="F227" s="1130"/>
      <c r="G227" s="95"/>
      <c r="H227" s="823"/>
      <c r="I227" s="1125"/>
      <c r="J227" s="1134"/>
      <c r="K227" s="1134"/>
      <c r="L227" s="916"/>
    </row>
    <row r="228" spans="1:12" s="103" customFormat="1" ht="15.75" hidden="1" customHeight="1" outlineLevel="1">
      <c r="A228" s="916"/>
      <c r="B228" s="1124"/>
      <c r="C228" s="1128"/>
      <c r="D228" s="1126"/>
      <c r="E228" s="1126"/>
      <c r="F228" s="1132"/>
      <c r="G228" s="100"/>
      <c r="H228" s="824"/>
      <c r="I228" s="1126"/>
      <c r="J228" s="1135"/>
      <c r="K228" s="1135"/>
      <c r="L228" s="916"/>
    </row>
    <row r="229" spans="1:12" s="103" customFormat="1" ht="15.75" hidden="1" customHeight="1" outlineLevel="1">
      <c r="A229" s="916"/>
      <c r="B229" s="1123">
        <v>73</v>
      </c>
      <c r="C229" s="1127"/>
      <c r="D229" s="1125"/>
      <c r="E229" s="1125" t="s">
        <v>18</v>
      </c>
      <c r="F229" s="1130" t="str">
        <f>VLOOKUP(E229,$N$13:$O$17,2,0)</f>
        <v>-</v>
      </c>
      <c r="G229" s="92"/>
      <c r="H229" s="823"/>
      <c r="I229" s="1125"/>
      <c r="J229" s="1133"/>
      <c r="K229" s="1133"/>
      <c r="L229" s="916"/>
    </row>
    <row r="230" spans="1:12" s="103" customFormat="1" ht="15.75" hidden="1" customHeight="1" outlineLevel="1">
      <c r="A230" s="916"/>
      <c r="B230" s="1123"/>
      <c r="C230" s="1127"/>
      <c r="D230" s="1125"/>
      <c r="E230" s="1125"/>
      <c r="F230" s="1130"/>
      <c r="G230" s="95"/>
      <c r="H230" s="823"/>
      <c r="I230" s="1125"/>
      <c r="J230" s="1134"/>
      <c r="K230" s="1134"/>
      <c r="L230" s="916"/>
    </row>
    <row r="231" spans="1:12" s="103" customFormat="1" ht="15.75" hidden="1" customHeight="1" outlineLevel="1">
      <c r="A231" s="916"/>
      <c r="B231" s="1124"/>
      <c r="C231" s="1128"/>
      <c r="D231" s="1126"/>
      <c r="E231" s="1126"/>
      <c r="F231" s="1132"/>
      <c r="G231" s="100"/>
      <c r="H231" s="824"/>
      <c r="I231" s="1126"/>
      <c r="J231" s="1135"/>
      <c r="K231" s="1135"/>
      <c r="L231" s="916"/>
    </row>
    <row r="232" spans="1:12" s="103" customFormat="1" ht="15.75" hidden="1" customHeight="1" outlineLevel="1">
      <c r="A232" s="916"/>
      <c r="B232" s="1123">
        <v>74</v>
      </c>
      <c r="C232" s="1127"/>
      <c r="D232" s="1125"/>
      <c r="E232" s="1125" t="s">
        <v>18</v>
      </c>
      <c r="F232" s="1130" t="str">
        <f>VLOOKUP(E232,$N$13:$O$17,2,0)</f>
        <v>-</v>
      </c>
      <c r="G232" s="92"/>
      <c r="H232" s="823"/>
      <c r="I232" s="1125"/>
      <c r="J232" s="1133"/>
      <c r="K232" s="1133"/>
      <c r="L232" s="916"/>
    </row>
    <row r="233" spans="1:12" s="103" customFormat="1" ht="15.75" hidden="1" customHeight="1" outlineLevel="1">
      <c r="A233" s="916"/>
      <c r="B233" s="1123"/>
      <c r="C233" s="1127"/>
      <c r="D233" s="1125"/>
      <c r="E233" s="1125"/>
      <c r="F233" s="1130"/>
      <c r="G233" s="95"/>
      <c r="H233" s="823"/>
      <c r="I233" s="1125"/>
      <c r="J233" s="1134"/>
      <c r="K233" s="1134"/>
      <c r="L233" s="916"/>
    </row>
    <row r="234" spans="1:12" s="103" customFormat="1" ht="15.75" hidden="1" customHeight="1" outlineLevel="1">
      <c r="A234" s="916"/>
      <c r="B234" s="1124"/>
      <c r="C234" s="1128"/>
      <c r="D234" s="1126"/>
      <c r="E234" s="1126"/>
      <c r="F234" s="1132"/>
      <c r="G234" s="100"/>
      <c r="H234" s="824"/>
      <c r="I234" s="1126"/>
      <c r="J234" s="1135"/>
      <c r="K234" s="1135"/>
      <c r="L234" s="916"/>
    </row>
    <row r="235" spans="1:12" s="103" customFormat="1" ht="15.75" hidden="1" customHeight="1" outlineLevel="1">
      <c r="A235" s="916"/>
      <c r="B235" s="1123">
        <v>75</v>
      </c>
      <c r="C235" s="1127"/>
      <c r="D235" s="1125"/>
      <c r="E235" s="1125" t="s">
        <v>18</v>
      </c>
      <c r="F235" s="1130" t="str">
        <f>VLOOKUP(E235,$N$13:$O$17,2,0)</f>
        <v>-</v>
      </c>
      <c r="G235" s="92"/>
      <c r="H235" s="823"/>
      <c r="I235" s="1125"/>
      <c r="J235" s="1133"/>
      <c r="K235" s="1133"/>
      <c r="L235" s="916"/>
    </row>
    <row r="236" spans="1:12" s="103" customFormat="1" ht="15.75" hidden="1" customHeight="1" outlineLevel="1">
      <c r="A236" s="916"/>
      <c r="B236" s="1123"/>
      <c r="C236" s="1127"/>
      <c r="D236" s="1125"/>
      <c r="E236" s="1125"/>
      <c r="F236" s="1130"/>
      <c r="G236" s="95"/>
      <c r="H236" s="823"/>
      <c r="I236" s="1125"/>
      <c r="J236" s="1134"/>
      <c r="K236" s="1134"/>
      <c r="L236" s="916"/>
    </row>
    <row r="237" spans="1:12" s="103" customFormat="1" ht="15.75" hidden="1" customHeight="1" outlineLevel="1">
      <c r="A237" s="916"/>
      <c r="B237" s="1124"/>
      <c r="C237" s="1128"/>
      <c r="D237" s="1126"/>
      <c r="E237" s="1126"/>
      <c r="F237" s="1132"/>
      <c r="G237" s="100"/>
      <c r="H237" s="824"/>
      <c r="I237" s="1126"/>
      <c r="J237" s="1135"/>
      <c r="K237" s="1135"/>
      <c r="L237" s="916"/>
    </row>
    <row r="238" spans="1:12" s="103" customFormat="1" ht="15.75" hidden="1" customHeight="1" outlineLevel="1">
      <c r="A238" s="916"/>
      <c r="B238" s="1123">
        <v>76</v>
      </c>
      <c r="C238" s="1127"/>
      <c r="D238" s="1125"/>
      <c r="E238" s="1125" t="s">
        <v>18</v>
      </c>
      <c r="F238" s="1130" t="str">
        <f>VLOOKUP(E238,$N$13:$O$17,2,0)</f>
        <v>-</v>
      </c>
      <c r="G238" s="92"/>
      <c r="H238" s="823"/>
      <c r="I238" s="1125"/>
      <c r="J238" s="1133"/>
      <c r="K238" s="1133"/>
      <c r="L238" s="916"/>
    </row>
    <row r="239" spans="1:12" s="103" customFormat="1" ht="15.75" hidden="1" customHeight="1" outlineLevel="1">
      <c r="A239" s="916"/>
      <c r="B239" s="1123"/>
      <c r="C239" s="1127"/>
      <c r="D239" s="1125"/>
      <c r="E239" s="1125"/>
      <c r="F239" s="1130"/>
      <c r="G239" s="95"/>
      <c r="H239" s="823"/>
      <c r="I239" s="1125"/>
      <c r="J239" s="1134"/>
      <c r="K239" s="1134"/>
      <c r="L239" s="916"/>
    </row>
    <row r="240" spans="1:12" s="103" customFormat="1" ht="15.75" hidden="1" customHeight="1" outlineLevel="1">
      <c r="A240" s="916"/>
      <c r="B240" s="1124"/>
      <c r="C240" s="1128"/>
      <c r="D240" s="1126"/>
      <c r="E240" s="1126"/>
      <c r="F240" s="1132"/>
      <c r="G240" s="100"/>
      <c r="H240" s="824"/>
      <c r="I240" s="1126"/>
      <c r="J240" s="1135"/>
      <c r="K240" s="1135"/>
      <c r="L240" s="916"/>
    </row>
    <row r="241" spans="1:12" s="103" customFormat="1" ht="15.75" hidden="1" customHeight="1" outlineLevel="1">
      <c r="A241" s="916"/>
      <c r="B241" s="1123">
        <v>77</v>
      </c>
      <c r="C241" s="1127"/>
      <c r="D241" s="1125"/>
      <c r="E241" s="1125" t="s">
        <v>18</v>
      </c>
      <c r="F241" s="1130" t="str">
        <f>VLOOKUP(E241,$N$13:$O$17,2,0)</f>
        <v>-</v>
      </c>
      <c r="G241" s="92"/>
      <c r="H241" s="823"/>
      <c r="I241" s="1125"/>
      <c r="J241" s="1133"/>
      <c r="K241" s="1133"/>
      <c r="L241" s="916"/>
    </row>
    <row r="242" spans="1:12" s="103" customFormat="1" ht="15.75" hidden="1" customHeight="1" outlineLevel="1">
      <c r="A242" s="916"/>
      <c r="B242" s="1123"/>
      <c r="C242" s="1127"/>
      <c r="D242" s="1125"/>
      <c r="E242" s="1125"/>
      <c r="F242" s="1130"/>
      <c r="G242" s="95"/>
      <c r="H242" s="823"/>
      <c r="I242" s="1125"/>
      <c r="J242" s="1134"/>
      <c r="K242" s="1134"/>
      <c r="L242" s="916"/>
    </row>
    <row r="243" spans="1:12" s="103" customFormat="1" ht="15.75" hidden="1" customHeight="1" outlineLevel="1">
      <c r="A243" s="916"/>
      <c r="B243" s="1124"/>
      <c r="C243" s="1128"/>
      <c r="D243" s="1126"/>
      <c r="E243" s="1126"/>
      <c r="F243" s="1132"/>
      <c r="G243" s="100"/>
      <c r="H243" s="824"/>
      <c r="I243" s="1126"/>
      <c r="J243" s="1135"/>
      <c r="K243" s="1135"/>
      <c r="L243" s="916"/>
    </row>
    <row r="244" spans="1:12" s="103" customFormat="1" ht="15.75" hidden="1" customHeight="1" outlineLevel="1">
      <c r="A244" s="916"/>
      <c r="B244" s="1123">
        <v>78</v>
      </c>
      <c r="C244" s="1127"/>
      <c r="D244" s="1125"/>
      <c r="E244" s="1125" t="s">
        <v>18</v>
      </c>
      <c r="F244" s="1130" t="str">
        <f>VLOOKUP(E244,$N$13:$O$17,2,0)</f>
        <v>-</v>
      </c>
      <c r="G244" s="92"/>
      <c r="H244" s="823"/>
      <c r="I244" s="1125"/>
      <c r="J244" s="1133"/>
      <c r="K244" s="1133"/>
      <c r="L244" s="916"/>
    </row>
    <row r="245" spans="1:12" s="103" customFormat="1" ht="15.75" hidden="1" customHeight="1" outlineLevel="1">
      <c r="A245" s="916"/>
      <c r="B245" s="1123"/>
      <c r="C245" s="1127"/>
      <c r="D245" s="1125"/>
      <c r="E245" s="1125"/>
      <c r="F245" s="1130"/>
      <c r="G245" s="95"/>
      <c r="H245" s="823"/>
      <c r="I245" s="1125"/>
      <c r="J245" s="1134"/>
      <c r="K245" s="1134"/>
      <c r="L245" s="916"/>
    </row>
    <row r="246" spans="1:12" s="103" customFormat="1" ht="15.75" hidden="1" customHeight="1" outlineLevel="1">
      <c r="A246" s="916"/>
      <c r="B246" s="1124"/>
      <c r="C246" s="1128"/>
      <c r="D246" s="1126"/>
      <c r="E246" s="1126"/>
      <c r="F246" s="1132"/>
      <c r="G246" s="100"/>
      <c r="H246" s="824"/>
      <c r="I246" s="1126"/>
      <c r="J246" s="1135"/>
      <c r="K246" s="1135"/>
      <c r="L246" s="916"/>
    </row>
    <row r="247" spans="1:12" s="103" customFormat="1" ht="15.75" hidden="1" customHeight="1" outlineLevel="1">
      <c r="A247" s="916"/>
      <c r="B247" s="1123">
        <v>79</v>
      </c>
      <c r="C247" s="1127"/>
      <c r="D247" s="1125"/>
      <c r="E247" s="1125" t="s">
        <v>18</v>
      </c>
      <c r="F247" s="1130" t="str">
        <f>VLOOKUP(E247,$N$13:$O$17,2,0)</f>
        <v>-</v>
      </c>
      <c r="G247" s="92"/>
      <c r="H247" s="823"/>
      <c r="I247" s="1125"/>
      <c r="J247" s="1133"/>
      <c r="K247" s="1133"/>
      <c r="L247" s="916"/>
    </row>
    <row r="248" spans="1:12" s="103" customFormat="1" ht="15.75" hidden="1" customHeight="1" outlineLevel="1">
      <c r="A248" s="916"/>
      <c r="B248" s="1123"/>
      <c r="C248" s="1127"/>
      <c r="D248" s="1125"/>
      <c r="E248" s="1125"/>
      <c r="F248" s="1130"/>
      <c r="G248" s="95"/>
      <c r="H248" s="823"/>
      <c r="I248" s="1125"/>
      <c r="J248" s="1134"/>
      <c r="K248" s="1134"/>
      <c r="L248" s="916"/>
    </row>
    <row r="249" spans="1:12" s="103" customFormat="1" ht="15.75" hidden="1" customHeight="1" outlineLevel="1">
      <c r="A249" s="916"/>
      <c r="B249" s="1124"/>
      <c r="C249" s="1128"/>
      <c r="D249" s="1126"/>
      <c r="E249" s="1126"/>
      <c r="F249" s="1132"/>
      <c r="G249" s="100"/>
      <c r="H249" s="824"/>
      <c r="I249" s="1126"/>
      <c r="J249" s="1135"/>
      <c r="K249" s="1135"/>
      <c r="L249" s="916"/>
    </row>
    <row r="250" spans="1:12" s="103" customFormat="1" ht="15.75" hidden="1" customHeight="1" outlineLevel="1">
      <c r="A250" s="916"/>
      <c r="B250" s="1123">
        <v>80</v>
      </c>
      <c r="C250" s="1127"/>
      <c r="D250" s="1125"/>
      <c r="E250" s="1125" t="s">
        <v>18</v>
      </c>
      <c r="F250" s="1130" t="str">
        <f>VLOOKUP(E250,$N$13:$O$17,2,0)</f>
        <v>-</v>
      </c>
      <c r="G250" s="92"/>
      <c r="H250" s="823"/>
      <c r="I250" s="1125"/>
      <c r="J250" s="1133"/>
      <c r="K250" s="1133"/>
      <c r="L250" s="916"/>
    </row>
    <row r="251" spans="1:12" s="103" customFormat="1" ht="15.75" hidden="1" customHeight="1" outlineLevel="1">
      <c r="A251" s="916"/>
      <c r="B251" s="1123"/>
      <c r="C251" s="1127"/>
      <c r="D251" s="1125"/>
      <c r="E251" s="1125"/>
      <c r="F251" s="1130"/>
      <c r="G251" s="95"/>
      <c r="H251" s="823"/>
      <c r="I251" s="1125"/>
      <c r="J251" s="1134"/>
      <c r="K251" s="1134"/>
      <c r="L251" s="916"/>
    </row>
    <row r="252" spans="1:12" s="103" customFormat="1" ht="15.75" hidden="1" customHeight="1" outlineLevel="1">
      <c r="A252" s="916"/>
      <c r="B252" s="1124"/>
      <c r="C252" s="1128"/>
      <c r="D252" s="1126"/>
      <c r="E252" s="1126"/>
      <c r="F252" s="1132"/>
      <c r="G252" s="100"/>
      <c r="H252" s="824"/>
      <c r="I252" s="1126"/>
      <c r="J252" s="1135"/>
      <c r="K252" s="1135"/>
      <c r="L252" s="916"/>
    </row>
    <row r="253" spans="1:12" s="103" customFormat="1" ht="15.75" hidden="1" customHeight="1" outlineLevel="1">
      <c r="A253" s="916"/>
      <c r="B253" s="1123">
        <v>81</v>
      </c>
      <c r="C253" s="1127"/>
      <c r="D253" s="1125"/>
      <c r="E253" s="1125" t="s">
        <v>18</v>
      </c>
      <c r="F253" s="1130" t="str">
        <f>VLOOKUP(E253,$N$13:$O$17,2,0)</f>
        <v>-</v>
      </c>
      <c r="G253" s="92"/>
      <c r="H253" s="823"/>
      <c r="I253" s="1125"/>
      <c r="J253" s="1133"/>
      <c r="K253" s="1133"/>
      <c r="L253" s="916"/>
    </row>
    <row r="254" spans="1:12" s="103" customFormat="1" ht="15.75" hidden="1" customHeight="1" outlineLevel="1">
      <c r="A254" s="916"/>
      <c r="B254" s="1123"/>
      <c r="C254" s="1127"/>
      <c r="D254" s="1125"/>
      <c r="E254" s="1125"/>
      <c r="F254" s="1130"/>
      <c r="G254" s="95"/>
      <c r="H254" s="823"/>
      <c r="I254" s="1125"/>
      <c r="J254" s="1134"/>
      <c r="K254" s="1134"/>
      <c r="L254" s="916"/>
    </row>
    <row r="255" spans="1:12" s="103" customFormat="1" ht="15.75" hidden="1" customHeight="1" outlineLevel="1">
      <c r="A255" s="916"/>
      <c r="B255" s="1124"/>
      <c r="C255" s="1128"/>
      <c r="D255" s="1126"/>
      <c r="E255" s="1126"/>
      <c r="F255" s="1132"/>
      <c r="G255" s="100"/>
      <c r="H255" s="824"/>
      <c r="I255" s="1126"/>
      <c r="J255" s="1135"/>
      <c r="K255" s="1135"/>
      <c r="L255" s="916"/>
    </row>
    <row r="256" spans="1:12" s="103" customFormat="1" ht="15.75" hidden="1" customHeight="1" outlineLevel="1">
      <c r="A256" s="916"/>
      <c r="B256" s="1123">
        <v>82</v>
      </c>
      <c r="C256" s="1127"/>
      <c r="D256" s="1125"/>
      <c r="E256" s="1125" t="s">
        <v>18</v>
      </c>
      <c r="F256" s="1130" t="str">
        <f>VLOOKUP(E256,$N$13:$O$17,2,0)</f>
        <v>-</v>
      </c>
      <c r="G256" s="92"/>
      <c r="H256" s="823"/>
      <c r="I256" s="1125"/>
      <c r="J256" s="1133"/>
      <c r="K256" s="1133"/>
      <c r="L256" s="916"/>
    </row>
    <row r="257" spans="1:12" s="103" customFormat="1" ht="15.75" hidden="1" customHeight="1" outlineLevel="1">
      <c r="A257" s="916"/>
      <c r="B257" s="1123"/>
      <c r="C257" s="1127"/>
      <c r="D257" s="1125"/>
      <c r="E257" s="1125"/>
      <c r="F257" s="1130"/>
      <c r="G257" s="95"/>
      <c r="H257" s="823"/>
      <c r="I257" s="1125"/>
      <c r="J257" s="1134"/>
      <c r="K257" s="1134"/>
      <c r="L257" s="916"/>
    </row>
    <row r="258" spans="1:12" s="103" customFormat="1" ht="15.75" hidden="1" customHeight="1" outlineLevel="1">
      <c r="A258" s="916"/>
      <c r="B258" s="1124"/>
      <c r="C258" s="1128"/>
      <c r="D258" s="1126"/>
      <c r="E258" s="1126"/>
      <c r="F258" s="1132"/>
      <c r="G258" s="100"/>
      <c r="H258" s="824"/>
      <c r="I258" s="1126"/>
      <c r="J258" s="1135"/>
      <c r="K258" s="1135"/>
      <c r="L258" s="916"/>
    </row>
    <row r="259" spans="1:12" s="103" customFormat="1" ht="15.75" hidden="1" customHeight="1" outlineLevel="1">
      <c r="A259" s="916"/>
      <c r="B259" s="1123">
        <v>83</v>
      </c>
      <c r="C259" s="1127"/>
      <c r="D259" s="1125"/>
      <c r="E259" s="1125" t="s">
        <v>18</v>
      </c>
      <c r="F259" s="1130" t="str">
        <f>VLOOKUP(E259,$N$13:$O$17,2,0)</f>
        <v>-</v>
      </c>
      <c r="G259" s="92"/>
      <c r="H259" s="823"/>
      <c r="I259" s="1125"/>
      <c r="J259" s="1133"/>
      <c r="K259" s="1133"/>
      <c r="L259" s="916"/>
    </row>
    <row r="260" spans="1:12" s="103" customFormat="1" ht="15.75" hidden="1" customHeight="1" outlineLevel="1">
      <c r="A260" s="916"/>
      <c r="B260" s="1123"/>
      <c r="C260" s="1127"/>
      <c r="D260" s="1125"/>
      <c r="E260" s="1125"/>
      <c r="F260" s="1130"/>
      <c r="G260" s="95"/>
      <c r="H260" s="823"/>
      <c r="I260" s="1125"/>
      <c r="J260" s="1134"/>
      <c r="K260" s="1134"/>
      <c r="L260" s="916"/>
    </row>
    <row r="261" spans="1:12" s="103" customFormat="1" ht="15.75" hidden="1" customHeight="1" outlineLevel="1">
      <c r="A261" s="916"/>
      <c r="B261" s="1124"/>
      <c r="C261" s="1128"/>
      <c r="D261" s="1126"/>
      <c r="E261" s="1126"/>
      <c r="F261" s="1132"/>
      <c r="G261" s="100"/>
      <c r="H261" s="824"/>
      <c r="I261" s="1126"/>
      <c r="J261" s="1135"/>
      <c r="K261" s="1135"/>
      <c r="L261" s="916"/>
    </row>
    <row r="262" spans="1:12" s="103" customFormat="1" ht="15.75" hidden="1" customHeight="1" outlineLevel="1">
      <c r="A262" s="916"/>
      <c r="B262" s="1123">
        <v>84</v>
      </c>
      <c r="C262" s="1127"/>
      <c r="D262" s="1125"/>
      <c r="E262" s="1125" t="s">
        <v>18</v>
      </c>
      <c r="F262" s="1130" t="str">
        <f>VLOOKUP(E262,$N$13:$O$17,2,0)</f>
        <v>-</v>
      </c>
      <c r="G262" s="92"/>
      <c r="H262" s="823"/>
      <c r="I262" s="1125"/>
      <c r="J262" s="1133"/>
      <c r="K262" s="1133"/>
      <c r="L262" s="916"/>
    </row>
    <row r="263" spans="1:12" s="103" customFormat="1" ht="15.75" hidden="1" customHeight="1" outlineLevel="1">
      <c r="A263" s="916"/>
      <c r="B263" s="1123"/>
      <c r="C263" s="1127"/>
      <c r="D263" s="1125"/>
      <c r="E263" s="1125"/>
      <c r="F263" s="1130"/>
      <c r="G263" s="95"/>
      <c r="H263" s="823"/>
      <c r="I263" s="1125"/>
      <c r="J263" s="1134"/>
      <c r="K263" s="1134"/>
      <c r="L263" s="916"/>
    </row>
    <row r="264" spans="1:12" s="103" customFormat="1" ht="15.75" hidden="1" customHeight="1" outlineLevel="1">
      <c r="A264" s="916"/>
      <c r="B264" s="1124"/>
      <c r="C264" s="1128"/>
      <c r="D264" s="1126"/>
      <c r="E264" s="1126"/>
      <c r="F264" s="1132"/>
      <c r="G264" s="100"/>
      <c r="H264" s="824"/>
      <c r="I264" s="1126"/>
      <c r="J264" s="1135"/>
      <c r="K264" s="1135"/>
      <c r="L264" s="916"/>
    </row>
    <row r="265" spans="1:12" s="103" customFormat="1" ht="15.75" hidden="1" customHeight="1" outlineLevel="1">
      <c r="A265" s="916"/>
      <c r="B265" s="1123">
        <v>85</v>
      </c>
      <c r="C265" s="1127"/>
      <c r="D265" s="1125"/>
      <c r="E265" s="1125" t="s">
        <v>18</v>
      </c>
      <c r="F265" s="1130" t="str">
        <f>VLOOKUP(E265,$N$13:$O$17,2,0)</f>
        <v>-</v>
      </c>
      <c r="G265" s="92"/>
      <c r="H265" s="823"/>
      <c r="I265" s="1125"/>
      <c r="J265" s="1133"/>
      <c r="K265" s="1133"/>
      <c r="L265" s="916"/>
    </row>
    <row r="266" spans="1:12" s="103" customFormat="1" ht="15.75" hidden="1" customHeight="1" outlineLevel="1">
      <c r="A266" s="916"/>
      <c r="B266" s="1123"/>
      <c r="C266" s="1127"/>
      <c r="D266" s="1125"/>
      <c r="E266" s="1125"/>
      <c r="F266" s="1130"/>
      <c r="G266" s="95"/>
      <c r="H266" s="823"/>
      <c r="I266" s="1125"/>
      <c r="J266" s="1134"/>
      <c r="K266" s="1134"/>
      <c r="L266" s="916"/>
    </row>
    <row r="267" spans="1:12" s="103" customFormat="1" ht="15.75" hidden="1" customHeight="1" outlineLevel="1">
      <c r="A267" s="916"/>
      <c r="B267" s="1124"/>
      <c r="C267" s="1128"/>
      <c r="D267" s="1126"/>
      <c r="E267" s="1126"/>
      <c r="F267" s="1132"/>
      <c r="G267" s="100"/>
      <c r="H267" s="824"/>
      <c r="I267" s="1126"/>
      <c r="J267" s="1135"/>
      <c r="K267" s="1135"/>
      <c r="L267" s="916"/>
    </row>
    <row r="268" spans="1:12" s="103" customFormat="1" ht="15.75" hidden="1" customHeight="1" outlineLevel="1">
      <c r="A268" s="916"/>
      <c r="B268" s="1123">
        <v>86</v>
      </c>
      <c r="C268" s="1127"/>
      <c r="D268" s="1125"/>
      <c r="E268" s="1125" t="s">
        <v>18</v>
      </c>
      <c r="F268" s="1130" t="str">
        <f>VLOOKUP(E268,$N$13:$O$17,2,0)</f>
        <v>-</v>
      </c>
      <c r="G268" s="92"/>
      <c r="H268" s="823"/>
      <c r="I268" s="1125"/>
      <c r="J268" s="1133"/>
      <c r="K268" s="1133"/>
      <c r="L268" s="916"/>
    </row>
    <row r="269" spans="1:12" s="103" customFormat="1" ht="15.75" hidden="1" customHeight="1" outlineLevel="1">
      <c r="A269" s="916"/>
      <c r="B269" s="1123"/>
      <c r="C269" s="1127"/>
      <c r="D269" s="1125"/>
      <c r="E269" s="1125"/>
      <c r="F269" s="1130"/>
      <c r="G269" s="95"/>
      <c r="H269" s="823"/>
      <c r="I269" s="1125"/>
      <c r="J269" s="1134"/>
      <c r="K269" s="1134"/>
      <c r="L269" s="916"/>
    </row>
    <row r="270" spans="1:12" s="103" customFormat="1" ht="15.75" hidden="1" customHeight="1" outlineLevel="1">
      <c r="A270" s="916"/>
      <c r="B270" s="1124"/>
      <c r="C270" s="1128"/>
      <c r="D270" s="1126"/>
      <c r="E270" s="1126"/>
      <c r="F270" s="1132"/>
      <c r="G270" s="100"/>
      <c r="H270" s="824"/>
      <c r="I270" s="1126"/>
      <c r="J270" s="1135"/>
      <c r="K270" s="1135"/>
      <c r="L270" s="916"/>
    </row>
    <row r="271" spans="1:12" s="103" customFormat="1" ht="15.75" hidden="1" customHeight="1" outlineLevel="1">
      <c r="A271" s="916"/>
      <c r="B271" s="1123">
        <v>87</v>
      </c>
      <c r="C271" s="1127"/>
      <c r="D271" s="1125"/>
      <c r="E271" s="1125" t="s">
        <v>18</v>
      </c>
      <c r="F271" s="1130" t="str">
        <f>VLOOKUP(E271,$N$13:$O$17,2,0)</f>
        <v>-</v>
      </c>
      <c r="G271" s="92"/>
      <c r="H271" s="823"/>
      <c r="I271" s="1125"/>
      <c r="J271" s="1133"/>
      <c r="K271" s="1133"/>
      <c r="L271" s="916"/>
    </row>
    <row r="272" spans="1:12" s="103" customFormat="1" ht="15.75" hidden="1" customHeight="1" outlineLevel="1">
      <c r="A272" s="916"/>
      <c r="B272" s="1123"/>
      <c r="C272" s="1127"/>
      <c r="D272" s="1125"/>
      <c r="E272" s="1125"/>
      <c r="F272" s="1130"/>
      <c r="G272" s="95"/>
      <c r="H272" s="823"/>
      <c r="I272" s="1125"/>
      <c r="J272" s="1134"/>
      <c r="K272" s="1134"/>
      <c r="L272" s="916"/>
    </row>
    <row r="273" spans="1:12" s="103" customFormat="1" ht="15.75" hidden="1" customHeight="1" outlineLevel="1">
      <c r="A273" s="916"/>
      <c r="B273" s="1124"/>
      <c r="C273" s="1128"/>
      <c r="D273" s="1126"/>
      <c r="E273" s="1126"/>
      <c r="F273" s="1132"/>
      <c r="G273" s="100"/>
      <c r="H273" s="824"/>
      <c r="I273" s="1126"/>
      <c r="J273" s="1135"/>
      <c r="K273" s="1135"/>
      <c r="L273" s="916"/>
    </row>
    <row r="274" spans="1:12" s="103" customFormat="1" ht="15.75" hidden="1" customHeight="1" outlineLevel="1">
      <c r="A274" s="916"/>
      <c r="B274" s="1123">
        <v>88</v>
      </c>
      <c r="C274" s="1127"/>
      <c r="D274" s="1125"/>
      <c r="E274" s="1125" t="s">
        <v>18</v>
      </c>
      <c r="F274" s="1130" t="str">
        <f>VLOOKUP(E274,$N$13:$O$17,2,0)</f>
        <v>-</v>
      </c>
      <c r="G274" s="92"/>
      <c r="H274" s="823"/>
      <c r="I274" s="1125"/>
      <c r="J274" s="1133"/>
      <c r="K274" s="1133"/>
      <c r="L274" s="916"/>
    </row>
    <row r="275" spans="1:12" s="103" customFormat="1" ht="15.75" hidden="1" customHeight="1" outlineLevel="1">
      <c r="A275" s="916"/>
      <c r="B275" s="1123"/>
      <c r="C275" s="1127"/>
      <c r="D275" s="1125"/>
      <c r="E275" s="1125"/>
      <c r="F275" s="1130"/>
      <c r="G275" s="95"/>
      <c r="H275" s="823"/>
      <c r="I275" s="1125"/>
      <c r="J275" s="1134"/>
      <c r="K275" s="1134"/>
      <c r="L275" s="916"/>
    </row>
    <row r="276" spans="1:12" s="103" customFormat="1" ht="15.75" hidden="1" customHeight="1" outlineLevel="1">
      <c r="A276" s="916"/>
      <c r="B276" s="1124"/>
      <c r="C276" s="1128"/>
      <c r="D276" s="1126"/>
      <c r="E276" s="1126"/>
      <c r="F276" s="1132"/>
      <c r="G276" s="100"/>
      <c r="H276" s="824"/>
      <c r="I276" s="1126"/>
      <c r="J276" s="1135"/>
      <c r="K276" s="1135"/>
      <c r="L276" s="916"/>
    </row>
    <row r="277" spans="1:12" s="103" customFormat="1" ht="15.75" hidden="1" customHeight="1" outlineLevel="1">
      <c r="A277" s="916"/>
      <c r="B277" s="1123">
        <v>89</v>
      </c>
      <c r="C277" s="1127"/>
      <c r="D277" s="1125"/>
      <c r="E277" s="1125" t="s">
        <v>18</v>
      </c>
      <c r="F277" s="1130" t="str">
        <f>VLOOKUP(E277,$N$13:$O$17,2,0)</f>
        <v>-</v>
      </c>
      <c r="G277" s="92"/>
      <c r="H277" s="823"/>
      <c r="I277" s="1125"/>
      <c r="J277" s="1133"/>
      <c r="K277" s="1133"/>
      <c r="L277" s="916"/>
    </row>
    <row r="278" spans="1:12" s="103" customFormat="1" ht="15.75" hidden="1" customHeight="1" outlineLevel="1">
      <c r="A278" s="916"/>
      <c r="B278" s="1123"/>
      <c r="C278" s="1127"/>
      <c r="D278" s="1125"/>
      <c r="E278" s="1125"/>
      <c r="F278" s="1130"/>
      <c r="G278" s="95"/>
      <c r="H278" s="823"/>
      <c r="I278" s="1125"/>
      <c r="J278" s="1134"/>
      <c r="K278" s="1134"/>
      <c r="L278" s="916"/>
    </row>
    <row r="279" spans="1:12" s="103" customFormat="1" ht="15.75" hidden="1" customHeight="1" outlineLevel="1">
      <c r="A279" s="916"/>
      <c r="B279" s="1124"/>
      <c r="C279" s="1128"/>
      <c r="D279" s="1126"/>
      <c r="E279" s="1126"/>
      <c r="F279" s="1132"/>
      <c r="G279" s="100"/>
      <c r="H279" s="824"/>
      <c r="I279" s="1126"/>
      <c r="J279" s="1135"/>
      <c r="K279" s="1135"/>
      <c r="L279" s="916"/>
    </row>
    <row r="280" spans="1:12" s="103" customFormat="1" ht="15.75" hidden="1" customHeight="1" outlineLevel="1">
      <c r="A280" s="916"/>
      <c r="B280" s="1123">
        <v>90</v>
      </c>
      <c r="C280" s="1127"/>
      <c r="D280" s="1125"/>
      <c r="E280" s="1125" t="s">
        <v>18</v>
      </c>
      <c r="F280" s="1130" t="str">
        <f>VLOOKUP(E280,$N$13:$O$17,2,0)</f>
        <v>-</v>
      </c>
      <c r="G280" s="92"/>
      <c r="H280" s="823"/>
      <c r="I280" s="1125"/>
      <c r="J280" s="1133"/>
      <c r="K280" s="1133"/>
      <c r="L280" s="916"/>
    </row>
    <row r="281" spans="1:12" s="103" customFormat="1" ht="15.75" hidden="1" customHeight="1" outlineLevel="1">
      <c r="A281" s="916"/>
      <c r="B281" s="1123"/>
      <c r="C281" s="1127"/>
      <c r="D281" s="1125"/>
      <c r="E281" s="1125"/>
      <c r="F281" s="1130"/>
      <c r="G281" s="95"/>
      <c r="H281" s="823"/>
      <c r="I281" s="1125"/>
      <c r="J281" s="1134"/>
      <c r="K281" s="1134"/>
      <c r="L281" s="916"/>
    </row>
    <row r="282" spans="1:12" s="103" customFormat="1" ht="15.75" hidden="1" customHeight="1" outlineLevel="1">
      <c r="A282" s="916"/>
      <c r="B282" s="1124"/>
      <c r="C282" s="1128"/>
      <c r="D282" s="1126"/>
      <c r="E282" s="1126"/>
      <c r="F282" s="1132"/>
      <c r="G282" s="100"/>
      <c r="H282" s="824"/>
      <c r="I282" s="1126"/>
      <c r="J282" s="1135"/>
      <c r="K282" s="1135"/>
      <c r="L282" s="916"/>
    </row>
    <row r="283" spans="1:12" s="103" customFormat="1" ht="15.75" hidden="1" customHeight="1" outlineLevel="1">
      <c r="A283" s="916"/>
      <c r="B283" s="1123">
        <v>91</v>
      </c>
      <c r="C283" s="1127"/>
      <c r="D283" s="1125"/>
      <c r="E283" s="1125" t="s">
        <v>18</v>
      </c>
      <c r="F283" s="1130" t="str">
        <f>VLOOKUP(E283,$N$13:$O$17,2,0)</f>
        <v>-</v>
      </c>
      <c r="G283" s="92"/>
      <c r="H283" s="823"/>
      <c r="I283" s="1125"/>
      <c r="J283" s="1133"/>
      <c r="K283" s="1133"/>
      <c r="L283" s="916"/>
    </row>
    <row r="284" spans="1:12" s="103" customFormat="1" ht="15.75" hidden="1" customHeight="1" outlineLevel="1">
      <c r="A284" s="916"/>
      <c r="B284" s="1123"/>
      <c r="C284" s="1127"/>
      <c r="D284" s="1125"/>
      <c r="E284" s="1125"/>
      <c r="F284" s="1130"/>
      <c r="G284" s="95"/>
      <c r="H284" s="823"/>
      <c r="I284" s="1125"/>
      <c r="J284" s="1134"/>
      <c r="K284" s="1134"/>
      <c r="L284" s="916"/>
    </row>
    <row r="285" spans="1:12" s="103" customFormat="1" ht="15.75" hidden="1" customHeight="1" outlineLevel="1">
      <c r="A285" s="916"/>
      <c r="B285" s="1124"/>
      <c r="C285" s="1128"/>
      <c r="D285" s="1126"/>
      <c r="E285" s="1126"/>
      <c r="F285" s="1132"/>
      <c r="G285" s="100"/>
      <c r="H285" s="824"/>
      <c r="I285" s="1126"/>
      <c r="J285" s="1135"/>
      <c r="K285" s="1135"/>
      <c r="L285" s="916"/>
    </row>
    <row r="286" spans="1:12" s="103" customFormat="1" ht="15.75" hidden="1" customHeight="1" outlineLevel="1">
      <c r="A286" s="916"/>
      <c r="B286" s="1123">
        <v>92</v>
      </c>
      <c r="C286" s="1127"/>
      <c r="D286" s="1125"/>
      <c r="E286" s="1125" t="s">
        <v>18</v>
      </c>
      <c r="F286" s="1130" t="str">
        <f>VLOOKUP(E286,$N$13:$O$17,2,0)</f>
        <v>-</v>
      </c>
      <c r="G286" s="92"/>
      <c r="H286" s="823"/>
      <c r="I286" s="1125"/>
      <c r="J286" s="1133"/>
      <c r="K286" s="1133"/>
      <c r="L286" s="916"/>
    </row>
    <row r="287" spans="1:12" s="103" customFormat="1" ht="15.75" hidden="1" customHeight="1" outlineLevel="1">
      <c r="A287" s="916"/>
      <c r="B287" s="1123"/>
      <c r="C287" s="1127"/>
      <c r="D287" s="1125"/>
      <c r="E287" s="1125"/>
      <c r="F287" s="1130"/>
      <c r="G287" s="95"/>
      <c r="H287" s="823"/>
      <c r="I287" s="1125"/>
      <c r="J287" s="1134"/>
      <c r="K287" s="1134"/>
      <c r="L287" s="916"/>
    </row>
    <row r="288" spans="1:12" s="103" customFormat="1" ht="15.75" hidden="1" customHeight="1" outlineLevel="1">
      <c r="A288" s="916"/>
      <c r="B288" s="1124"/>
      <c r="C288" s="1128"/>
      <c r="D288" s="1126"/>
      <c r="E288" s="1126"/>
      <c r="F288" s="1132"/>
      <c r="G288" s="100"/>
      <c r="H288" s="824"/>
      <c r="I288" s="1126"/>
      <c r="J288" s="1135"/>
      <c r="K288" s="1135"/>
      <c r="L288" s="916"/>
    </row>
    <row r="289" spans="1:12" s="103" customFormat="1" ht="15.75" hidden="1" customHeight="1" outlineLevel="1">
      <c r="A289" s="916"/>
      <c r="B289" s="1123">
        <v>93</v>
      </c>
      <c r="C289" s="1127"/>
      <c r="D289" s="1125"/>
      <c r="E289" s="1125" t="s">
        <v>18</v>
      </c>
      <c r="F289" s="1130" t="str">
        <f>VLOOKUP(E289,$N$13:$O$17,2,0)</f>
        <v>-</v>
      </c>
      <c r="G289" s="92"/>
      <c r="H289" s="823"/>
      <c r="I289" s="1125"/>
      <c r="J289" s="1133"/>
      <c r="K289" s="1133"/>
      <c r="L289" s="916"/>
    </row>
    <row r="290" spans="1:12" s="103" customFormat="1" ht="15.75" hidden="1" customHeight="1" outlineLevel="1">
      <c r="A290" s="916"/>
      <c r="B290" s="1123"/>
      <c r="C290" s="1127"/>
      <c r="D290" s="1125"/>
      <c r="E290" s="1125"/>
      <c r="F290" s="1130"/>
      <c r="G290" s="95"/>
      <c r="H290" s="823"/>
      <c r="I290" s="1125"/>
      <c r="J290" s="1134"/>
      <c r="K290" s="1134"/>
      <c r="L290" s="916"/>
    </row>
    <row r="291" spans="1:12" s="103" customFormat="1" ht="15.75" hidden="1" customHeight="1" outlineLevel="1">
      <c r="A291" s="916"/>
      <c r="B291" s="1124"/>
      <c r="C291" s="1128"/>
      <c r="D291" s="1126"/>
      <c r="E291" s="1126"/>
      <c r="F291" s="1132"/>
      <c r="G291" s="100"/>
      <c r="H291" s="824"/>
      <c r="I291" s="1126"/>
      <c r="J291" s="1135"/>
      <c r="K291" s="1135"/>
      <c r="L291" s="916"/>
    </row>
    <row r="292" spans="1:12" s="103" customFormat="1" ht="15.75" hidden="1" customHeight="1" outlineLevel="1">
      <c r="A292" s="916"/>
      <c r="B292" s="1123">
        <v>94</v>
      </c>
      <c r="C292" s="1127"/>
      <c r="D292" s="1125"/>
      <c r="E292" s="1125" t="s">
        <v>18</v>
      </c>
      <c r="F292" s="1130" t="str">
        <f>VLOOKUP(E292,$N$13:$O$17,2,0)</f>
        <v>-</v>
      </c>
      <c r="G292" s="92"/>
      <c r="H292" s="823"/>
      <c r="I292" s="1125"/>
      <c r="J292" s="1133"/>
      <c r="K292" s="1133"/>
      <c r="L292" s="916"/>
    </row>
    <row r="293" spans="1:12" s="103" customFormat="1" ht="15.75" hidden="1" customHeight="1" outlineLevel="1">
      <c r="A293" s="916"/>
      <c r="B293" s="1123"/>
      <c r="C293" s="1127"/>
      <c r="D293" s="1125"/>
      <c r="E293" s="1125"/>
      <c r="F293" s="1130"/>
      <c r="G293" s="95"/>
      <c r="H293" s="823"/>
      <c r="I293" s="1125"/>
      <c r="J293" s="1134"/>
      <c r="K293" s="1134"/>
      <c r="L293" s="916"/>
    </row>
    <row r="294" spans="1:12" s="103" customFormat="1" ht="15.75" hidden="1" customHeight="1" outlineLevel="1">
      <c r="A294" s="916"/>
      <c r="B294" s="1124"/>
      <c r="C294" s="1128"/>
      <c r="D294" s="1126"/>
      <c r="E294" s="1126"/>
      <c r="F294" s="1132"/>
      <c r="G294" s="100"/>
      <c r="H294" s="824"/>
      <c r="I294" s="1126"/>
      <c r="J294" s="1135"/>
      <c r="K294" s="1135"/>
      <c r="L294" s="916"/>
    </row>
    <row r="295" spans="1:12" s="103" customFormat="1" ht="15.75" hidden="1" customHeight="1" outlineLevel="1">
      <c r="A295" s="916"/>
      <c r="B295" s="1123">
        <v>95</v>
      </c>
      <c r="C295" s="1127"/>
      <c r="D295" s="1125"/>
      <c r="E295" s="1125" t="s">
        <v>18</v>
      </c>
      <c r="F295" s="1130" t="str">
        <f>VLOOKUP(E295,$N$13:$O$17,2,0)</f>
        <v>-</v>
      </c>
      <c r="G295" s="92"/>
      <c r="H295" s="823"/>
      <c r="I295" s="1125"/>
      <c r="J295" s="1133"/>
      <c r="K295" s="1133"/>
      <c r="L295" s="916"/>
    </row>
    <row r="296" spans="1:12" s="103" customFormat="1" ht="15.75" hidden="1" customHeight="1" outlineLevel="1">
      <c r="A296" s="916"/>
      <c r="B296" s="1123"/>
      <c r="C296" s="1127"/>
      <c r="D296" s="1125"/>
      <c r="E296" s="1125"/>
      <c r="F296" s="1130"/>
      <c r="G296" s="95"/>
      <c r="H296" s="823"/>
      <c r="I296" s="1125"/>
      <c r="J296" s="1134"/>
      <c r="K296" s="1134"/>
      <c r="L296" s="916"/>
    </row>
    <row r="297" spans="1:12" s="103" customFormat="1" ht="15.75" hidden="1" customHeight="1" outlineLevel="1">
      <c r="A297" s="916"/>
      <c r="B297" s="1124"/>
      <c r="C297" s="1128"/>
      <c r="D297" s="1126"/>
      <c r="E297" s="1126"/>
      <c r="F297" s="1132"/>
      <c r="G297" s="100"/>
      <c r="H297" s="824"/>
      <c r="I297" s="1126"/>
      <c r="J297" s="1135"/>
      <c r="K297" s="1135"/>
      <c r="L297" s="916"/>
    </row>
    <row r="298" spans="1:12" s="103" customFormat="1" ht="15.75" hidden="1" customHeight="1" outlineLevel="1">
      <c r="A298" s="916"/>
      <c r="B298" s="1123">
        <v>96</v>
      </c>
      <c r="C298" s="1127"/>
      <c r="D298" s="1125"/>
      <c r="E298" s="1125" t="s">
        <v>18</v>
      </c>
      <c r="F298" s="1130" t="str">
        <f>VLOOKUP(E298,$N$13:$O$17,2,0)</f>
        <v>-</v>
      </c>
      <c r="G298" s="92"/>
      <c r="H298" s="823"/>
      <c r="I298" s="1125"/>
      <c r="J298" s="1133"/>
      <c r="K298" s="1133"/>
      <c r="L298" s="916"/>
    </row>
    <row r="299" spans="1:12" s="103" customFormat="1" ht="15.75" hidden="1" customHeight="1" outlineLevel="1">
      <c r="A299" s="916"/>
      <c r="B299" s="1123"/>
      <c r="C299" s="1127"/>
      <c r="D299" s="1125"/>
      <c r="E299" s="1125"/>
      <c r="F299" s="1130"/>
      <c r="G299" s="95"/>
      <c r="H299" s="823"/>
      <c r="I299" s="1125"/>
      <c r="J299" s="1134"/>
      <c r="K299" s="1134"/>
      <c r="L299" s="916"/>
    </row>
    <row r="300" spans="1:12" s="103" customFormat="1" ht="15.75" hidden="1" customHeight="1" outlineLevel="1">
      <c r="A300" s="916"/>
      <c r="B300" s="1124"/>
      <c r="C300" s="1128"/>
      <c r="D300" s="1126"/>
      <c r="E300" s="1126"/>
      <c r="F300" s="1132"/>
      <c r="G300" s="100"/>
      <c r="H300" s="824"/>
      <c r="I300" s="1126"/>
      <c r="J300" s="1135"/>
      <c r="K300" s="1135"/>
      <c r="L300" s="916"/>
    </row>
    <row r="301" spans="1:12" s="103" customFormat="1" ht="15.75" hidden="1" customHeight="1" outlineLevel="1">
      <c r="A301" s="916"/>
      <c r="B301" s="1123">
        <v>97</v>
      </c>
      <c r="C301" s="1127"/>
      <c r="D301" s="1125"/>
      <c r="E301" s="1125" t="s">
        <v>18</v>
      </c>
      <c r="F301" s="1130" t="str">
        <f>VLOOKUP(E301,$N$13:$O$17,2,0)</f>
        <v>-</v>
      </c>
      <c r="G301" s="92"/>
      <c r="H301" s="823"/>
      <c r="I301" s="1125"/>
      <c r="J301" s="1133"/>
      <c r="K301" s="1133"/>
      <c r="L301" s="916"/>
    </row>
    <row r="302" spans="1:12" s="103" customFormat="1" ht="15.75" hidden="1" customHeight="1" outlineLevel="1">
      <c r="A302" s="916"/>
      <c r="B302" s="1123"/>
      <c r="C302" s="1127"/>
      <c r="D302" s="1125"/>
      <c r="E302" s="1125"/>
      <c r="F302" s="1130"/>
      <c r="G302" s="95"/>
      <c r="H302" s="823"/>
      <c r="I302" s="1125"/>
      <c r="J302" s="1134"/>
      <c r="K302" s="1134"/>
      <c r="L302" s="916"/>
    </row>
    <row r="303" spans="1:12" s="103" customFormat="1" ht="15.75" hidden="1" customHeight="1" outlineLevel="1">
      <c r="A303" s="916"/>
      <c r="B303" s="1124"/>
      <c r="C303" s="1128"/>
      <c r="D303" s="1126"/>
      <c r="E303" s="1126"/>
      <c r="F303" s="1132"/>
      <c r="G303" s="100"/>
      <c r="H303" s="824"/>
      <c r="I303" s="1126"/>
      <c r="J303" s="1135"/>
      <c r="K303" s="1135"/>
      <c r="L303" s="916"/>
    </row>
    <row r="304" spans="1:12" s="103" customFormat="1" ht="15.75" hidden="1" customHeight="1" outlineLevel="1">
      <c r="A304" s="916"/>
      <c r="B304" s="1123">
        <v>98</v>
      </c>
      <c r="C304" s="1127"/>
      <c r="D304" s="1125"/>
      <c r="E304" s="1125" t="s">
        <v>18</v>
      </c>
      <c r="F304" s="1130" t="str">
        <f>VLOOKUP(E304,$N$13:$O$17,2,0)</f>
        <v>-</v>
      </c>
      <c r="G304" s="92"/>
      <c r="H304" s="823"/>
      <c r="I304" s="1125"/>
      <c r="J304" s="1133"/>
      <c r="K304" s="1133"/>
      <c r="L304" s="916"/>
    </row>
    <row r="305" spans="1:12" s="103" customFormat="1" ht="15.75" hidden="1" customHeight="1" outlineLevel="1">
      <c r="A305" s="916"/>
      <c r="B305" s="1123"/>
      <c r="C305" s="1127"/>
      <c r="D305" s="1125"/>
      <c r="E305" s="1125"/>
      <c r="F305" s="1130"/>
      <c r="G305" s="95"/>
      <c r="H305" s="823"/>
      <c r="I305" s="1125"/>
      <c r="J305" s="1134"/>
      <c r="K305" s="1134"/>
      <c r="L305" s="916"/>
    </row>
    <row r="306" spans="1:12" s="103" customFormat="1" ht="15.75" hidden="1" customHeight="1" outlineLevel="1">
      <c r="A306" s="916"/>
      <c r="B306" s="1124"/>
      <c r="C306" s="1128"/>
      <c r="D306" s="1126"/>
      <c r="E306" s="1126"/>
      <c r="F306" s="1132"/>
      <c r="G306" s="100"/>
      <c r="H306" s="824"/>
      <c r="I306" s="1126"/>
      <c r="J306" s="1135"/>
      <c r="K306" s="1135"/>
      <c r="L306" s="916"/>
    </row>
    <row r="307" spans="1:12" s="103" customFormat="1" ht="15.75" hidden="1" customHeight="1" outlineLevel="1">
      <c r="A307" s="916"/>
      <c r="B307" s="1123">
        <v>99</v>
      </c>
      <c r="C307" s="1127"/>
      <c r="D307" s="1125"/>
      <c r="E307" s="1125" t="s">
        <v>18</v>
      </c>
      <c r="F307" s="1130" t="str">
        <f>VLOOKUP(E307,$N$13:$O$17,2,0)</f>
        <v>-</v>
      </c>
      <c r="G307" s="92"/>
      <c r="H307" s="823"/>
      <c r="I307" s="1125"/>
      <c r="J307" s="1133"/>
      <c r="K307" s="1133"/>
      <c r="L307" s="916"/>
    </row>
    <row r="308" spans="1:12" s="103" customFormat="1" ht="15.75" hidden="1" customHeight="1" outlineLevel="1">
      <c r="A308" s="916"/>
      <c r="B308" s="1123"/>
      <c r="C308" s="1127"/>
      <c r="D308" s="1125"/>
      <c r="E308" s="1125"/>
      <c r="F308" s="1130"/>
      <c r="G308" s="95"/>
      <c r="H308" s="823"/>
      <c r="I308" s="1125"/>
      <c r="J308" s="1134"/>
      <c r="K308" s="1134"/>
      <c r="L308" s="916"/>
    </row>
    <row r="309" spans="1:12" s="103" customFormat="1" ht="15.75" hidden="1" customHeight="1" outlineLevel="1">
      <c r="A309" s="916"/>
      <c r="B309" s="1124"/>
      <c r="C309" s="1128"/>
      <c r="D309" s="1126"/>
      <c r="E309" s="1126"/>
      <c r="F309" s="1132"/>
      <c r="G309" s="100"/>
      <c r="H309" s="824"/>
      <c r="I309" s="1126"/>
      <c r="J309" s="1135"/>
      <c r="K309" s="1135"/>
      <c r="L309" s="916"/>
    </row>
    <row r="310" spans="1:12" s="103" customFormat="1" ht="15.75" hidden="1" customHeight="1" outlineLevel="1">
      <c r="A310" s="916"/>
      <c r="B310" s="1123">
        <v>100</v>
      </c>
      <c r="C310" s="1127"/>
      <c r="D310" s="1125"/>
      <c r="E310" s="1125" t="s">
        <v>18</v>
      </c>
      <c r="F310" s="1130" t="str">
        <f>VLOOKUP(E310,$N$13:$O$17,2,0)</f>
        <v>-</v>
      </c>
      <c r="G310" s="92"/>
      <c r="H310" s="823"/>
      <c r="I310" s="1125"/>
      <c r="J310" s="1133"/>
      <c r="K310" s="1133"/>
      <c r="L310" s="916"/>
    </row>
    <row r="311" spans="1:12" s="103" customFormat="1" ht="15.75" hidden="1" customHeight="1" outlineLevel="1">
      <c r="A311" s="916"/>
      <c r="B311" s="1123"/>
      <c r="C311" s="1127"/>
      <c r="D311" s="1125"/>
      <c r="E311" s="1125"/>
      <c r="F311" s="1130"/>
      <c r="G311" s="95"/>
      <c r="H311" s="823"/>
      <c r="I311" s="1125"/>
      <c r="J311" s="1134"/>
      <c r="K311" s="1134"/>
      <c r="L311" s="916"/>
    </row>
    <row r="312" spans="1:12" s="103" customFormat="1" ht="15.75" hidden="1" customHeight="1" outlineLevel="1">
      <c r="A312" s="916"/>
      <c r="B312" s="1124"/>
      <c r="C312" s="1128"/>
      <c r="D312" s="1126"/>
      <c r="E312" s="1126"/>
      <c r="F312" s="1132"/>
      <c r="G312" s="100"/>
      <c r="H312" s="824"/>
      <c r="I312" s="1126"/>
      <c r="J312" s="1135"/>
      <c r="K312" s="1135"/>
      <c r="L312" s="916"/>
    </row>
    <row r="313" spans="1:12" s="103" customFormat="1" ht="15.75" hidden="1" customHeight="1" outlineLevel="1">
      <c r="A313" s="916"/>
      <c r="B313" s="1123">
        <v>101</v>
      </c>
      <c r="C313" s="1127"/>
      <c r="D313" s="1125"/>
      <c r="E313" s="1125" t="s">
        <v>18</v>
      </c>
      <c r="F313" s="1130" t="str">
        <f>VLOOKUP(E313,$N$13:$O$17,2,0)</f>
        <v>-</v>
      </c>
      <c r="G313" s="92"/>
      <c r="H313" s="823"/>
      <c r="I313" s="1125"/>
      <c r="J313" s="1133"/>
      <c r="K313" s="1133"/>
      <c r="L313" s="916"/>
    </row>
    <row r="314" spans="1:12" s="103" customFormat="1" ht="15.75" hidden="1" customHeight="1" outlineLevel="1">
      <c r="A314" s="916"/>
      <c r="B314" s="1123"/>
      <c r="C314" s="1127"/>
      <c r="D314" s="1125"/>
      <c r="E314" s="1125"/>
      <c r="F314" s="1130"/>
      <c r="G314" s="95"/>
      <c r="H314" s="823"/>
      <c r="I314" s="1125"/>
      <c r="J314" s="1134"/>
      <c r="K314" s="1134"/>
      <c r="L314" s="916"/>
    </row>
    <row r="315" spans="1:12" s="103" customFormat="1" ht="15.75" hidden="1" customHeight="1" outlineLevel="1">
      <c r="A315" s="916"/>
      <c r="B315" s="1124"/>
      <c r="C315" s="1128"/>
      <c r="D315" s="1126"/>
      <c r="E315" s="1126"/>
      <c r="F315" s="1132"/>
      <c r="G315" s="100"/>
      <c r="H315" s="824"/>
      <c r="I315" s="1126"/>
      <c r="J315" s="1135"/>
      <c r="K315" s="1135"/>
      <c r="L315" s="916"/>
    </row>
    <row r="316" spans="1:12" s="103" customFormat="1" ht="15.75" hidden="1" customHeight="1" outlineLevel="1">
      <c r="A316" s="916"/>
      <c r="B316" s="1123">
        <v>102</v>
      </c>
      <c r="C316" s="1127"/>
      <c r="D316" s="1125"/>
      <c r="E316" s="1125" t="s">
        <v>18</v>
      </c>
      <c r="F316" s="1130" t="str">
        <f>VLOOKUP(E316,$N$13:$O$17,2,0)</f>
        <v>-</v>
      </c>
      <c r="G316" s="92"/>
      <c r="H316" s="823"/>
      <c r="I316" s="1125"/>
      <c r="J316" s="1133"/>
      <c r="K316" s="1133"/>
      <c r="L316" s="916"/>
    </row>
    <row r="317" spans="1:12" s="103" customFormat="1" ht="15.75" hidden="1" customHeight="1" outlineLevel="1">
      <c r="A317" s="916"/>
      <c r="B317" s="1123"/>
      <c r="C317" s="1127"/>
      <c r="D317" s="1125"/>
      <c r="E317" s="1125"/>
      <c r="F317" s="1130"/>
      <c r="G317" s="95"/>
      <c r="H317" s="823"/>
      <c r="I317" s="1125"/>
      <c r="J317" s="1134"/>
      <c r="K317" s="1134"/>
      <c r="L317" s="916"/>
    </row>
    <row r="318" spans="1:12" s="103" customFormat="1" ht="15.75" hidden="1" customHeight="1" outlineLevel="1">
      <c r="A318" s="916"/>
      <c r="B318" s="1124"/>
      <c r="C318" s="1128"/>
      <c r="D318" s="1126"/>
      <c r="E318" s="1126"/>
      <c r="F318" s="1132"/>
      <c r="G318" s="100"/>
      <c r="H318" s="824"/>
      <c r="I318" s="1126"/>
      <c r="J318" s="1135"/>
      <c r="K318" s="1135"/>
      <c r="L318" s="916"/>
    </row>
    <row r="319" spans="1:12" s="103" customFormat="1" ht="15.75" hidden="1" customHeight="1" outlineLevel="1">
      <c r="A319" s="916"/>
      <c r="B319" s="1123">
        <v>103</v>
      </c>
      <c r="C319" s="1127"/>
      <c r="D319" s="1125"/>
      <c r="E319" s="1125" t="s">
        <v>18</v>
      </c>
      <c r="F319" s="1130" t="str">
        <f>VLOOKUP(E319,$N$13:$O$17,2,0)</f>
        <v>-</v>
      </c>
      <c r="G319" s="92"/>
      <c r="H319" s="823"/>
      <c r="I319" s="1125"/>
      <c r="J319" s="1133"/>
      <c r="K319" s="1133"/>
      <c r="L319" s="916"/>
    </row>
    <row r="320" spans="1:12" s="103" customFormat="1" ht="15.75" hidden="1" customHeight="1" outlineLevel="1">
      <c r="A320" s="916"/>
      <c r="B320" s="1123"/>
      <c r="C320" s="1127"/>
      <c r="D320" s="1125"/>
      <c r="E320" s="1125"/>
      <c r="F320" s="1130"/>
      <c r="G320" s="95"/>
      <c r="H320" s="823"/>
      <c r="I320" s="1125"/>
      <c r="J320" s="1134"/>
      <c r="K320" s="1134"/>
      <c r="L320" s="916"/>
    </row>
    <row r="321" spans="1:12" s="103" customFormat="1" ht="15.75" hidden="1" customHeight="1" outlineLevel="1">
      <c r="A321" s="916"/>
      <c r="B321" s="1124"/>
      <c r="C321" s="1128"/>
      <c r="D321" s="1126"/>
      <c r="E321" s="1126"/>
      <c r="F321" s="1132"/>
      <c r="G321" s="100"/>
      <c r="H321" s="824"/>
      <c r="I321" s="1126"/>
      <c r="J321" s="1135"/>
      <c r="K321" s="1135"/>
      <c r="L321" s="916"/>
    </row>
    <row r="322" spans="1:12" s="103" customFormat="1" ht="15.75" hidden="1" customHeight="1" outlineLevel="1">
      <c r="A322" s="916"/>
      <c r="B322" s="1123">
        <v>104</v>
      </c>
      <c r="C322" s="1127"/>
      <c r="D322" s="1125"/>
      <c r="E322" s="1125" t="s">
        <v>18</v>
      </c>
      <c r="F322" s="1130" t="str">
        <f>VLOOKUP(E322,$N$13:$O$17,2,0)</f>
        <v>-</v>
      </c>
      <c r="G322" s="92"/>
      <c r="H322" s="823"/>
      <c r="I322" s="1125"/>
      <c r="J322" s="1133"/>
      <c r="K322" s="1133"/>
      <c r="L322" s="916"/>
    </row>
    <row r="323" spans="1:12" s="103" customFormat="1" ht="15.75" hidden="1" customHeight="1" outlineLevel="1">
      <c r="A323" s="916"/>
      <c r="B323" s="1123"/>
      <c r="C323" s="1127"/>
      <c r="D323" s="1125"/>
      <c r="E323" s="1125"/>
      <c r="F323" s="1130"/>
      <c r="G323" s="95"/>
      <c r="H323" s="823"/>
      <c r="I323" s="1125"/>
      <c r="J323" s="1134"/>
      <c r="K323" s="1134"/>
      <c r="L323" s="916"/>
    </row>
    <row r="324" spans="1:12" s="103" customFormat="1" ht="15.75" hidden="1" customHeight="1" outlineLevel="1">
      <c r="A324" s="916"/>
      <c r="B324" s="1124"/>
      <c r="C324" s="1128"/>
      <c r="D324" s="1126"/>
      <c r="E324" s="1126"/>
      <c r="F324" s="1132"/>
      <c r="G324" s="100"/>
      <c r="H324" s="824"/>
      <c r="I324" s="1126"/>
      <c r="J324" s="1135"/>
      <c r="K324" s="1135"/>
      <c r="L324" s="916"/>
    </row>
    <row r="325" spans="1:12" s="103" customFormat="1" ht="15.75" hidden="1" customHeight="1" outlineLevel="1">
      <c r="A325" s="916"/>
      <c r="B325" s="1123">
        <v>105</v>
      </c>
      <c r="C325" s="1127"/>
      <c r="D325" s="1125"/>
      <c r="E325" s="1125" t="s">
        <v>18</v>
      </c>
      <c r="F325" s="1130" t="str">
        <f>VLOOKUP(E325,$N$13:$O$17,2,0)</f>
        <v>-</v>
      </c>
      <c r="G325" s="92"/>
      <c r="H325" s="823"/>
      <c r="I325" s="1125"/>
      <c r="J325" s="1133"/>
      <c r="K325" s="1133"/>
      <c r="L325" s="916"/>
    </row>
    <row r="326" spans="1:12" s="103" customFormat="1" ht="15.75" hidden="1" customHeight="1" outlineLevel="1">
      <c r="A326" s="916"/>
      <c r="B326" s="1123"/>
      <c r="C326" s="1127"/>
      <c r="D326" s="1125"/>
      <c r="E326" s="1125"/>
      <c r="F326" s="1130"/>
      <c r="G326" s="95"/>
      <c r="H326" s="823"/>
      <c r="I326" s="1125"/>
      <c r="J326" s="1134"/>
      <c r="K326" s="1134"/>
      <c r="L326" s="916"/>
    </row>
    <row r="327" spans="1:12" s="103" customFormat="1" ht="15.75" hidden="1" customHeight="1" outlineLevel="1">
      <c r="A327" s="916"/>
      <c r="B327" s="1124"/>
      <c r="C327" s="1128"/>
      <c r="D327" s="1126"/>
      <c r="E327" s="1126"/>
      <c r="F327" s="1132"/>
      <c r="G327" s="100"/>
      <c r="H327" s="824"/>
      <c r="I327" s="1126"/>
      <c r="J327" s="1135"/>
      <c r="K327" s="1135"/>
      <c r="L327" s="916"/>
    </row>
    <row r="328" spans="1:12" s="103" customFormat="1" ht="15.75" hidden="1" customHeight="1" outlineLevel="1">
      <c r="A328" s="916"/>
      <c r="B328" s="1123">
        <v>106</v>
      </c>
      <c r="C328" s="1127"/>
      <c r="D328" s="1125"/>
      <c r="E328" s="1125" t="s">
        <v>18</v>
      </c>
      <c r="F328" s="1130" t="str">
        <f>VLOOKUP(E328,$N$13:$O$17,2,0)</f>
        <v>-</v>
      </c>
      <c r="G328" s="92"/>
      <c r="H328" s="823"/>
      <c r="I328" s="1125"/>
      <c r="J328" s="1133"/>
      <c r="K328" s="1133"/>
      <c r="L328" s="916"/>
    </row>
    <row r="329" spans="1:12" s="103" customFormat="1" ht="15.75" hidden="1" customHeight="1" outlineLevel="1">
      <c r="A329" s="916"/>
      <c r="B329" s="1123"/>
      <c r="C329" s="1127"/>
      <c r="D329" s="1125"/>
      <c r="E329" s="1125"/>
      <c r="F329" s="1130"/>
      <c r="G329" s="95"/>
      <c r="H329" s="823"/>
      <c r="I329" s="1125"/>
      <c r="J329" s="1134"/>
      <c r="K329" s="1134"/>
      <c r="L329" s="916"/>
    </row>
    <row r="330" spans="1:12" s="103" customFormat="1" ht="15.75" hidden="1" customHeight="1" outlineLevel="1">
      <c r="A330" s="916"/>
      <c r="B330" s="1124"/>
      <c r="C330" s="1128"/>
      <c r="D330" s="1126"/>
      <c r="E330" s="1126"/>
      <c r="F330" s="1132"/>
      <c r="G330" s="100"/>
      <c r="H330" s="824"/>
      <c r="I330" s="1126"/>
      <c r="J330" s="1135"/>
      <c r="K330" s="1135"/>
      <c r="L330" s="916"/>
    </row>
    <row r="331" spans="1:12" s="103" customFormat="1" ht="15.75" hidden="1" customHeight="1" outlineLevel="1">
      <c r="A331" s="916"/>
      <c r="B331" s="1123">
        <v>107</v>
      </c>
      <c r="C331" s="1127"/>
      <c r="D331" s="1125"/>
      <c r="E331" s="1125" t="s">
        <v>18</v>
      </c>
      <c r="F331" s="1130" t="str">
        <f>VLOOKUP(E331,$N$13:$O$17,2,0)</f>
        <v>-</v>
      </c>
      <c r="G331" s="92"/>
      <c r="H331" s="823"/>
      <c r="I331" s="1125"/>
      <c r="J331" s="1133"/>
      <c r="K331" s="1133"/>
      <c r="L331" s="916"/>
    </row>
    <row r="332" spans="1:12" s="103" customFormat="1" ht="15.75" hidden="1" customHeight="1" outlineLevel="1">
      <c r="A332" s="916"/>
      <c r="B332" s="1123"/>
      <c r="C332" s="1127"/>
      <c r="D332" s="1125"/>
      <c r="E332" s="1125"/>
      <c r="F332" s="1130"/>
      <c r="G332" s="95"/>
      <c r="H332" s="823"/>
      <c r="I332" s="1125"/>
      <c r="J332" s="1134"/>
      <c r="K332" s="1134"/>
      <c r="L332" s="916"/>
    </row>
    <row r="333" spans="1:12" s="103" customFormat="1" ht="15.75" hidden="1" customHeight="1" outlineLevel="1">
      <c r="A333" s="916"/>
      <c r="B333" s="1124"/>
      <c r="C333" s="1128"/>
      <c r="D333" s="1126"/>
      <c r="E333" s="1126"/>
      <c r="F333" s="1132"/>
      <c r="G333" s="100"/>
      <c r="H333" s="824"/>
      <c r="I333" s="1126"/>
      <c r="J333" s="1135"/>
      <c r="K333" s="1135"/>
      <c r="L333" s="916"/>
    </row>
    <row r="334" spans="1:12" s="103" customFormat="1" ht="15.75" hidden="1" customHeight="1" outlineLevel="1">
      <c r="A334" s="916"/>
      <c r="B334" s="1123">
        <v>108</v>
      </c>
      <c r="C334" s="1127"/>
      <c r="D334" s="1125"/>
      <c r="E334" s="1125" t="s">
        <v>18</v>
      </c>
      <c r="F334" s="1130" t="str">
        <f>VLOOKUP(E334,$N$13:$O$17,2,0)</f>
        <v>-</v>
      </c>
      <c r="G334" s="92"/>
      <c r="H334" s="823"/>
      <c r="I334" s="1125"/>
      <c r="J334" s="1133"/>
      <c r="K334" s="1133"/>
      <c r="L334" s="916"/>
    </row>
    <row r="335" spans="1:12" s="103" customFormat="1" ht="15.75" hidden="1" customHeight="1" outlineLevel="1">
      <c r="A335" s="916"/>
      <c r="B335" s="1123"/>
      <c r="C335" s="1127"/>
      <c r="D335" s="1125"/>
      <c r="E335" s="1125"/>
      <c r="F335" s="1130"/>
      <c r="G335" s="95"/>
      <c r="H335" s="823"/>
      <c r="I335" s="1125"/>
      <c r="J335" s="1134"/>
      <c r="K335" s="1134"/>
      <c r="L335" s="916"/>
    </row>
    <row r="336" spans="1:12" s="103" customFormat="1" ht="15.75" hidden="1" customHeight="1" outlineLevel="1">
      <c r="A336" s="916"/>
      <c r="B336" s="1124"/>
      <c r="C336" s="1128"/>
      <c r="D336" s="1126"/>
      <c r="E336" s="1126"/>
      <c r="F336" s="1132"/>
      <c r="G336" s="100"/>
      <c r="H336" s="824"/>
      <c r="I336" s="1126"/>
      <c r="J336" s="1135"/>
      <c r="K336" s="1135"/>
      <c r="L336" s="916"/>
    </row>
    <row r="337" spans="1:12" s="103" customFormat="1" ht="15.75" hidden="1" customHeight="1" outlineLevel="1">
      <c r="A337" s="916"/>
      <c r="B337" s="1123">
        <v>109</v>
      </c>
      <c r="C337" s="1127"/>
      <c r="D337" s="1125"/>
      <c r="E337" s="1125" t="s">
        <v>18</v>
      </c>
      <c r="F337" s="1130" t="str">
        <f>VLOOKUP(E337,$N$13:$O$17,2,0)</f>
        <v>-</v>
      </c>
      <c r="G337" s="92"/>
      <c r="H337" s="823"/>
      <c r="I337" s="1125"/>
      <c r="J337" s="1133"/>
      <c r="K337" s="1133"/>
      <c r="L337" s="916"/>
    </row>
    <row r="338" spans="1:12" s="103" customFormat="1" ht="15.75" hidden="1" customHeight="1" outlineLevel="1">
      <c r="A338" s="916"/>
      <c r="B338" s="1123"/>
      <c r="C338" s="1127"/>
      <c r="D338" s="1125"/>
      <c r="E338" s="1125"/>
      <c r="F338" s="1130"/>
      <c r="G338" s="95"/>
      <c r="H338" s="823"/>
      <c r="I338" s="1125"/>
      <c r="J338" s="1134"/>
      <c r="K338" s="1134"/>
      <c r="L338" s="916"/>
    </row>
    <row r="339" spans="1:12" s="103" customFormat="1" ht="15.75" hidden="1" customHeight="1" outlineLevel="1">
      <c r="A339" s="916"/>
      <c r="B339" s="1124"/>
      <c r="C339" s="1128"/>
      <c r="D339" s="1126"/>
      <c r="E339" s="1126"/>
      <c r="F339" s="1132"/>
      <c r="G339" s="100"/>
      <c r="H339" s="824"/>
      <c r="I339" s="1126"/>
      <c r="J339" s="1135"/>
      <c r="K339" s="1135"/>
      <c r="L339" s="916"/>
    </row>
    <row r="340" spans="1:12" s="103" customFormat="1" ht="15.75" hidden="1" customHeight="1" outlineLevel="1">
      <c r="A340" s="916"/>
      <c r="B340" s="1123">
        <v>110</v>
      </c>
      <c r="C340" s="1127"/>
      <c r="D340" s="1125"/>
      <c r="E340" s="1125" t="s">
        <v>18</v>
      </c>
      <c r="F340" s="1130" t="str">
        <f>VLOOKUP(E340,$N$13:$O$17,2,0)</f>
        <v>-</v>
      </c>
      <c r="G340" s="92"/>
      <c r="H340" s="823"/>
      <c r="I340" s="1125"/>
      <c r="J340" s="1133"/>
      <c r="K340" s="1133"/>
      <c r="L340" s="916"/>
    </row>
    <row r="341" spans="1:12" s="103" customFormat="1" ht="15.75" hidden="1" customHeight="1" outlineLevel="1">
      <c r="A341" s="916"/>
      <c r="B341" s="1123"/>
      <c r="C341" s="1127"/>
      <c r="D341" s="1125"/>
      <c r="E341" s="1125"/>
      <c r="F341" s="1130"/>
      <c r="G341" s="95"/>
      <c r="H341" s="823"/>
      <c r="I341" s="1125"/>
      <c r="J341" s="1134"/>
      <c r="K341" s="1134"/>
      <c r="L341" s="916"/>
    </row>
    <row r="342" spans="1:12" s="103" customFormat="1" ht="15.75" hidden="1" customHeight="1" outlineLevel="1">
      <c r="A342" s="916"/>
      <c r="B342" s="1124"/>
      <c r="C342" s="1128"/>
      <c r="D342" s="1126"/>
      <c r="E342" s="1126"/>
      <c r="F342" s="1132"/>
      <c r="G342" s="100"/>
      <c r="H342" s="824"/>
      <c r="I342" s="1126"/>
      <c r="J342" s="1135"/>
      <c r="K342" s="1135"/>
      <c r="L342" s="916"/>
    </row>
    <row r="343" spans="1:12" s="103" customFormat="1" ht="15.75" hidden="1" customHeight="1" outlineLevel="1">
      <c r="A343" s="916"/>
      <c r="B343" s="1123">
        <v>111</v>
      </c>
      <c r="C343" s="1127"/>
      <c r="D343" s="1125"/>
      <c r="E343" s="1125" t="s">
        <v>18</v>
      </c>
      <c r="F343" s="1130" t="str">
        <f>VLOOKUP(E343,$N$13:$O$17,2,0)</f>
        <v>-</v>
      </c>
      <c r="G343" s="92"/>
      <c r="H343" s="823"/>
      <c r="I343" s="1125"/>
      <c r="J343" s="1133"/>
      <c r="K343" s="1133"/>
      <c r="L343" s="916"/>
    </row>
    <row r="344" spans="1:12" s="103" customFormat="1" ht="15.75" hidden="1" customHeight="1" outlineLevel="1">
      <c r="A344" s="916"/>
      <c r="B344" s="1123"/>
      <c r="C344" s="1127"/>
      <c r="D344" s="1125"/>
      <c r="E344" s="1125"/>
      <c r="F344" s="1130"/>
      <c r="G344" s="95"/>
      <c r="H344" s="823"/>
      <c r="I344" s="1125"/>
      <c r="J344" s="1134"/>
      <c r="K344" s="1134"/>
      <c r="L344" s="916"/>
    </row>
    <row r="345" spans="1:12" s="103" customFormat="1" ht="15.75" hidden="1" customHeight="1" outlineLevel="1">
      <c r="A345" s="916"/>
      <c r="B345" s="1124"/>
      <c r="C345" s="1128"/>
      <c r="D345" s="1126"/>
      <c r="E345" s="1126"/>
      <c r="F345" s="1132"/>
      <c r="G345" s="100"/>
      <c r="H345" s="824"/>
      <c r="I345" s="1126"/>
      <c r="J345" s="1135"/>
      <c r="K345" s="1135"/>
      <c r="L345" s="916"/>
    </row>
    <row r="346" spans="1:12" s="103" customFormat="1" ht="15.75" hidden="1" customHeight="1" outlineLevel="1">
      <c r="A346" s="916"/>
      <c r="B346" s="1123">
        <v>112</v>
      </c>
      <c r="C346" s="1127"/>
      <c r="D346" s="1125"/>
      <c r="E346" s="1125" t="s">
        <v>18</v>
      </c>
      <c r="F346" s="1130" t="str">
        <f>VLOOKUP(E346,$N$13:$O$17,2,0)</f>
        <v>-</v>
      </c>
      <c r="G346" s="92"/>
      <c r="H346" s="823"/>
      <c r="I346" s="1125"/>
      <c r="J346" s="1133"/>
      <c r="K346" s="1133"/>
      <c r="L346" s="916"/>
    </row>
    <row r="347" spans="1:12" s="103" customFormat="1" ht="15.75" hidden="1" customHeight="1" outlineLevel="1">
      <c r="A347" s="916"/>
      <c r="B347" s="1123"/>
      <c r="C347" s="1127"/>
      <c r="D347" s="1125"/>
      <c r="E347" s="1125"/>
      <c r="F347" s="1130"/>
      <c r="G347" s="95"/>
      <c r="H347" s="823"/>
      <c r="I347" s="1125"/>
      <c r="J347" s="1134"/>
      <c r="K347" s="1134"/>
      <c r="L347" s="916"/>
    </row>
    <row r="348" spans="1:12" s="103" customFormat="1" ht="15.75" hidden="1" customHeight="1" outlineLevel="1">
      <c r="A348" s="916"/>
      <c r="B348" s="1124"/>
      <c r="C348" s="1128"/>
      <c r="D348" s="1126"/>
      <c r="E348" s="1126"/>
      <c r="F348" s="1132"/>
      <c r="G348" s="100"/>
      <c r="H348" s="824"/>
      <c r="I348" s="1126"/>
      <c r="J348" s="1135"/>
      <c r="K348" s="1135"/>
      <c r="L348" s="916"/>
    </row>
    <row r="349" spans="1:12" s="103" customFormat="1" ht="15.75" hidden="1" customHeight="1" outlineLevel="1">
      <c r="A349" s="916"/>
      <c r="B349" s="1123">
        <v>113</v>
      </c>
      <c r="C349" s="1127"/>
      <c r="D349" s="1125"/>
      <c r="E349" s="1125" t="s">
        <v>18</v>
      </c>
      <c r="F349" s="1130" t="str">
        <f>VLOOKUP(E349,$N$13:$O$17,2,0)</f>
        <v>-</v>
      </c>
      <c r="G349" s="92"/>
      <c r="H349" s="823"/>
      <c r="I349" s="1125"/>
      <c r="J349" s="1133"/>
      <c r="K349" s="1133"/>
      <c r="L349" s="916"/>
    </row>
    <row r="350" spans="1:12" s="103" customFormat="1" ht="15.75" hidden="1" customHeight="1" outlineLevel="1">
      <c r="A350" s="916"/>
      <c r="B350" s="1123"/>
      <c r="C350" s="1127"/>
      <c r="D350" s="1125"/>
      <c r="E350" s="1125"/>
      <c r="F350" s="1130"/>
      <c r="G350" s="95"/>
      <c r="H350" s="823"/>
      <c r="I350" s="1125"/>
      <c r="J350" s="1134"/>
      <c r="K350" s="1134"/>
      <c r="L350" s="916"/>
    </row>
    <row r="351" spans="1:12" s="103" customFormat="1" ht="15.75" hidden="1" customHeight="1" outlineLevel="1">
      <c r="A351" s="916"/>
      <c r="B351" s="1124"/>
      <c r="C351" s="1128"/>
      <c r="D351" s="1126"/>
      <c r="E351" s="1126"/>
      <c r="F351" s="1132"/>
      <c r="G351" s="100"/>
      <c r="H351" s="824"/>
      <c r="I351" s="1126"/>
      <c r="J351" s="1135"/>
      <c r="K351" s="1135"/>
      <c r="L351" s="916"/>
    </row>
    <row r="352" spans="1:12" s="103" customFormat="1" ht="15.75" hidden="1" customHeight="1" outlineLevel="1">
      <c r="A352" s="916"/>
      <c r="B352" s="1123">
        <v>114</v>
      </c>
      <c r="C352" s="1127"/>
      <c r="D352" s="1125"/>
      <c r="E352" s="1125" t="s">
        <v>18</v>
      </c>
      <c r="F352" s="1130" t="str">
        <f>VLOOKUP(E352,$N$13:$O$17,2,0)</f>
        <v>-</v>
      </c>
      <c r="G352" s="92"/>
      <c r="H352" s="823"/>
      <c r="I352" s="1125"/>
      <c r="J352" s="1133"/>
      <c r="K352" s="1133"/>
      <c r="L352" s="916"/>
    </row>
    <row r="353" spans="1:12" s="103" customFormat="1" ht="15.75" hidden="1" customHeight="1" outlineLevel="1">
      <c r="A353" s="916"/>
      <c r="B353" s="1123"/>
      <c r="C353" s="1127"/>
      <c r="D353" s="1125"/>
      <c r="E353" s="1125"/>
      <c r="F353" s="1130"/>
      <c r="G353" s="95"/>
      <c r="H353" s="823"/>
      <c r="I353" s="1125"/>
      <c r="J353" s="1134"/>
      <c r="K353" s="1134"/>
      <c r="L353" s="916"/>
    </row>
    <row r="354" spans="1:12" s="103" customFormat="1" ht="15.75" hidden="1" customHeight="1" outlineLevel="1">
      <c r="A354" s="916"/>
      <c r="B354" s="1124"/>
      <c r="C354" s="1128"/>
      <c r="D354" s="1126"/>
      <c r="E354" s="1126"/>
      <c r="F354" s="1132"/>
      <c r="G354" s="100"/>
      <c r="H354" s="824"/>
      <c r="I354" s="1126"/>
      <c r="J354" s="1135"/>
      <c r="K354" s="1135"/>
      <c r="L354" s="916"/>
    </row>
    <row r="355" spans="1:12" s="103" customFormat="1" ht="15.75" hidden="1" customHeight="1" outlineLevel="1">
      <c r="A355" s="916"/>
      <c r="B355" s="1123">
        <v>115</v>
      </c>
      <c r="C355" s="1127"/>
      <c r="D355" s="1125"/>
      <c r="E355" s="1125" t="s">
        <v>18</v>
      </c>
      <c r="F355" s="1130" t="str">
        <f>VLOOKUP(E355,$N$13:$O$17,2,0)</f>
        <v>-</v>
      </c>
      <c r="G355" s="92"/>
      <c r="H355" s="823"/>
      <c r="I355" s="1125"/>
      <c r="J355" s="1133"/>
      <c r="K355" s="1133"/>
      <c r="L355" s="916"/>
    </row>
    <row r="356" spans="1:12" s="103" customFormat="1" ht="15.75" hidden="1" customHeight="1" outlineLevel="1">
      <c r="A356" s="916"/>
      <c r="B356" s="1123"/>
      <c r="C356" s="1127"/>
      <c r="D356" s="1125"/>
      <c r="E356" s="1125"/>
      <c r="F356" s="1130"/>
      <c r="G356" s="95"/>
      <c r="H356" s="823"/>
      <c r="I356" s="1125"/>
      <c r="J356" s="1134"/>
      <c r="K356" s="1134"/>
      <c r="L356" s="916"/>
    </row>
    <row r="357" spans="1:12" s="103" customFormat="1" ht="15.75" hidden="1" customHeight="1" outlineLevel="1">
      <c r="A357" s="916"/>
      <c r="B357" s="1124"/>
      <c r="C357" s="1128"/>
      <c r="D357" s="1126"/>
      <c r="E357" s="1126"/>
      <c r="F357" s="1132"/>
      <c r="G357" s="100"/>
      <c r="H357" s="824"/>
      <c r="I357" s="1126"/>
      <c r="J357" s="1135"/>
      <c r="K357" s="1135"/>
      <c r="L357" s="916"/>
    </row>
    <row r="358" spans="1:12" s="103" customFormat="1" ht="15.75" hidden="1" customHeight="1" outlineLevel="1">
      <c r="A358" s="916"/>
      <c r="B358" s="1123">
        <v>116</v>
      </c>
      <c r="C358" s="1127"/>
      <c r="D358" s="1125"/>
      <c r="E358" s="1125" t="s">
        <v>18</v>
      </c>
      <c r="F358" s="1130" t="str">
        <f>VLOOKUP(E358,$N$13:$O$17,2,0)</f>
        <v>-</v>
      </c>
      <c r="G358" s="92"/>
      <c r="H358" s="823"/>
      <c r="I358" s="1125"/>
      <c r="J358" s="1133"/>
      <c r="K358" s="1133"/>
      <c r="L358" s="916"/>
    </row>
    <row r="359" spans="1:12" s="103" customFormat="1" ht="15.75" hidden="1" customHeight="1" outlineLevel="1">
      <c r="A359" s="916"/>
      <c r="B359" s="1123"/>
      <c r="C359" s="1127"/>
      <c r="D359" s="1125"/>
      <c r="E359" s="1125"/>
      <c r="F359" s="1130"/>
      <c r="G359" s="95"/>
      <c r="H359" s="823"/>
      <c r="I359" s="1125"/>
      <c r="J359" s="1134"/>
      <c r="K359" s="1134"/>
      <c r="L359" s="916"/>
    </row>
    <row r="360" spans="1:12" s="103" customFormat="1" ht="15.75" hidden="1" customHeight="1" outlineLevel="1">
      <c r="A360" s="916"/>
      <c r="B360" s="1124"/>
      <c r="C360" s="1128"/>
      <c r="D360" s="1126"/>
      <c r="E360" s="1126"/>
      <c r="F360" s="1132"/>
      <c r="G360" s="100"/>
      <c r="H360" s="824"/>
      <c r="I360" s="1126"/>
      <c r="J360" s="1135"/>
      <c r="K360" s="1135"/>
      <c r="L360" s="916"/>
    </row>
    <row r="361" spans="1:12" s="103" customFormat="1" ht="15.75" hidden="1" customHeight="1" outlineLevel="1">
      <c r="A361" s="916"/>
      <c r="B361" s="1123">
        <v>117</v>
      </c>
      <c r="C361" s="1127"/>
      <c r="D361" s="1125"/>
      <c r="E361" s="1125" t="s">
        <v>18</v>
      </c>
      <c r="F361" s="1130" t="str">
        <f>VLOOKUP(E361,$N$13:$O$17,2,0)</f>
        <v>-</v>
      </c>
      <c r="G361" s="92"/>
      <c r="H361" s="823"/>
      <c r="I361" s="1125"/>
      <c r="J361" s="1133"/>
      <c r="K361" s="1133"/>
      <c r="L361" s="916"/>
    </row>
    <row r="362" spans="1:12" s="103" customFormat="1" ht="15.75" hidden="1" customHeight="1" outlineLevel="1">
      <c r="A362" s="916"/>
      <c r="B362" s="1123"/>
      <c r="C362" s="1127"/>
      <c r="D362" s="1125"/>
      <c r="E362" s="1125"/>
      <c r="F362" s="1130"/>
      <c r="G362" s="95"/>
      <c r="H362" s="823"/>
      <c r="I362" s="1125"/>
      <c r="J362" s="1134"/>
      <c r="K362" s="1134"/>
      <c r="L362" s="916"/>
    </row>
    <row r="363" spans="1:12" s="103" customFormat="1" ht="15.75" hidden="1" customHeight="1" outlineLevel="1">
      <c r="A363" s="916"/>
      <c r="B363" s="1124"/>
      <c r="C363" s="1128"/>
      <c r="D363" s="1126"/>
      <c r="E363" s="1126"/>
      <c r="F363" s="1132"/>
      <c r="G363" s="100"/>
      <c r="H363" s="824"/>
      <c r="I363" s="1126"/>
      <c r="J363" s="1135"/>
      <c r="K363" s="1135"/>
      <c r="L363" s="916"/>
    </row>
    <row r="364" spans="1:12" s="103" customFormat="1" ht="15.75" hidden="1" customHeight="1" outlineLevel="1">
      <c r="A364" s="916"/>
      <c r="B364" s="1123">
        <v>118</v>
      </c>
      <c r="C364" s="1127"/>
      <c r="D364" s="1125"/>
      <c r="E364" s="1125" t="s">
        <v>18</v>
      </c>
      <c r="F364" s="1130" t="str">
        <f>VLOOKUP(E364,$N$13:$O$17,2,0)</f>
        <v>-</v>
      </c>
      <c r="G364" s="92"/>
      <c r="H364" s="823"/>
      <c r="I364" s="1125"/>
      <c r="J364" s="1133"/>
      <c r="K364" s="1133"/>
      <c r="L364" s="916"/>
    </row>
    <row r="365" spans="1:12" s="103" customFormat="1" ht="15.75" hidden="1" customHeight="1" outlineLevel="1">
      <c r="A365" s="916"/>
      <c r="B365" s="1123"/>
      <c r="C365" s="1127"/>
      <c r="D365" s="1125"/>
      <c r="E365" s="1125"/>
      <c r="F365" s="1130"/>
      <c r="G365" s="95"/>
      <c r="H365" s="823"/>
      <c r="I365" s="1125"/>
      <c r="J365" s="1134"/>
      <c r="K365" s="1134"/>
      <c r="L365" s="916"/>
    </row>
    <row r="366" spans="1:12" s="103" customFormat="1" ht="15.75" hidden="1" customHeight="1" outlineLevel="1">
      <c r="A366" s="916"/>
      <c r="B366" s="1124"/>
      <c r="C366" s="1128"/>
      <c r="D366" s="1126"/>
      <c r="E366" s="1126"/>
      <c r="F366" s="1132"/>
      <c r="G366" s="100"/>
      <c r="H366" s="824"/>
      <c r="I366" s="1126"/>
      <c r="J366" s="1135"/>
      <c r="K366" s="1135"/>
      <c r="L366" s="916"/>
    </row>
    <row r="367" spans="1:12" s="103" customFormat="1" ht="15.75" hidden="1" customHeight="1" outlineLevel="1">
      <c r="A367" s="916"/>
      <c r="B367" s="1123">
        <v>119</v>
      </c>
      <c r="C367" s="1127"/>
      <c r="D367" s="1125"/>
      <c r="E367" s="1125" t="s">
        <v>18</v>
      </c>
      <c r="F367" s="1130" t="str">
        <f>VLOOKUP(E367,$N$13:$O$17,2,0)</f>
        <v>-</v>
      </c>
      <c r="G367" s="92"/>
      <c r="H367" s="823"/>
      <c r="I367" s="1125"/>
      <c r="J367" s="1133"/>
      <c r="K367" s="1133"/>
      <c r="L367" s="916"/>
    </row>
    <row r="368" spans="1:12" s="103" customFormat="1" ht="15.75" hidden="1" customHeight="1" outlineLevel="1">
      <c r="A368" s="916"/>
      <c r="B368" s="1123"/>
      <c r="C368" s="1127"/>
      <c r="D368" s="1125"/>
      <c r="E368" s="1125"/>
      <c r="F368" s="1130"/>
      <c r="G368" s="95"/>
      <c r="H368" s="823"/>
      <c r="I368" s="1125"/>
      <c r="J368" s="1134"/>
      <c r="K368" s="1134"/>
      <c r="L368" s="916"/>
    </row>
    <row r="369" spans="1:12" s="103" customFormat="1" ht="15.75" hidden="1" customHeight="1" outlineLevel="1">
      <c r="A369" s="916"/>
      <c r="B369" s="1124"/>
      <c r="C369" s="1128"/>
      <c r="D369" s="1126"/>
      <c r="E369" s="1126"/>
      <c r="F369" s="1132"/>
      <c r="G369" s="100"/>
      <c r="H369" s="824"/>
      <c r="I369" s="1126"/>
      <c r="J369" s="1135"/>
      <c r="K369" s="1135"/>
      <c r="L369" s="916"/>
    </row>
    <row r="370" spans="1:12" s="103" customFormat="1" ht="15.75" hidden="1" customHeight="1" outlineLevel="1">
      <c r="A370" s="916"/>
      <c r="B370" s="1123">
        <v>120</v>
      </c>
      <c r="C370" s="1127"/>
      <c r="D370" s="1125"/>
      <c r="E370" s="1125" t="s">
        <v>18</v>
      </c>
      <c r="F370" s="1130" t="str">
        <f>VLOOKUP(E370,$N$13:$O$17,2,0)</f>
        <v>-</v>
      </c>
      <c r="G370" s="92"/>
      <c r="H370" s="823"/>
      <c r="I370" s="1125"/>
      <c r="J370" s="1133"/>
      <c r="K370" s="1133"/>
      <c r="L370" s="916"/>
    </row>
    <row r="371" spans="1:12" s="103" customFormat="1" ht="15.75" hidden="1" customHeight="1" outlineLevel="1">
      <c r="A371" s="916"/>
      <c r="B371" s="1123"/>
      <c r="C371" s="1127"/>
      <c r="D371" s="1125"/>
      <c r="E371" s="1125"/>
      <c r="F371" s="1130"/>
      <c r="G371" s="95"/>
      <c r="H371" s="823"/>
      <c r="I371" s="1125"/>
      <c r="J371" s="1134"/>
      <c r="K371" s="1134"/>
      <c r="L371" s="916"/>
    </row>
    <row r="372" spans="1:12" s="103" customFormat="1" ht="15.75" hidden="1" customHeight="1" outlineLevel="1">
      <c r="A372" s="916"/>
      <c r="B372" s="1124"/>
      <c r="C372" s="1128"/>
      <c r="D372" s="1126"/>
      <c r="E372" s="1126"/>
      <c r="F372" s="1132"/>
      <c r="G372" s="100"/>
      <c r="H372" s="824"/>
      <c r="I372" s="1126"/>
      <c r="J372" s="1135"/>
      <c r="K372" s="1135"/>
      <c r="L372" s="916"/>
    </row>
    <row r="373" spans="1:12" s="103" customFormat="1" ht="15.75" hidden="1" customHeight="1" outlineLevel="1">
      <c r="A373" s="916"/>
      <c r="B373" s="1123">
        <v>121</v>
      </c>
      <c r="C373" s="1127"/>
      <c r="D373" s="1125"/>
      <c r="E373" s="1125" t="s">
        <v>18</v>
      </c>
      <c r="F373" s="1130" t="str">
        <f>VLOOKUP(E373,$N$13:$O$17,2,0)</f>
        <v>-</v>
      </c>
      <c r="G373" s="92"/>
      <c r="H373" s="823"/>
      <c r="I373" s="1125"/>
      <c r="J373" s="1133"/>
      <c r="K373" s="1133"/>
      <c r="L373" s="916"/>
    </row>
    <row r="374" spans="1:12" s="103" customFormat="1" ht="15.75" hidden="1" customHeight="1" outlineLevel="1">
      <c r="A374" s="916"/>
      <c r="B374" s="1123"/>
      <c r="C374" s="1127"/>
      <c r="D374" s="1125"/>
      <c r="E374" s="1125"/>
      <c r="F374" s="1130"/>
      <c r="G374" s="95"/>
      <c r="H374" s="823"/>
      <c r="I374" s="1125"/>
      <c r="J374" s="1134"/>
      <c r="K374" s="1134"/>
      <c r="L374" s="916"/>
    </row>
    <row r="375" spans="1:12" s="103" customFormat="1" ht="15.75" hidden="1" customHeight="1" outlineLevel="1">
      <c r="A375" s="916"/>
      <c r="B375" s="1124"/>
      <c r="C375" s="1128"/>
      <c r="D375" s="1126"/>
      <c r="E375" s="1126"/>
      <c r="F375" s="1132"/>
      <c r="G375" s="100"/>
      <c r="H375" s="824"/>
      <c r="I375" s="1126"/>
      <c r="J375" s="1135"/>
      <c r="K375" s="1135"/>
      <c r="L375" s="916"/>
    </row>
    <row r="376" spans="1:12" s="103" customFormat="1" ht="15.75" hidden="1" customHeight="1" outlineLevel="1">
      <c r="A376" s="916"/>
      <c r="B376" s="1123">
        <v>122</v>
      </c>
      <c r="C376" s="1127"/>
      <c r="D376" s="1125"/>
      <c r="E376" s="1125" t="s">
        <v>18</v>
      </c>
      <c r="F376" s="1130" t="str">
        <f>VLOOKUP(E376,$N$13:$O$17,2,0)</f>
        <v>-</v>
      </c>
      <c r="G376" s="92"/>
      <c r="H376" s="823"/>
      <c r="I376" s="1125"/>
      <c r="J376" s="1133"/>
      <c r="K376" s="1133"/>
      <c r="L376" s="916"/>
    </row>
    <row r="377" spans="1:12" s="103" customFormat="1" ht="15.75" hidden="1" customHeight="1" outlineLevel="1">
      <c r="A377" s="916"/>
      <c r="B377" s="1123"/>
      <c r="C377" s="1127"/>
      <c r="D377" s="1125"/>
      <c r="E377" s="1125"/>
      <c r="F377" s="1130"/>
      <c r="G377" s="95"/>
      <c r="H377" s="823"/>
      <c r="I377" s="1125"/>
      <c r="J377" s="1134"/>
      <c r="K377" s="1134"/>
      <c r="L377" s="916"/>
    </row>
    <row r="378" spans="1:12" s="103" customFormat="1" ht="15.75" hidden="1" customHeight="1" outlineLevel="1">
      <c r="A378" s="916"/>
      <c r="B378" s="1124"/>
      <c r="C378" s="1128"/>
      <c r="D378" s="1126"/>
      <c r="E378" s="1126"/>
      <c r="F378" s="1132"/>
      <c r="G378" s="100"/>
      <c r="H378" s="824"/>
      <c r="I378" s="1126"/>
      <c r="J378" s="1135"/>
      <c r="K378" s="1135"/>
      <c r="L378" s="916"/>
    </row>
    <row r="379" spans="1:12" s="103" customFormat="1" ht="15.75" hidden="1" customHeight="1" outlineLevel="1">
      <c r="A379" s="916"/>
      <c r="B379" s="1123">
        <v>123</v>
      </c>
      <c r="C379" s="1127"/>
      <c r="D379" s="1125"/>
      <c r="E379" s="1125" t="s">
        <v>18</v>
      </c>
      <c r="F379" s="1130" t="str">
        <f>VLOOKUP(E379,$N$13:$O$17,2,0)</f>
        <v>-</v>
      </c>
      <c r="G379" s="92"/>
      <c r="H379" s="823"/>
      <c r="I379" s="1125"/>
      <c r="J379" s="1133"/>
      <c r="K379" s="1133"/>
      <c r="L379" s="916"/>
    </row>
    <row r="380" spans="1:12" s="103" customFormat="1" ht="15.75" hidden="1" customHeight="1" outlineLevel="1">
      <c r="A380" s="916"/>
      <c r="B380" s="1123"/>
      <c r="C380" s="1127"/>
      <c r="D380" s="1125"/>
      <c r="E380" s="1125"/>
      <c r="F380" s="1130"/>
      <c r="G380" s="95"/>
      <c r="H380" s="823"/>
      <c r="I380" s="1125"/>
      <c r="J380" s="1134"/>
      <c r="K380" s="1134"/>
      <c r="L380" s="916"/>
    </row>
    <row r="381" spans="1:12" s="103" customFormat="1" ht="15.75" hidden="1" customHeight="1" outlineLevel="1">
      <c r="A381" s="916"/>
      <c r="B381" s="1124"/>
      <c r="C381" s="1128"/>
      <c r="D381" s="1126"/>
      <c r="E381" s="1126"/>
      <c r="F381" s="1132"/>
      <c r="G381" s="100"/>
      <c r="H381" s="824"/>
      <c r="I381" s="1126"/>
      <c r="J381" s="1135"/>
      <c r="K381" s="1135"/>
      <c r="L381" s="916"/>
    </row>
    <row r="382" spans="1:12" s="103" customFormat="1" ht="15.75" hidden="1" customHeight="1" outlineLevel="1">
      <c r="A382" s="916"/>
      <c r="B382" s="1123">
        <v>124</v>
      </c>
      <c r="C382" s="1127"/>
      <c r="D382" s="1125"/>
      <c r="E382" s="1125" t="s">
        <v>18</v>
      </c>
      <c r="F382" s="1130" t="str">
        <f>VLOOKUP(E382,$N$13:$O$17,2,0)</f>
        <v>-</v>
      </c>
      <c r="G382" s="92"/>
      <c r="H382" s="823"/>
      <c r="I382" s="1125"/>
      <c r="J382" s="1133"/>
      <c r="K382" s="1133"/>
      <c r="L382" s="916"/>
    </row>
    <row r="383" spans="1:12" s="103" customFormat="1" ht="15.75" hidden="1" customHeight="1" outlineLevel="1">
      <c r="A383" s="916"/>
      <c r="B383" s="1123"/>
      <c r="C383" s="1127"/>
      <c r="D383" s="1125"/>
      <c r="E383" s="1125"/>
      <c r="F383" s="1130"/>
      <c r="G383" s="95"/>
      <c r="H383" s="823"/>
      <c r="I383" s="1125"/>
      <c r="J383" s="1134"/>
      <c r="K383" s="1134"/>
      <c r="L383" s="916"/>
    </row>
    <row r="384" spans="1:12" s="103" customFormat="1" ht="15.75" hidden="1" customHeight="1" outlineLevel="1">
      <c r="A384" s="916"/>
      <c r="B384" s="1124"/>
      <c r="C384" s="1128"/>
      <c r="D384" s="1126"/>
      <c r="E384" s="1126"/>
      <c r="F384" s="1132"/>
      <c r="G384" s="100"/>
      <c r="H384" s="824"/>
      <c r="I384" s="1126"/>
      <c r="J384" s="1135"/>
      <c r="K384" s="1135"/>
      <c r="L384" s="916"/>
    </row>
    <row r="385" spans="1:12" s="103" customFormat="1" ht="15.75" hidden="1" customHeight="1" outlineLevel="1">
      <c r="A385" s="916"/>
      <c r="B385" s="1123">
        <v>125</v>
      </c>
      <c r="C385" s="1127"/>
      <c r="D385" s="1125"/>
      <c r="E385" s="1125" t="s">
        <v>18</v>
      </c>
      <c r="F385" s="1130" t="str">
        <f>VLOOKUP(E385,$N$13:$O$17,2,0)</f>
        <v>-</v>
      </c>
      <c r="G385" s="92"/>
      <c r="H385" s="823"/>
      <c r="I385" s="1125"/>
      <c r="J385" s="1133"/>
      <c r="K385" s="1133"/>
      <c r="L385" s="916"/>
    </row>
    <row r="386" spans="1:12" s="103" customFormat="1" ht="15.75" hidden="1" customHeight="1" outlineLevel="1">
      <c r="A386" s="916"/>
      <c r="B386" s="1123"/>
      <c r="C386" s="1127"/>
      <c r="D386" s="1125"/>
      <c r="E386" s="1125"/>
      <c r="F386" s="1130"/>
      <c r="G386" s="95"/>
      <c r="H386" s="823"/>
      <c r="I386" s="1125"/>
      <c r="J386" s="1134"/>
      <c r="K386" s="1134"/>
      <c r="L386" s="916"/>
    </row>
    <row r="387" spans="1:12" s="103" customFormat="1" ht="15.75" hidden="1" customHeight="1" outlineLevel="1">
      <c r="A387" s="916"/>
      <c r="B387" s="1124"/>
      <c r="C387" s="1128"/>
      <c r="D387" s="1126"/>
      <c r="E387" s="1126"/>
      <c r="F387" s="1132"/>
      <c r="G387" s="100"/>
      <c r="H387" s="824"/>
      <c r="I387" s="1126"/>
      <c r="J387" s="1135"/>
      <c r="K387" s="1135"/>
      <c r="L387" s="916"/>
    </row>
    <row r="388" spans="1:12" s="103" customFormat="1" ht="15.75" hidden="1" customHeight="1" outlineLevel="1">
      <c r="A388" s="916"/>
      <c r="B388" s="1123">
        <v>126</v>
      </c>
      <c r="C388" s="1127"/>
      <c r="D388" s="1125"/>
      <c r="E388" s="1125" t="s">
        <v>18</v>
      </c>
      <c r="F388" s="1130" t="str">
        <f>VLOOKUP(E388,$N$13:$O$17,2,0)</f>
        <v>-</v>
      </c>
      <c r="G388" s="92"/>
      <c r="H388" s="823"/>
      <c r="I388" s="1125"/>
      <c r="J388" s="1133"/>
      <c r="K388" s="1133"/>
      <c r="L388" s="916"/>
    </row>
    <row r="389" spans="1:12" s="103" customFormat="1" ht="15.75" hidden="1" customHeight="1" outlineLevel="1">
      <c r="A389" s="916"/>
      <c r="B389" s="1123"/>
      <c r="C389" s="1127"/>
      <c r="D389" s="1125"/>
      <c r="E389" s="1125"/>
      <c r="F389" s="1130"/>
      <c r="G389" s="95"/>
      <c r="H389" s="823"/>
      <c r="I389" s="1125"/>
      <c r="J389" s="1134"/>
      <c r="K389" s="1134"/>
      <c r="L389" s="916"/>
    </row>
    <row r="390" spans="1:12" s="103" customFormat="1" ht="15.75" hidden="1" customHeight="1" outlineLevel="1">
      <c r="A390" s="916"/>
      <c r="B390" s="1124"/>
      <c r="C390" s="1128"/>
      <c r="D390" s="1126"/>
      <c r="E390" s="1126"/>
      <c r="F390" s="1132"/>
      <c r="G390" s="100"/>
      <c r="H390" s="824"/>
      <c r="I390" s="1126"/>
      <c r="J390" s="1135"/>
      <c r="K390" s="1135"/>
      <c r="L390" s="916"/>
    </row>
    <row r="391" spans="1:12" s="103" customFormat="1" ht="15.75" hidden="1" customHeight="1" outlineLevel="1">
      <c r="A391" s="916"/>
      <c r="B391" s="1123">
        <v>127</v>
      </c>
      <c r="C391" s="1127"/>
      <c r="D391" s="1125"/>
      <c r="E391" s="1125" t="s">
        <v>18</v>
      </c>
      <c r="F391" s="1130" t="str">
        <f>VLOOKUP(E391,$N$13:$O$17,2,0)</f>
        <v>-</v>
      </c>
      <c r="G391" s="92"/>
      <c r="H391" s="823"/>
      <c r="I391" s="1125"/>
      <c r="J391" s="1133"/>
      <c r="K391" s="1133"/>
      <c r="L391" s="916"/>
    </row>
    <row r="392" spans="1:12" s="103" customFormat="1" ht="15.75" hidden="1" customHeight="1" outlineLevel="1">
      <c r="A392" s="916"/>
      <c r="B392" s="1123"/>
      <c r="C392" s="1127"/>
      <c r="D392" s="1125"/>
      <c r="E392" s="1125"/>
      <c r="F392" s="1130"/>
      <c r="G392" s="95"/>
      <c r="H392" s="823"/>
      <c r="I392" s="1125"/>
      <c r="J392" s="1134"/>
      <c r="K392" s="1134"/>
      <c r="L392" s="916"/>
    </row>
    <row r="393" spans="1:12" s="103" customFormat="1" ht="15.75" hidden="1" customHeight="1" outlineLevel="1">
      <c r="A393" s="916"/>
      <c r="B393" s="1124"/>
      <c r="C393" s="1128"/>
      <c r="D393" s="1126"/>
      <c r="E393" s="1126"/>
      <c r="F393" s="1132"/>
      <c r="G393" s="100"/>
      <c r="H393" s="824"/>
      <c r="I393" s="1126"/>
      <c r="J393" s="1135"/>
      <c r="K393" s="1135"/>
      <c r="L393" s="916"/>
    </row>
    <row r="394" spans="1:12" s="103" customFormat="1" ht="15.75" hidden="1" customHeight="1" outlineLevel="1">
      <c r="A394" s="916"/>
      <c r="B394" s="1123">
        <v>128</v>
      </c>
      <c r="C394" s="1127"/>
      <c r="D394" s="1125"/>
      <c r="E394" s="1125" t="s">
        <v>18</v>
      </c>
      <c r="F394" s="1130" t="str">
        <f>VLOOKUP(E394,$N$13:$O$17,2,0)</f>
        <v>-</v>
      </c>
      <c r="G394" s="92"/>
      <c r="H394" s="823"/>
      <c r="I394" s="1125"/>
      <c r="J394" s="1133"/>
      <c r="K394" s="1133"/>
      <c r="L394" s="916"/>
    </row>
    <row r="395" spans="1:12" s="103" customFormat="1" ht="15.75" hidden="1" customHeight="1" outlineLevel="1">
      <c r="A395" s="916"/>
      <c r="B395" s="1123"/>
      <c r="C395" s="1127"/>
      <c r="D395" s="1125"/>
      <c r="E395" s="1125"/>
      <c r="F395" s="1130"/>
      <c r="G395" s="95"/>
      <c r="H395" s="823"/>
      <c r="I395" s="1125"/>
      <c r="J395" s="1134"/>
      <c r="K395" s="1134"/>
      <c r="L395" s="916"/>
    </row>
    <row r="396" spans="1:12" s="103" customFormat="1" ht="15.75" hidden="1" customHeight="1" outlineLevel="1">
      <c r="A396" s="916"/>
      <c r="B396" s="1124"/>
      <c r="C396" s="1128"/>
      <c r="D396" s="1126"/>
      <c r="E396" s="1126"/>
      <c r="F396" s="1132"/>
      <c r="G396" s="100"/>
      <c r="H396" s="824"/>
      <c r="I396" s="1126"/>
      <c r="J396" s="1135"/>
      <c r="K396" s="1135"/>
      <c r="L396" s="916"/>
    </row>
    <row r="397" spans="1:12" s="103" customFormat="1" ht="15.75" hidden="1" customHeight="1" outlineLevel="1">
      <c r="A397" s="916"/>
      <c r="B397" s="1123">
        <v>129</v>
      </c>
      <c r="C397" s="1127"/>
      <c r="D397" s="1125"/>
      <c r="E397" s="1125" t="s">
        <v>18</v>
      </c>
      <c r="F397" s="1130" t="str">
        <f>VLOOKUP(E397,$N$13:$O$17,2,0)</f>
        <v>-</v>
      </c>
      <c r="G397" s="92"/>
      <c r="H397" s="823"/>
      <c r="I397" s="1125"/>
      <c r="J397" s="1133"/>
      <c r="K397" s="1133"/>
      <c r="L397" s="916"/>
    </row>
    <row r="398" spans="1:12" s="103" customFormat="1" ht="15.75" hidden="1" customHeight="1" outlineLevel="1">
      <c r="A398" s="916"/>
      <c r="B398" s="1123"/>
      <c r="C398" s="1127"/>
      <c r="D398" s="1125"/>
      <c r="E398" s="1125"/>
      <c r="F398" s="1130"/>
      <c r="G398" s="95"/>
      <c r="H398" s="823"/>
      <c r="I398" s="1125"/>
      <c r="J398" s="1134"/>
      <c r="K398" s="1134"/>
      <c r="L398" s="916"/>
    </row>
    <row r="399" spans="1:12" s="103" customFormat="1" ht="15.75" hidden="1" customHeight="1" outlineLevel="1">
      <c r="A399" s="916"/>
      <c r="B399" s="1124"/>
      <c r="C399" s="1128"/>
      <c r="D399" s="1126"/>
      <c r="E399" s="1126"/>
      <c r="F399" s="1132"/>
      <c r="G399" s="100"/>
      <c r="H399" s="824"/>
      <c r="I399" s="1126"/>
      <c r="J399" s="1135"/>
      <c r="K399" s="1135"/>
      <c r="L399" s="916"/>
    </row>
    <row r="400" spans="1:12" s="103" customFormat="1" ht="15.75" hidden="1" customHeight="1" outlineLevel="1">
      <c r="A400" s="916"/>
      <c r="B400" s="1123">
        <v>130</v>
      </c>
      <c r="C400" s="1127"/>
      <c r="D400" s="1125"/>
      <c r="E400" s="1125" t="s">
        <v>18</v>
      </c>
      <c r="F400" s="1130" t="str">
        <f>VLOOKUP(E400,$N$13:$O$17,2,0)</f>
        <v>-</v>
      </c>
      <c r="G400" s="92"/>
      <c r="H400" s="823"/>
      <c r="I400" s="1125"/>
      <c r="J400" s="1133"/>
      <c r="K400" s="1133"/>
      <c r="L400" s="916"/>
    </row>
    <row r="401" spans="1:12" s="103" customFormat="1" ht="15.75" hidden="1" customHeight="1" outlineLevel="1">
      <c r="A401" s="916"/>
      <c r="B401" s="1123"/>
      <c r="C401" s="1127"/>
      <c r="D401" s="1125"/>
      <c r="E401" s="1125"/>
      <c r="F401" s="1130"/>
      <c r="G401" s="95"/>
      <c r="H401" s="823"/>
      <c r="I401" s="1125"/>
      <c r="J401" s="1134"/>
      <c r="K401" s="1134"/>
      <c r="L401" s="916"/>
    </row>
    <row r="402" spans="1:12" s="103" customFormat="1" ht="15.75" hidden="1" customHeight="1" outlineLevel="1">
      <c r="A402" s="916"/>
      <c r="B402" s="1124"/>
      <c r="C402" s="1128"/>
      <c r="D402" s="1126"/>
      <c r="E402" s="1126"/>
      <c r="F402" s="1132"/>
      <c r="G402" s="100"/>
      <c r="H402" s="824"/>
      <c r="I402" s="1126"/>
      <c r="J402" s="1135"/>
      <c r="K402" s="1135"/>
      <c r="L402" s="916"/>
    </row>
    <row r="403" spans="1:12" s="103" customFormat="1" ht="15.75" hidden="1" customHeight="1" outlineLevel="1">
      <c r="A403" s="916"/>
      <c r="B403" s="1123">
        <v>131</v>
      </c>
      <c r="C403" s="1127"/>
      <c r="D403" s="1125"/>
      <c r="E403" s="1125" t="s">
        <v>18</v>
      </c>
      <c r="F403" s="1130" t="str">
        <f>VLOOKUP(E403,$N$13:$O$17,2,0)</f>
        <v>-</v>
      </c>
      <c r="G403" s="92"/>
      <c r="H403" s="823"/>
      <c r="I403" s="1125"/>
      <c r="J403" s="1133"/>
      <c r="K403" s="1133"/>
      <c r="L403" s="916"/>
    </row>
    <row r="404" spans="1:12" s="103" customFormat="1" ht="15.75" hidden="1" customHeight="1" outlineLevel="1">
      <c r="A404" s="916"/>
      <c r="B404" s="1123"/>
      <c r="C404" s="1127"/>
      <c r="D404" s="1125"/>
      <c r="E404" s="1125"/>
      <c r="F404" s="1130"/>
      <c r="G404" s="95"/>
      <c r="H404" s="823"/>
      <c r="I404" s="1125"/>
      <c r="J404" s="1134"/>
      <c r="K404" s="1134"/>
      <c r="L404" s="916"/>
    </row>
    <row r="405" spans="1:12" s="103" customFormat="1" ht="15.75" hidden="1" customHeight="1" outlineLevel="1">
      <c r="A405" s="916"/>
      <c r="B405" s="1124"/>
      <c r="C405" s="1128"/>
      <c r="D405" s="1126"/>
      <c r="E405" s="1126"/>
      <c r="F405" s="1132"/>
      <c r="G405" s="100"/>
      <c r="H405" s="824"/>
      <c r="I405" s="1126"/>
      <c r="J405" s="1135"/>
      <c r="K405" s="1135"/>
      <c r="L405" s="916"/>
    </row>
    <row r="406" spans="1:12" s="103" customFormat="1" ht="15.75" hidden="1" customHeight="1" outlineLevel="1">
      <c r="A406" s="916"/>
      <c r="B406" s="1123">
        <v>132</v>
      </c>
      <c r="C406" s="1127"/>
      <c r="D406" s="1125"/>
      <c r="E406" s="1125" t="s">
        <v>18</v>
      </c>
      <c r="F406" s="1130" t="str">
        <f>VLOOKUP(E406,$N$13:$O$17,2,0)</f>
        <v>-</v>
      </c>
      <c r="G406" s="92"/>
      <c r="H406" s="823"/>
      <c r="I406" s="1125"/>
      <c r="J406" s="1133"/>
      <c r="K406" s="1133"/>
      <c r="L406" s="916"/>
    </row>
    <row r="407" spans="1:12" s="103" customFormat="1" ht="15.75" hidden="1" customHeight="1" outlineLevel="1">
      <c r="A407" s="916"/>
      <c r="B407" s="1123"/>
      <c r="C407" s="1127"/>
      <c r="D407" s="1125"/>
      <c r="E407" s="1125"/>
      <c r="F407" s="1130"/>
      <c r="G407" s="95"/>
      <c r="H407" s="823"/>
      <c r="I407" s="1125"/>
      <c r="J407" s="1134"/>
      <c r="K407" s="1134"/>
      <c r="L407" s="916"/>
    </row>
    <row r="408" spans="1:12" s="103" customFormat="1" ht="15.75" hidden="1" customHeight="1" outlineLevel="1">
      <c r="A408" s="916"/>
      <c r="B408" s="1124"/>
      <c r="C408" s="1128"/>
      <c r="D408" s="1126"/>
      <c r="E408" s="1126"/>
      <c r="F408" s="1132"/>
      <c r="G408" s="100"/>
      <c r="H408" s="824"/>
      <c r="I408" s="1126"/>
      <c r="J408" s="1135"/>
      <c r="K408" s="1135"/>
      <c r="L408" s="916"/>
    </row>
    <row r="409" spans="1:12" s="103" customFormat="1" ht="15.75" hidden="1" customHeight="1" outlineLevel="1">
      <c r="A409" s="916"/>
      <c r="B409" s="1123">
        <v>133</v>
      </c>
      <c r="C409" s="1127"/>
      <c r="D409" s="1125"/>
      <c r="E409" s="1125" t="s">
        <v>18</v>
      </c>
      <c r="F409" s="1130" t="str">
        <f>VLOOKUP(E409,$N$13:$O$17,2,0)</f>
        <v>-</v>
      </c>
      <c r="G409" s="92"/>
      <c r="H409" s="823"/>
      <c r="I409" s="1125"/>
      <c r="J409" s="1133"/>
      <c r="K409" s="1133"/>
      <c r="L409" s="916"/>
    </row>
    <row r="410" spans="1:12" s="103" customFormat="1" ht="15.75" hidden="1" customHeight="1" outlineLevel="1">
      <c r="A410" s="916"/>
      <c r="B410" s="1123"/>
      <c r="C410" s="1127"/>
      <c r="D410" s="1125"/>
      <c r="E410" s="1125"/>
      <c r="F410" s="1130"/>
      <c r="G410" s="95"/>
      <c r="H410" s="823"/>
      <c r="I410" s="1125"/>
      <c r="J410" s="1134"/>
      <c r="K410" s="1134"/>
      <c r="L410" s="916"/>
    </row>
    <row r="411" spans="1:12" s="103" customFormat="1" ht="15.75" hidden="1" customHeight="1" outlineLevel="1">
      <c r="A411" s="916"/>
      <c r="B411" s="1124"/>
      <c r="C411" s="1128"/>
      <c r="D411" s="1126"/>
      <c r="E411" s="1126"/>
      <c r="F411" s="1132"/>
      <c r="G411" s="100"/>
      <c r="H411" s="824"/>
      <c r="I411" s="1126"/>
      <c r="J411" s="1135"/>
      <c r="K411" s="1135"/>
      <c r="L411" s="916"/>
    </row>
    <row r="412" spans="1:12" s="103" customFormat="1" ht="15.75" hidden="1" customHeight="1" outlineLevel="1">
      <c r="A412" s="916"/>
      <c r="B412" s="1123">
        <v>134</v>
      </c>
      <c r="C412" s="1127"/>
      <c r="D412" s="1125"/>
      <c r="E412" s="1125" t="s">
        <v>18</v>
      </c>
      <c r="F412" s="1130" t="str">
        <f>VLOOKUP(E412,$N$13:$O$17,2,0)</f>
        <v>-</v>
      </c>
      <c r="G412" s="92"/>
      <c r="H412" s="823"/>
      <c r="I412" s="1125"/>
      <c r="J412" s="1133"/>
      <c r="K412" s="1133"/>
      <c r="L412" s="916"/>
    </row>
    <row r="413" spans="1:12" s="103" customFormat="1" ht="15.75" hidden="1" customHeight="1" outlineLevel="1">
      <c r="A413" s="916"/>
      <c r="B413" s="1123"/>
      <c r="C413" s="1127"/>
      <c r="D413" s="1125"/>
      <c r="E413" s="1125"/>
      <c r="F413" s="1130"/>
      <c r="G413" s="95"/>
      <c r="H413" s="823"/>
      <c r="I413" s="1125"/>
      <c r="J413" s="1134"/>
      <c r="K413" s="1134"/>
      <c r="L413" s="916"/>
    </row>
    <row r="414" spans="1:12" s="103" customFormat="1" ht="15.75" hidden="1" customHeight="1" outlineLevel="1">
      <c r="A414" s="916"/>
      <c r="B414" s="1124"/>
      <c r="C414" s="1128"/>
      <c r="D414" s="1126"/>
      <c r="E414" s="1126"/>
      <c r="F414" s="1132"/>
      <c r="G414" s="100"/>
      <c r="H414" s="824"/>
      <c r="I414" s="1126"/>
      <c r="J414" s="1135"/>
      <c r="K414" s="1135"/>
      <c r="L414" s="916"/>
    </row>
    <row r="415" spans="1:12" s="103" customFormat="1" ht="15.75" hidden="1" customHeight="1" outlineLevel="1">
      <c r="A415" s="916"/>
      <c r="B415" s="1123">
        <v>135</v>
      </c>
      <c r="C415" s="1127"/>
      <c r="D415" s="1125"/>
      <c r="E415" s="1125" t="s">
        <v>18</v>
      </c>
      <c r="F415" s="1130" t="str">
        <f>VLOOKUP(E415,$N$13:$O$17,2,0)</f>
        <v>-</v>
      </c>
      <c r="G415" s="92"/>
      <c r="H415" s="823"/>
      <c r="I415" s="1125"/>
      <c r="J415" s="1133"/>
      <c r="K415" s="1133"/>
      <c r="L415" s="916"/>
    </row>
    <row r="416" spans="1:12" s="103" customFormat="1" ht="15.75" hidden="1" customHeight="1" outlineLevel="1">
      <c r="A416" s="916"/>
      <c r="B416" s="1123"/>
      <c r="C416" s="1127"/>
      <c r="D416" s="1125"/>
      <c r="E416" s="1125"/>
      <c r="F416" s="1130"/>
      <c r="G416" s="95"/>
      <c r="H416" s="823"/>
      <c r="I416" s="1125"/>
      <c r="J416" s="1134"/>
      <c r="K416" s="1134"/>
      <c r="L416" s="916"/>
    </row>
    <row r="417" spans="1:12" s="103" customFormat="1" ht="15.75" hidden="1" customHeight="1" outlineLevel="1">
      <c r="A417" s="916"/>
      <c r="B417" s="1124"/>
      <c r="C417" s="1128"/>
      <c r="D417" s="1126"/>
      <c r="E417" s="1126"/>
      <c r="F417" s="1132"/>
      <c r="G417" s="100"/>
      <c r="H417" s="824"/>
      <c r="I417" s="1126"/>
      <c r="J417" s="1135"/>
      <c r="K417" s="1135"/>
      <c r="L417" s="916"/>
    </row>
    <row r="418" spans="1:12" s="103" customFormat="1" ht="15.75" hidden="1" customHeight="1" outlineLevel="1">
      <c r="A418" s="916"/>
      <c r="B418" s="1123">
        <v>136</v>
      </c>
      <c r="C418" s="1127"/>
      <c r="D418" s="1125"/>
      <c r="E418" s="1125" t="s">
        <v>18</v>
      </c>
      <c r="F418" s="1130" t="str">
        <f>VLOOKUP(E418,$N$13:$O$17,2,0)</f>
        <v>-</v>
      </c>
      <c r="G418" s="92"/>
      <c r="H418" s="823"/>
      <c r="I418" s="1125"/>
      <c r="J418" s="1133"/>
      <c r="K418" s="1133"/>
      <c r="L418" s="916"/>
    </row>
    <row r="419" spans="1:12" s="103" customFormat="1" ht="15.75" hidden="1" customHeight="1" outlineLevel="1">
      <c r="A419" s="916"/>
      <c r="B419" s="1123"/>
      <c r="C419" s="1127"/>
      <c r="D419" s="1125"/>
      <c r="E419" s="1125"/>
      <c r="F419" s="1130"/>
      <c r="G419" s="95"/>
      <c r="H419" s="823"/>
      <c r="I419" s="1125"/>
      <c r="J419" s="1134"/>
      <c r="K419" s="1134"/>
      <c r="L419" s="916"/>
    </row>
    <row r="420" spans="1:12" s="103" customFormat="1" ht="15.75" hidden="1" customHeight="1" outlineLevel="1">
      <c r="A420" s="916"/>
      <c r="B420" s="1124"/>
      <c r="C420" s="1128"/>
      <c r="D420" s="1126"/>
      <c r="E420" s="1126"/>
      <c r="F420" s="1132"/>
      <c r="G420" s="100"/>
      <c r="H420" s="824"/>
      <c r="I420" s="1126"/>
      <c r="J420" s="1135"/>
      <c r="K420" s="1135"/>
      <c r="L420" s="916"/>
    </row>
    <row r="421" spans="1:12" s="103" customFormat="1" ht="15.75" hidden="1" customHeight="1" outlineLevel="1">
      <c r="A421" s="916"/>
      <c r="B421" s="1123">
        <v>137</v>
      </c>
      <c r="C421" s="1127"/>
      <c r="D421" s="1125"/>
      <c r="E421" s="1125" t="s">
        <v>18</v>
      </c>
      <c r="F421" s="1130" t="str">
        <f>VLOOKUP(E421,$N$13:$O$17,2,0)</f>
        <v>-</v>
      </c>
      <c r="G421" s="92"/>
      <c r="H421" s="823"/>
      <c r="I421" s="1125"/>
      <c r="J421" s="1133"/>
      <c r="K421" s="1133"/>
      <c r="L421" s="916"/>
    </row>
    <row r="422" spans="1:12" s="103" customFormat="1" ht="15.75" hidden="1" customHeight="1" outlineLevel="1">
      <c r="A422" s="916"/>
      <c r="B422" s="1123"/>
      <c r="C422" s="1127"/>
      <c r="D422" s="1125"/>
      <c r="E422" s="1125"/>
      <c r="F422" s="1130"/>
      <c r="G422" s="95"/>
      <c r="H422" s="823"/>
      <c r="I422" s="1125"/>
      <c r="J422" s="1134"/>
      <c r="K422" s="1134"/>
      <c r="L422" s="916"/>
    </row>
    <row r="423" spans="1:12" s="103" customFormat="1" ht="15.75" hidden="1" customHeight="1" outlineLevel="1">
      <c r="A423" s="916"/>
      <c r="B423" s="1124"/>
      <c r="C423" s="1128"/>
      <c r="D423" s="1126"/>
      <c r="E423" s="1126"/>
      <c r="F423" s="1132"/>
      <c r="G423" s="100"/>
      <c r="H423" s="824"/>
      <c r="I423" s="1126"/>
      <c r="J423" s="1135"/>
      <c r="K423" s="1135"/>
      <c r="L423" s="916"/>
    </row>
    <row r="424" spans="1:12" s="103" customFormat="1" ht="15.75" hidden="1" customHeight="1" outlineLevel="1">
      <c r="A424" s="916"/>
      <c r="B424" s="1123">
        <v>138</v>
      </c>
      <c r="C424" s="1127"/>
      <c r="D424" s="1125"/>
      <c r="E424" s="1125" t="s">
        <v>18</v>
      </c>
      <c r="F424" s="1130" t="str">
        <f>VLOOKUP(E424,$N$13:$O$17,2,0)</f>
        <v>-</v>
      </c>
      <c r="G424" s="92"/>
      <c r="H424" s="823"/>
      <c r="I424" s="1125"/>
      <c r="J424" s="1133"/>
      <c r="K424" s="1133"/>
      <c r="L424" s="916"/>
    </row>
    <row r="425" spans="1:12" s="103" customFormat="1" ht="15.75" hidden="1" customHeight="1" outlineLevel="1">
      <c r="A425" s="916"/>
      <c r="B425" s="1123"/>
      <c r="C425" s="1127"/>
      <c r="D425" s="1125"/>
      <c r="E425" s="1125"/>
      <c r="F425" s="1130"/>
      <c r="G425" s="95"/>
      <c r="H425" s="823"/>
      <c r="I425" s="1125"/>
      <c r="J425" s="1134"/>
      <c r="K425" s="1134"/>
      <c r="L425" s="916"/>
    </row>
    <row r="426" spans="1:12" s="103" customFormat="1" ht="15.75" hidden="1" customHeight="1" outlineLevel="1">
      <c r="A426" s="916"/>
      <c r="B426" s="1124"/>
      <c r="C426" s="1128"/>
      <c r="D426" s="1126"/>
      <c r="E426" s="1126"/>
      <c r="F426" s="1132"/>
      <c r="G426" s="100"/>
      <c r="H426" s="824"/>
      <c r="I426" s="1126"/>
      <c r="J426" s="1135"/>
      <c r="K426" s="1135"/>
      <c r="L426" s="916"/>
    </row>
    <row r="427" spans="1:12" s="103" customFormat="1" ht="15.75" hidden="1" customHeight="1" outlineLevel="1">
      <c r="A427" s="916"/>
      <c r="B427" s="1123">
        <v>139</v>
      </c>
      <c r="C427" s="1127"/>
      <c r="D427" s="1125"/>
      <c r="E427" s="1125" t="s">
        <v>18</v>
      </c>
      <c r="F427" s="1130" t="str">
        <f>VLOOKUP(E427,$N$13:$O$17,2,0)</f>
        <v>-</v>
      </c>
      <c r="G427" s="92"/>
      <c r="H427" s="823"/>
      <c r="I427" s="1125"/>
      <c r="J427" s="1133"/>
      <c r="K427" s="1133"/>
      <c r="L427" s="916"/>
    </row>
    <row r="428" spans="1:12" s="103" customFormat="1" ht="15.75" hidden="1" customHeight="1" outlineLevel="1">
      <c r="A428" s="916"/>
      <c r="B428" s="1123"/>
      <c r="C428" s="1127"/>
      <c r="D428" s="1125"/>
      <c r="E428" s="1125"/>
      <c r="F428" s="1130"/>
      <c r="G428" s="95"/>
      <c r="H428" s="823"/>
      <c r="I428" s="1125"/>
      <c r="J428" s="1134"/>
      <c r="K428" s="1134"/>
      <c r="L428" s="916"/>
    </row>
    <row r="429" spans="1:12" s="103" customFormat="1" ht="15.75" hidden="1" customHeight="1" outlineLevel="1">
      <c r="A429" s="916"/>
      <c r="B429" s="1124"/>
      <c r="C429" s="1128"/>
      <c r="D429" s="1126"/>
      <c r="E429" s="1126"/>
      <c r="F429" s="1132"/>
      <c r="G429" s="100"/>
      <c r="H429" s="824"/>
      <c r="I429" s="1126"/>
      <c r="J429" s="1135"/>
      <c r="K429" s="1135"/>
      <c r="L429" s="916"/>
    </row>
    <row r="430" spans="1:12" s="103" customFormat="1" ht="15.75" hidden="1" customHeight="1" outlineLevel="1">
      <c r="A430" s="916"/>
      <c r="B430" s="1123">
        <v>140</v>
      </c>
      <c r="C430" s="1127"/>
      <c r="D430" s="1125"/>
      <c r="E430" s="1125" t="s">
        <v>18</v>
      </c>
      <c r="F430" s="1130" t="str">
        <f>VLOOKUP(E430,$N$13:$O$17,2,0)</f>
        <v>-</v>
      </c>
      <c r="G430" s="92"/>
      <c r="H430" s="823"/>
      <c r="I430" s="1125"/>
      <c r="J430" s="1133"/>
      <c r="K430" s="1133"/>
      <c r="L430" s="916"/>
    </row>
    <row r="431" spans="1:12" s="103" customFormat="1" ht="15.75" hidden="1" customHeight="1" outlineLevel="1">
      <c r="A431" s="916"/>
      <c r="B431" s="1123"/>
      <c r="C431" s="1127"/>
      <c r="D431" s="1125"/>
      <c r="E431" s="1125"/>
      <c r="F431" s="1130"/>
      <c r="G431" s="95"/>
      <c r="H431" s="823"/>
      <c r="I431" s="1125"/>
      <c r="J431" s="1134"/>
      <c r="K431" s="1134"/>
      <c r="L431" s="916"/>
    </row>
    <row r="432" spans="1:12" s="103" customFormat="1" ht="15.75" hidden="1" customHeight="1" outlineLevel="1">
      <c r="A432" s="916"/>
      <c r="B432" s="1124"/>
      <c r="C432" s="1128"/>
      <c r="D432" s="1126"/>
      <c r="E432" s="1126"/>
      <c r="F432" s="1132"/>
      <c r="G432" s="100"/>
      <c r="H432" s="824"/>
      <c r="I432" s="1126"/>
      <c r="J432" s="1135"/>
      <c r="K432" s="1135"/>
      <c r="L432" s="916"/>
    </row>
    <row r="433" spans="1:12" s="103" customFormat="1" ht="15.75" hidden="1" customHeight="1" outlineLevel="1">
      <c r="A433" s="916"/>
      <c r="B433" s="1123">
        <v>141</v>
      </c>
      <c r="C433" s="1127"/>
      <c r="D433" s="1125"/>
      <c r="E433" s="1125" t="s">
        <v>18</v>
      </c>
      <c r="F433" s="1130" t="str">
        <f>VLOOKUP(E433,$N$13:$O$17,2,0)</f>
        <v>-</v>
      </c>
      <c r="G433" s="92"/>
      <c r="H433" s="823"/>
      <c r="I433" s="1125"/>
      <c r="J433" s="1133"/>
      <c r="K433" s="1133"/>
      <c r="L433" s="916"/>
    </row>
    <row r="434" spans="1:12" s="103" customFormat="1" ht="15.75" hidden="1" customHeight="1" outlineLevel="1">
      <c r="A434" s="916"/>
      <c r="B434" s="1123"/>
      <c r="C434" s="1127"/>
      <c r="D434" s="1125"/>
      <c r="E434" s="1125"/>
      <c r="F434" s="1130"/>
      <c r="G434" s="95"/>
      <c r="H434" s="823"/>
      <c r="I434" s="1125"/>
      <c r="J434" s="1134"/>
      <c r="K434" s="1134"/>
      <c r="L434" s="916"/>
    </row>
    <row r="435" spans="1:12" s="103" customFormat="1" ht="15.75" hidden="1" customHeight="1" outlineLevel="1">
      <c r="A435" s="916"/>
      <c r="B435" s="1124"/>
      <c r="C435" s="1128"/>
      <c r="D435" s="1126"/>
      <c r="E435" s="1126"/>
      <c r="F435" s="1132"/>
      <c r="G435" s="100"/>
      <c r="H435" s="824"/>
      <c r="I435" s="1126"/>
      <c r="J435" s="1135"/>
      <c r="K435" s="1135"/>
      <c r="L435" s="916"/>
    </row>
    <row r="436" spans="1:12" s="103" customFormat="1" ht="15.75" hidden="1" customHeight="1" outlineLevel="1">
      <c r="A436" s="916"/>
      <c r="B436" s="1123">
        <v>142</v>
      </c>
      <c r="C436" s="1127"/>
      <c r="D436" s="1125"/>
      <c r="E436" s="1125" t="s">
        <v>18</v>
      </c>
      <c r="F436" s="1130" t="str">
        <f>VLOOKUP(E436,$N$13:$O$17,2,0)</f>
        <v>-</v>
      </c>
      <c r="G436" s="92"/>
      <c r="H436" s="823"/>
      <c r="I436" s="1125"/>
      <c r="J436" s="1133"/>
      <c r="K436" s="1133"/>
      <c r="L436" s="916"/>
    </row>
    <row r="437" spans="1:12" s="103" customFormat="1" ht="15.75" hidden="1" customHeight="1" outlineLevel="1">
      <c r="A437" s="916"/>
      <c r="B437" s="1123"/>
      <c r="C437" s="1127"/>
      <c r="D437" s="1125"/>
      <c r="E437" s="1125"/>
      <c r="F437" s="1130"/>
      <c r="G437" s="95"/>
      <c r="H437" s="823"/>
      <c r="I437" s="1125"/>
      <c r="J437" s="1134"/>
      <c r="K437" s="1134"/>
      <c r="L437" s="916"/>
    </row>
    <row r="438" spans="1:12" s="103" customFormat="1" ht="15.75" hidden="1" customHeight="1" outlineLevel="1">
      <c r="A438" s="916"/>
      <c r="B438" s="1124"/>
      <c r="C438" s="1128"/>
      <c r="D438" s="1126"/>
      <c r="E438" s="1126"/>
      <c r="F438" s="1132"/>
      <c r="G438" s="100"/>
      <c r="H438" s="824"/>
      <c r="I438" s="1126"/>
      <c r="J438" s="1135"/>
      <c r="K438" s="1135"/>
      <c r="L438" s="916"/>
    </row>
    <row r="439" spans="1:12" s="103" customFormat="1" ht="15.75" hidden="1" customHeight="1" outlineLevel="1">
      <c r="A439" s="916"/>
      <c r="B439" s="1123">
        <v>143</v>
      </c>
      <c r="C439" s="1127"/>
      <c r="D439" s="1125"/>
      <c r="E439" s="1125" t="s">
        <v>18</v>
      </c>
      <c r="F439" s="1130" t="str">
        <f>VLOOKUP(E439,$N$13:$O$17,2,0)</f>
        <v>-</v>
      </c>
      <c r="G439" s="92"/>
      <c r="H439" s="823"/>
      <c r="I439" s="1125"/>
      <c r="J439" s="1133"/>
      <c r="K439" s="1133"/>
      <c r="L439" s="916"/>
    </row>
    <row r="440" spans="1:12" s="103" customFormat="1" ht="15.75" hidden="1" customHeight="1" outlineLevel="1">
      <c r="A440" s="916"/>
      <c r="B440" s="1123"/>
      <c r="C440" s="1127"/>
      <c r="D440" s="1125"/>
      <c r="E440" s="1125"/>
      <c r="F440" s="1130"/>
      <c r="G440" s="95"/>
      <c r="H440" s="823"/>
      <c r="I440" s="1125"/>
      <c r="J440" s="1134"/>
      <c r="K440" s="1134"/>
      <c r="L440" s="916"/>
    </row>
    <row r="441" spans="1:12" s="103" customFormat="1" ht="15.75" hidden="1" customHeight="1" outlineLevel="1">
      <c r="A441" s="916"/>
      <c r="B441" s="1124"/>
      <c r="C441" s="1128"/>
      <c r="D441" s="1126"/>
      <c r="E441" s="1126"/>
      <c r="F441" s="1132"/>
      <c r="G441" s="100"/>
      <c r="H441" s="824"/>
      <c r="I441" s="1126"/>
      <c r="J441" s="1135"/>
      <c r="K441" s="1135"/>
      <c r="L441" s="916"/>
    </row>
    <row r="442" spans="1:12" s="103" customFormat="1" ht="15.75" hidden="1" customHeight="1" outlineLevel="1">
      <c r="A442" s="916"/>
      <c r="B442" s="1123">
        <v>144</v>
      </c>
      <c r="C442" s="1127"/>
      <c r="D442" s="1125"/>
      <c r="E442" s="1125" t="s">
        <v>18</v>
      </c>
      <c r="F442" s="1130" t="str">
        <f>VLOOKUP(E442,$N$13:$O$17,2,0)</f>
        <v>-</v>
      </c>
      <c r="G442" s="92"/>
      <c r="H442" s="823"/>
      <c r="I442" s="1125"/>
      <c r="J442" s="1133"/>
      <c r="K442" s="1133"/>
      <c r="L442" s="916"/>
    </row>
    <row r="443" spans="1:12" s="103" customFormat="1" ht="15.75" hidden="1" customHeight="1" outlineLevel="1">
      <c r="A443" s="916"/>
      <c r="B443" s="1123"/>
      <c r="C443" s="1127"/>
      <c r="D443" s="1125"/>
      <c r="E443" s="1125"/>
      <c r="F443" s="1130"/>
      <c r="G443" s="95"/>
      <c r="H443" s="823"/>
      <c r="I443" s="1125"/>
      <c r="J443" s="1134"/>
      <c r="K443" s="1134"/>
      <c r="L443" s="916"/>
    </row>
    <row r="444" spans="1:12" s="103" customFormat="1" ht="15.75" hidden="1" customHeight="1" outlineLevel="1">
      <c r="A444" s="916"/>
      <c r="B444" s="1124"/>
      <c r="C444" s="1128"/>
      <c r="D444" s="1126"/>
      <c r="E444" s="1126"/>
      <c r="F444" s="1132"/>
      <c r="G444" s="100"/>
      <c r="H444" s="824"/>
      <c r="I444" s="1126"/>
      <c r="J444" s="1135"/>
      <c r="K444" s="1135"/>
      <c r="L444" s="916"/>
    </row>
    <row r="445" spans="1:12" s="103" customFormat="1" ht="15.75" hidden="1" customHeight="1" outlineLevel="1">
      <c r="A445" s="916"/>
      <c r="B445" s="1123">
        <v>145</v>
      </c>
      <c r="C445" s="1127"/>
      <c r="D445" s="1125"/>
      <c r="E445" s="1125" t="s">
        <v>18</v>
      </c>
      <c r="F445" s="1130" t="str">
        <f>VLOOKUP(E445,$N$13:$O$17,2,0)</f>
        <v>-</v>
      </c>
      <c r="G445" s="92"/>
      <c r="H445" s="823"/>
      <c r="I445" s="1125"/>
      <c r="J445" s="1133"/>
      <c r="K445" s="1133"/>
      <c r="L445" s="916"/>
    </row>
    <row r="446" spans="1:12" s="103" customFormat="1" ht="15.75" hidden="1" customHeight="1" outlineLevel="1">
      <c r="A446" s="916"/>
      <c r="B446" s="1123"/>
      <c r="C446" s="1127"/>
      <c r="D446" s="1125"/>
      <c r="E446" s="1125"/>
      <c r="F446" s="1130"/>
      <c r="G446" s="95"/>
      <c r="H446" s="823"/>
      <c r="I446" s="1125"/>
      <c r="J446" s="1134"/>
      <c r="K446" s="1134"/>
      <c r="L446" s="916"/>
    </row>
    <row r="447" spans="1:12" s="103" customFormat="1" ht="15.75" hidden="1" customHeight="1" outlineLevel="1">
      <c r="A447" s="916"/>
      <c r="B447" s="1124"/>
      <c r="C447" s="1128"/>
      <c r="D447" s="1126"/>
      <c r="E447" s="1126"/>
      <c r="F447" s="1132"/>
      <c r="G447" s="100"/>
      <c r="H447" s="824"/>
      <c r="I447" s="1126"/>
      <c r="J447" s="1135"/>
      <c r="K447" s="1135"/>
      <c r="L447" s="916"/>
    </row>
    <row r="448" spans="1:12" s="103" customFormat="1" ht="15.75" hidden="1" customHeight="1" outlineLevel="1">
      <c r="A448" s="916"/>
      <c r="B448" s="1123">
        <v>146</v>
      </c>
      <c r="C448" s="1127"/>
      <c r="D448" s="1125"/>
      <c r="E448" s="1125" t="s">
        <v>18</v>
      </c>
      <c r="F448" s="1130" t="str">
        <f>VLOOKUP(E448,$N$13:$O$17,2,0)</f>
        <v>-</v>
      </c>
      <c r="G448" s="92"/>
      <c r="H448" s="823"/>
      <c r="I448" s="1125"/>
      <c r="J448" s="1133"/>
      <c r="K448" s="1133"/>
      <c r="L448" s="916"/>
    </row>
    <row r="449" spans="1:12" s="103" customFormat="1" ht="15.75" hidden="1" customHeight="1" outlineLevel="1">
      <c r="A449" s="916"/>
      <c r="B449" s="1123"/>
      <c r="C449" s="1127"/>
      <c r="D449" s="1125"/>
      <c r="E449" s="1125"/>
      <c r="F449" s="1130"/>
      <c r="G449" s="95"/>
      <c r="H449" s="823"/>
      <c r="I449" s="1125"/>
      <c r="J449" s="1134"/>
      <c r="K449" s="1134"/>
      <c r="L449" s="916"/>
    </row>
    <row r="450" spans="1:12" s="103" customFormat="1" ht="15.75" hidden="1" customHeight="1" outlineLevel="1">
      <c r="A450" s="916"/>
      <c r="B450" s="1124"/>
      <c r="C450" s="1128"/>
      <c r="D450" s="1126"/>
      <c r="E450" s="1126"/>
      <c r="F450" s="1132"/>
      <c r="G450" s="100"/>
      <c r="H450" s="824"/>
      <c r="I450" s="1126"/>
      <c r="J450" s="1135"/>
      <c r="K450" s="1135"/>
      <c r="L450" s="916"/>
    </row>
    <row r="451" spans="1:12" s="103" customFormat="1" ht="15.75" hidden="1" customHeight="1" outlineLevel="1">
      <c r="A451" s="916"/>
      <c r="B451" s="1123">
        <v>147</v>
      </c>
      <c r="C451" s="1127"/>
      <c r="D451" s="1125"/>
      <c r="E451" s="1125" t="s">
        <v>18</v>
      </c>
      <c r="F451" s="1130" t="str">
        <f>VLOOKUP(E451,$N$13:$O$17,2,0)</f>
        <v>-</v>
      </c>
      <c r="G451" s="92"/>
      <c r="H451" s="823"/>
      <c r="I451" s="1125"/>
      <c r="J451" s="1133"/>
      <c r="K451" s="1133"/>
      <c r="L451" s="916"/>
    </row>
    <row r="452" spans="1:12" s="103" customFormat="1" ht="15.75" hidden="1" customHeight="1" outlineLevel="1">
      <c r="A452" s="916"/>
      <c r="B452" s="1123"/>
      <c r="C452" s="1127"/>
      <c r="D452" s="1125"/>
      <c r="E452" s="1125"/>
      <c r="F452" s="1130"/>
      <c r="G452" s="95"/>
      <c r="H452" s="823"/>
      <c r="I452" s="1125"/>
      <c r="J452" s="1134"/>
      <c r="K452" s="1134"/>
      <c r="L452" s="916"/>
    </row>
    <row r="453" spans="1:12" s="103" customFormat="1" ht="15.75" hidden="1" customHeight="1" outlineLevel="1">
      <c r="A453" s="916"/>
      <c r="B453" s="1124"/>
      <c r="C453" s="1128"/>
      <c r="D453" s="1126"/>
      <c r="E453" s="1126"/>
      <c r="F453" s="1132"/>
      <c r="G453" s="100"/>
      <c r="H453" s="824"/>
      <c r="I453" s="1126"/>
      <c r="J453" s="1135"/>
      <c r="K453" s="1135"/>
      <c r="L453" s="916"/>
    </row>
    <row r="454" spans="1:12" s="103" customFormat="1" ht="15.75" hidden="1" customHeight="1" outlineLevel="1">
      <c r="A454" s="916"/>
      <c r="B454" s="1123">
        <v>148</v>
      </c>
      <c r="C454" s="1127"/>
      <c r="D454" s="1125"/>
      <c r="E454" s="1125" t="s">
        <v>18</v>
      </c>
      <c r="F454" s="1130" t="str">
        <f>VLOOKUP(E454,$N$13:$O$17,2,0)</f>
        <v>-</v>
      </c>
      <c r="G454" s="92"/>
      <c r="H454" s="823"/>
      <c r="I454" s="1125"/>
      <c r="J454" s="1133"/>
      <c r="K454" s="1133"/>
      <c r="L454" s="916"/>
    </row>
    <row r="455" spans="1:12" s="103" customFormat="1" ht="15.75" hidden="1" customHeight="1" outlineLevel="1">
      <c r="A455" s="916"/>
      <c r="B455" s="1123"/>
      <c r="C455" s="1127"/>
      <c r="D455" s="1125"/>
      <c r="E455" s="1125"/>
      <c r="F455" s="1130"/>
      <c r="G455" s="95"/>
      <c r="H455" s="823"/>
      <c r="I455" s="1125"/>
      <c r="J455" s="1134"/>
      <c r="K455" s="1134"/>
      <c r="L455" s="916"/>
    </row>
    <row r="456" spans="1:12" s="103" customFormat="1" ht="15.75" hidden="1" customHeight="1" outlineLevel="1">
      <c r="A456" s="916"/>
      <c r="B456" s="1124"/>
      <c r="C456" s="1128"/>
      <c r="D456" s="1126"/>
      <c r="E456" s="1126"/>
      <c r="F456" s="1132"/>
      <c r="G456" s="100"/>
      <c r="H456" s="824"/>
      <c r="I456" s="1126"/>
      <c r="J456" s="1135"/>
      <c r="K456" s="1135"/>
      <c r="L456" s="916"/>
    </row>
    <row r="457" spans="1:12" s="103" customFormat="1" ht="15.75" hidden="1" customHeight="1" outlineLevel="1">
      <c r="A457" s="916"/>
      <c r="B457" s="1123">
        <v>149</v>
      </c>
      <c r="C457" s="1127"/>
      <c r="D457" s="1125"/>
      <c r="E457" s="1125" t="s">
        <v>18</v>
      </c>
      <c r="F457" s="1130" t="str">
        <f>VLOOKUP(E457,$N$13:$O$17,2,0)</f>
        <v>-</v>
      </c>
      <c r="G457" s="92"/>
      <c r="H457" s="823"/>
      <c r="I457" s="1125"/>
      <c r="J457" s="1133"/>
      <c r="K457" s="1133"/>
      <c r="L457" s="916"/>
    </row>
    <row r="458" spans="1:12" s="103" customFormat="1" ht="15.75" hidden="1" customHeight="1" outlineLevel="1">
      <c r="A458" s="916"/>
      <c r="B458" s="1123"/>
      <c r="C458" s="1127"/>
      <c r="D458" s="1125"/>
      <c r="E458" s="1125"/>
      <c r="F458" s="1130"/>
      <c r="G458" s="95"/>
      <c r="H458" s="823"/>
      <c r="I458" s="1125"/>
      <c r="J458" s="1134"/>
      <c r="K458" s="1134"/>
      <c r="L458" s="916"/>
    </row>
    <row r="459" spans="1:12" s="103" customFormat="1" ht="15.75" hidden="1" customHeight="1" outlineLevel="1">
      <c r="A459" s="916"/>
      <c r="B459" s="1124"/>
      <c r="C459" s="1128"/>
      <c r="D459" s="1126"/>
      <c r="E459" s="1126"/>
      <c r="F459" s="1132"/>
      <c r="G459" s="100"/>
      <c r="H459" s="824"/>
      <c r="I459" s="1126"/>
      <c r="J459" s="1135"/>
      <c r="K459" s="1135"/>
      <c r="L459" s="916"/>
    </row>
    <row r="460" spans="1:12" s="103" customFormat="1" ht="15.75" hidden="1" customHeight="1" outlineLevel="1">
      <c r="A460" s="916"/>
      <c r="B460" s="1123">
        <v>150</v>
      </c>
      <c r="C460" s="1127"/>
      <c r="D460" s="1125"/>
      <c r="E460" s="1125" t="s">
        <v>18</v>
      </c>
      <c r="F460" s="1130" t="str">
        <f>VLOOKUP(E460,$N$13:$O$17,2,0)</f>
        <v>-</v>
      </c>
      <c r="G460" s="92"/>
      <c r="H460" s="823"/>
      <c r="I460" s="1125"/>
      <c r="J460" s="1133"/>
      <c r="K460" s="1133"/>
      <c r="L460" s="916"/>
    </row>
    <row r="461" spans="1:12" s="103" customFormat="1" ht="15.75" hidden="1" customHeight="1" outlineLevel="1">
      <c r="A461" s="916"/>
      <c r="B461" s="1123"/>
      <c r="C461" s="1127"/>
      <c r="D461" s="1125"/>
      <c r="E461" s="1125"/>
      <c r="F461" s="1130"/>
      <c r="G461" s="95"/>
      <c r="H461" s="823"/>
      <c r="I461" s="1125"/>
      <c r="J461" s="1134"/>
      <c r="K461" s="1134"/>
      <c r="L461" s="916"/>
    </row>
    <row r="462" spans="1:12" s="103" customFormat="1" ht="15.75" hidden="1" customHeight="1" outlineLevel="1">
      <c r="A462" s="916"/>
      <c r="B462" s="1124"/>
      <c r="C462" s="1128"/>
      <c r="D462" s="1126"/>
      <c r="E462" s="1126"/>
      <c r="F462" s="1132"/>
      <c r="G462" s="100"/>
      <c r="H462" s="824"/>
      <c r="I462" s="1126"/>
      <c r="J462" s="1135"/>
      <c r="K462" s="1135"/>
      <c r="L462" s="916"/>
    </row>
    <row r="463" spans="1:12" s="103" customFormat="1" ht="15.75" hidden="1" customHeight="1" outlineLevel="1">
      <c r="A463" s="916"/>
      <c r="B463" s="1123">
        <v>151</v>
      </c>
      <c r="C463" s="1127"/>
      <c r="D463" s="1125"/>
      <c r="E463" s="1125" t="s">
        <v>18</v>
      </c>
      <c r="F463" s="1130" t="str">
        <f>VLOOKUP(E463,$N$13:$O$17,2,0)</f>
        <v>-</v>
      </c>
      <c r="G463" s="92"/>
      <c r="H463" s="823"/>
      <c r="I463" s="1125"/>
      <c r="J463" s="1133"/>
      <c r="K463" s="1133"/>
      <c r="L463" s="916"/>
    </row>
    <row r="464" spans="1:12" s="103" customFormat="1" ht="15.75" hidden="1" customHeight="1" outlineLevel="1">
      <c r="A464" s="916"/>
      <c r="B464" s="1123"/>
      <c r="C464" s="1127"/>
      <c r="D464" s="1125"/>
      <c r="E464" s="1125"/>
      <c r="F464" s="1130"/>
      <c r="G464" s="95"/>
      <c r="H464" s="823"/>
      <c r="I464" s="1125"/>
      <c r="J464" s="1134"/>
      <c r="K464" s="1134"/>
      <c r="L464" s="916"/>
    </row>
    <row r="465" spans="1:12" s="103" customFormat="1" ht="15.75" hidden="1" customHeight="1" outlineLevel="1">
      <c r="A465" s="916"/>
      <c r="B465" s="1124"/>
      <c r="C465" s="1128"/>
      <c r="D465" s="1126"/>
      <c r="E465" s="1126"/>
      <c r="F465" s="1132"/>
      <c r="G465" s="100"/>
      <c r="H465" s="824"/>
      <c r="I465" s="1126"/>
      <c r="J465" s="1135"/>
      <c r="K465" s="1135"/>
      <c r="L465" s="916"/>
    </row>
    <row r="466" spans="1:12" s="103" customFormat="1" ht="15.75" hidden="1" customHeight="1" outlineLevel="1">
      <c r="A466" s="916"/>
      <c r="B466" s="1123">
        <v>152</v>
      </c>
      <c r="C466" s="1127"/>
      <c r="D466" s="1125"/>
      <c r="E466" s="1125" t="s">
        <v>18</v>
      </c>
      <c r="F466" s="1130" t="str">
        <f>VLOOKUP(E466,$N$13:$O$17,2,0)</f>
        <v>-</v>
      </c>
      <c r="G466" s="92"/>
      <c r="H466" s="823"/>
      <c r="I466" s="1125"/>
      <c r="J466" s="1133"/>
      <c r="K466" s="1133"/>
      <c r="L466" s="916"/>
    </row>
    <row r="467" spans="1:12" s="103" customFormat="1" ht="15.75" hidden="1" customHeight="1" outlineLevel="1">
      <c r="A467" s="916"/>
      <c r="B467" s="1123"/>
      <c r="C467" s="1127"/>
      <c r="D467" s="1125"/>
      <c r="E467" s="1125"/>
      <c r="F467" s="1130"/>
      <c r="G467" s="95"/>
      <c r="H467" s="823"/>
      <c r="I467" s="1125"/>
      <c r="J467" s="1134"/>
      <c r="K467" s="1134"/>
      <c r="L467" s="916"/>
    </row>
    <row r="468" spans="1:12" s="103" customFormat="1" ht="15.75" hidden="1" customHeight="1" outlineLevel="1">
      <c r="A468" s="916"/>
      <c r="B468" s="1124"/>
      <c r="C468" s="1128"/>
      <c r="D468" s="1126"/>
      <c r="E468" s="1126"/>
      <c r="F468" s="1132"/>
      <c r="G468" s="100"/>
      <c r="H468" s="824"/>
      <c r="I468" s="1126"/>
      <c r="J468" s="1135"/>
      <c r="K468" s="1135"/>
      <c r="L468" s="916"/>
    </row>
    <row r="469" spans="1:12" s="103" customFormat="1" ht="15.75" hidden="1" customHeight="1" outlineLevel="1">
      <c r="A469" s="916"/>
      <c r="B469" s="1123">
        <v>153</v>
      </c>
      <c r="C469" s="1127"/>
      <c r="D469" s="1125"/>
      <c r="E469" s="1125" t="s">
        <v>18</v>
      </c>
      <c r="F469" s="1130" t="str">
        <f>VLOOKUP(E469,$N$13:$O$17,2,0)</f>
        <v>-</v>
      </c>
      <c r="G469" s="92"/>
      <c r="H469" s="823"/>
      <c r="I469" s="1125"/>
      <c r="J469" s="1133"/>
      <c r="K469" s="1133"/>
      <c r="L469" s="916"/>
    </row>
    <row r="470" spans="1:12" s="103" customFormat="1" ht="15.75" hidden="1" customHeight="1" outlineLevel="1">
      <c r="A470" s="916"/>
      <c r="B470" s="1123"/>
      <c r="C470" s="1127"/>
      <c r="D470" s="1125"/>
      <c r="E470" s="1125"/>
      <c r="F470" s="1130"/>
      <c r="G470" s="95"/>
      <c r="H470" s="823"/>
      <c r="I470" s="1125"/>
      <c r="J470" s="1134"/>
      <c r="K470" s="1134"/>
      <c r="L470" s="916"/>
    </row>
    <row r="471" spans="1:12" s="103" customFormat="1" ht="15.75" hidden="1" customHeight="1" outlineLevel="1">
      <c r="A471" s="916"/>
      <c r="B471" s="1124"/>
      <c r="C471" s="1128"/>
      <c r="D471" s="1126"/>
      <c r="E471" s="1126"/>
      <c r="F471" s="1132"/>
      <c r="G471" s="100"/>
      <c r="H471" s="824"/>
      <c r="I471" s="1126"/>
      <c r="J471" s="1135"/>
      <c r="K471" s="1135"/>
      <c r="L471" s="916"/>
    </row>
    <row r="472" spans="1:12" s="103" customFormat="1" ht="15.75" hidden="1" customHeight="1" outlineLevel="1">
      <c r="A472" s="916"/>
      <c r="B472" s="1123">
        <v>154</v>
      </c>
      <c r="C472" s="1127"/>
      <c r="D472" s="1125"/>
      <c r="E472" s="1125" t="s">
        <v>18</v>
      </c>
      <c r="F472" s="1130" t="str">
        <f>VLOOKUP(E472,$N$13:$O$17,2,0)</f>
        <v>-</v>
      </c>
      <c r="G472" s="92"/>
      <c r="H472" s="823"/>
      <c r="I472" s="1125"/>
      <c r="J472" s="1133"/>
      <c r="K472" s="1133"/>
      <c r="L472" s="916"/>
    </row>
    <row r="473" spans="1:12" s="103" customFormat="1" ht="15.75" hidden="1" customHeight="1" outlineLevel="1">
      <c r="A473" s="916"/>
      <c r="B473" s="1123"/>
      <c r="C473" s="1127"/>
      <c r="D473" s="1125"/>
      <c r="E473" s="1125"/>
      <c r="F473" s="1130"/>
      <c r="G473" s="95"/>
      <c r="H473" s="823"/>
      <c r="I473" s="1125"/>
      <c r="J473" s="1134"/>
      <c r="K473" s="1134"/>
      <c r="L473" s="916"/>
    </row>
    <row r="474" spans="1:12" s="103" customFormat="1" ht="15.75" hidden="1" customHeight="1" outlineLevel="1">
      <c r="A474" s="916"/>
      <c r="B474" s="1124"/>
      <c r="C474" s="1128"/>
      <c r="D474" s="1126"/>
      <c r="E474" s="1126"/>
      <c r="F474" s="1132"/>
      <c r="G474" s="100"/>
      <c r="H474" s="824"/>
      <c r="I474" s="1126"/>
      <c r="J474" s="1135"/>
      <c r="K474" s="1135"/>
      <c r="L474" s="916"/>
    </row>
    <row r="475" spans="1:12" s="103" customFormat="1" ht="15.75" hidden="1" customHeight="1" outlineLevel="1">
      <c r="A475" s="916"/>
      <c r="B475" s="1123">
        <v>155</v>
      </c>
      <c r="C475" s="1127"/>
      <c r="D475" s="1125"/>
      <c r="E475" s="1125" t="s">
        <v>18</v>
      </c>
      <c r="F475" s="1130" t="str">
        <f>VLOOKUP(E475,$N$13:$O$17,2,0)</f>
        <v>-</v>
      </c>
      <c r="G475" s="92"/>
      <c r="H475" s="823"/>
      <c r="I475" s="1125"/>
      <c r="J475" s="1133"/>
      <c r="K475" s="1133"/>
      <c r="L475" s="916"/>
    </row>
    <row r="476" spans="1:12" s="103" customFormat="1" ht="15.75" hidden="1" customHeight="1" outlineLevel="1">
      <c r="A476" s="916"/>
      <c r="B476" s="1123"/>
      <c r="C476" s="1127"/>
      <c r="D476" s="1125"/>
      <c r="E476" s="1125"/>
      <c r="F476" s="1130"/>
      <c r="G476" s="95"/>
      <c r="H476" s="823"/>
      <c r="I476" s="1125"/>
      <c r="J476" s="1134"/>
      <c r="K476" s="1134"/>
      <c r="L476" s="916"/>
    </row>
    <row r="477" spans="1:12" s="103" customFormat="1" ht="15.75" hidden="1" customHeight="1" outlineLevel="1">
      <c r="A477" s="916"/>
      <c r="B477" s="1124"/>
      <c r="C477" s="1128"/>
      <c r="D477" s="1126"/>
      <c r="E477" s="1126"/>
      <c r="F477" s="1132"/>
      <c r="G477" s="100"/>
      <c r="H477" s="824"/>
      <c r="I477" s="1126"/>
      <c r="J477" s="1135"/>
      <c r="K477" s="1135"/>
      <c r="L477" s="916"/>
    </row>
    <row r="478" spans="1:12" s="103" customFormat="1" ht="15.75" hidden="1" customHeight="1" outlineLevel="1">
      <c r="A478" s="916"/>
      <c r="B478" s="1123">
        <v>156</v>
      </c>
      <c r="C478" s="1127"/>
      <c r="D478" s="1125"/>
      <c r="E478" s="1125" t="s">
        <v>18</v>
      </c>
      <c r="F478" s="1130" t="str">
        <f>VLOOKUP(E478,$N$13:$O$17,2,0)</f>
        <v>-</v>
      </c>
      <c r="G478" s="92"/>
      <c r="H478" s="823"/>
      <c r="I478" s="1125"/>
      <c r="J478" s="1133"/>
      <c r="K478" s="1133"/>
      <c r="L478" s="916"/>
    </row>
    <row r="479" spans="1:12" s="103" customFormat="1" ht="15.75" hidden="1" customHeight="1" outlineLevel="1">
      <c r="A479" s="916"/>
      <c r="B479" s="1123"/>
      <c r="C479" s="1127"/>
      <c r="D479" s="1125"/>
      <c r="E479" s="1125"/>
      <c r="F479" s="1130"/>
      <c r="G479" s="95"/>
      <c r="H479" s="823"/>
      <c r="I479" s="1125"/>
      <c r="J479" s="1134"/>
      <c r="K479" s="1134"/>
      <c r="L479" s="916"/>
    </row>
    <row r="480" spans="1:12" s="103" customFormat="1" ht="15.75" hidden="1" customHeight="1" outlineLevel="1">
      <c r="A480" s="916"/>
      <c r="B480" s="1124"/>
      <c r="C480" s="1128"/>
      <c r="D480" s="1126"/>
      <c r="E480" s="1126"/>
      <c r="F480" s="1132"/>
      <c r="G480" s="100"/>
      <c r="H480" s="824"/>
      <c r="I480" s="1126"/>
      <c r="J480" s="1135"/>
      <c r="K480" s="1135"/>
      <c r="L480" s="916"/>
    </row>
    <row r="481" spans="1:12" s="103" customFormat="1" ht="15.75" hidden="1" customHeight="1" outlineLevel="1">
      <c r="A481" s="916"/>
      <c r="B481" s="1123">
        <v>157</v>
      </c>
      <c r="C481" s="1127"/>
      <c r="D481" s="1125"/>
      <c r="E481" s="1125" t="s">
        <v>18</v>
      </c>
      <c r="F481" s="1130" t="str">
        <f>VLOOKUP(E481,$N$13:$O$17,2,0)</f>
        <v>-</v>
      </c>
      <c r="G481" s="92"/>
      <c r="H481" s="823"/>
      <c r="I481" s="1125"/>
      <c r="J481" s="1133"/>
      <c r="K481" s="1133"/>
      <c r="L481" s="916"/>
    </row>
    <row r="482" spans="1:12" s="103" customFormat="1" ht="15.75" hidden="1" customHeight="1" outlineLevel="1">
      <c r="A482" s="916"/>
      <c r="B482" s="1123"/>
      <c r="C482" s="1127"/>
      <c r="D482" s="1125"/>
      <c r="E482" s="1125"/>
      <c r="F482" s="1130"/>
      <c r="G482" s="95"/>
      <c r="H482" s="823"/>
      <c r="I482" s="1125"/>
      <c r="J482" s="1134"/>
      <c r="K482" s="1134"/>
      <c r="L482" s="916"/>
    </row>
    <row r="483" spans="1:12" s="103" customFormat="1" ht="15.75" hidden="1" customHeight="1" outlineLevel="1">
      <c r="A483" s="916"/>
      <c r="B483" s="1124"/>
      <c r="C483" s="1128"/>
      <c r="D483" s="1126"/>
      <c r="E483" s="1126"/>
      <c r="F483" s="1132"/>
      <c r="G483" s="100"/>
      <c r="H483" s="824"/>
      <c r="I483" s="1126"/>
      <c r="J483" s="1135"/>
      <c r="K483" s="1135"/>
      <c r="L483" s="916"/>
    </row>
    <row r="484" spans="1:12" s="103" customFormat="1" ht="15.75" hidden="1" customHeight="1" outlineLevel="1">
      <c r="A484" s="916"/>
      <c r="B484" s="1123">
        <v>158</v>
      </c>
      <c r="C484" s="1127"/>
      <c r="D484" s="1125"/>
      <c r="E484" s="1125" t="s">
        <v>18</v>
      </c>
      <c r="F484" s="1130" t="str">
        <f>VLOOKUP(E484,$N$13:$O$17,2,0)</f>
        <v>-</v>
      </c>
      <c r="G484" s="92"/>
      <c r="H484" s="823"/>
      <c r="I484" s="1125"/>
      <c r="J484" s="1133"/>
      <c r="K484" s="1133"/>
      <c r="L484" s="916"/>
    </row>
    <row r="485" spans="1:12" s="103" customFormat="1" ht="15.75" hidden="1" customHeight="1" outlineLevel="1">
      <c r="A485" s="916"/>
      <c r="B485" s="1123"/>
      <c r="C485" s="1127"/>
      <c r="D485" s="1125"/>
      <c r="E485" s="1125"/>
      <c r="F485" s="1130"/>
      <c r="G485" s="95"/>
      <c r="H485" s="823"/>
      <c r="I485" s="1125"/>
      <c r="J485" s="1134"/>
      <c r="K485" s="1134"/>
      <c r="L485" s="916"/>
    </row>
    <row r="486" spans="1:12" s="103" customFormat="1" ht="15.75" hidden="1" customHeight="1" outlineLevel="1">
      <c r="A486" s="916"/>
      <c r="B486" s="1124"/>
      <c r="C486" s="1128"/>
      <c r="D486" s="1126"/>
      <c r="E486" s="1126"/>
      <c r="F486" s="1132"/>
      <c r="G486" s="100"/>
      <c r="H486" s="824"/>
      <c r="I486" s="1126"/>
      <c r="J486" s="1135"/>
      <c r="K486" s="1135"/>
      <c r="L486" s="916"/>
    </row>
    <row r="487" spans="1:12" s="103" customFormat="1" ht="15.75" hidden="1" customHeight="1" outlineLevel="1">
      <c r="A487" s="916"/>
      <c r="B487" s="1123">
        <v>159</v>
      </c>
      <c r="C487" s="1127"/>
      <c r="D487" s="1125"/>
      <c r="E487" s="1125" t="s">
        <v>18</v>
      </c>
      <c r="F487" s="1130" t="str">
        <f>VLOOKUP(E487,$N$13:$O$17,2,0)</f>
        <v>-</v>
      </c>
      <c r="G487" s="92"/>
      <c r="H487" s="823"/>
      <c r="I487" s="1125"/>
      <c r="J487" s="1133"/>
      <c r="K487" s="1133"/>
      <c r="L487" s="916"/>
    </row>
    <row r="488" spans="1:12" s="103" customFormat="1" ht="15.75" hidden="1" customHeight="1" outlineLevel="1">
      <c r="A488" s="916"/>
      <c r="B488" s="1123"/>
      <c r="C488" s="1127"/>
      <c r="D488" s="1125"/>
      <c r="E488" s="1125"/>
      <c r="F488" s="1130"/>
      <c r="G488" s="95"/>
      <c r="H488" s="823"/>
      <c r="I488" s="1125"/>
      <c r="J488" s="1134"/>
      <c r="K488" s="1134"/>
      <c r="L488" s="916"/>
    </row>
    <row r="489" spans="1:12" s="103" customFormat="1" ht="15.75" hidden="1" customHeight="1" outlineLevel="1">
      <c r="A489" s="916"/>
      <c r="B489" s="1124"/>
      <c r="C489" s="1128"/>
      <c r="D489" s="1126"/>
      <c r="E489" s="1126"/>
      <c r="F489" s="1132"/>
      <c r="G489" s="100"/>
      <c r="H489" s="824"/>
      <c r="I489" s="1126"/>
      <c r="J489" s="1135"/>
      <c r="K489" s="1135"/>
      <c r="L489" s="916"/>
    </row>
    <row r="490" spans="1:12" s="103" customFormat="1" ht="15.75" hidden="1" customHeight="1" outlineLevel="1">
      <c r="A490" s="916"/>
      <c r="B490" s="1123">
        <v>160</v>
      </c>
      <c r="C490" s="1127"/>
      <c r="D490" s="1125"/>
      <c r="E490" s="1125" t="s">
        <v>18</v>
      </c>
      <c r="F490" s="1130" t="str">
        <f>VLOOKUP(E490,$N$13:$O$17,2,0)</f>
        <v>-</v>
      </c>
      <c r="G490" s="92"/>
      <c r="H490" s="823"/>
      <c r="I490" s="1125"/>
      <c r="J490" s="1133"/>
      <c r="K490" s="1133"/>
      <c r="L490" s="916"/>
    </row>
    <row r="491" spans="1:12" s="103" customFormat="1" ht="15.75" hidden="1" customHeight="1" outlineLevel="1">
      <c r="A491" s="916"/>
      <c r="B491" s="1123"/>
      <c r="C491" s="1127"/>
      <c r="D491" s="1125"/>
      <c r="E491" s="1125"/>
      <c r="F491" s="1130"/>
      <c r="G491" s="95"/>
      <c r="H491" s="823"/>
      <c r="I491" s="1125"/>
      <c r="J491" s="1134"/>
      <c r="K491" s="1134"/>
      <c r="L491" s="916"/>
    </row>
    <row r="492" spans="1:12" s="103" customFormat="1" ht="15.75" hidden="1" customHeight="1" outlineLevel="1">
      <c r="A492" s="916"/>
      <c r="B492" s="1124"/>
      <c r="C492" s="1128"/>
      <c r="D492" s="1126"/>
      <c r="E492" s="1126"/>
      <c r="F492" s="1132"/>
      <c r="G492" s="100"/>
      <c r="H492" s="824"/>
      <c r="I492" s="1126"/>
      <c r="J492" s="1135"/>
      <c r="K492" s="1135"/>
      <c r="L492" s="916"/>
    </row>
    <row r="493" spans="1:12" s="103" customFormat="1" ht="15.75" hidden="1" customHeight="1" outlineLevel="1">
      <c r="A493" s="916"/>
      <c r="B493" s="1123">
        <v>161</v>
      </c>
      <c r="C493" s="1127"/>
      <c r="D493" s="1125"/>
      <c r="E493" s="1125" t="s">
        <v>18</v>
      </c>
      <c r="F493" s="1130" t="str">
        <f>VLOOKUP(E493,$N$13:$O$17,2,0)</f>
        <v>-</v>
      </c>
      <c r="G493" s="92"/>
      <c r="H493" s="823"/>
      <c r="I493" s="1125"/>
      <c r="J493" s="1133"/>
      <c r="K493" s="1133"/>
      <c r="L493" s="916"/>
    </row>
    <row r="494" spans="1:12" s="103" customFormat="1" ht="15.75" hidden="1" customHeight="1" outlineLevel="1">
      <c r="A494" s="916"/>
      <c r="B494" s="1123"/>
      <c r="C494" s="1127"/>
      <c r="D494" s="1125"/>
      <c r="E494" s="1125"/>
      <c r="F494" s="1130"/>
      <c r="G494" s="95"/>
      <c r="H494" s="823"/>
      <c r="I494" s="1125"/>
      <c r="J494" s="1134"/>
      <c r="K494" s="1134"/>
      <c r="L494" s="916"/>
    </row>
    <row r="495" spans="1:12" s="103" customFormat="1" ht="15.75" hidden="1" customHeight="1" outlineLevel="1">
      <c r="A495" s="916"/>
      <c r="B495" s="1124"/>
      <c r="C495" s="1128"/>
      <c r="D495" s="1126"/>
      <c r="E495" s="1126"/>
      <c r="F495" s="1132"/>
      <c r="G495" s="100"/>
      <c r="H495" s="824"/>
      <c r="I495" s="1126"/>
      <c r="J495" s="1135"/>
      <c r="K495" s="1135"/>
      <c r="L495" s="916"/>
    </row>
    <row r="496" spans="1:12" s="103" customFormat="1" ht="15.75" hidden="1" customHeight="1" outlineLevel="1">
      <c r="A496" s="916"/>
      <c r="B496" s="1123">
        <v>162</v>
      </c>
      <c r="C496" s="1127"/>
      <c r="D496" s="1125"/>
      <c r="E496" s="1125" t="s">
        <v>18</v>
      </c>
      <c r="F496" s="1130" t="str">
        <f>VLOOKUP(E496,$N$13:$O$17,2,0)</f>
        <v>-</v>
      </c>
      <c r="G496" s="92"/>
      <c r="H496" s="823"/>
      <c r="I496" s="1125"/>
      <c r="J496" s="1133"/>
      <c r="K496" s="1133"/>
      <c r="L496" s="916"/>
    </row>
    <row r="497" spans="1:12" s="103" customFormat="1" ht="15.75" hidden="1" customHeight="1" outlineLevel="1">
      <c r="A497" s="916"/>
      <c r="B497" s="1123"/>
      <c r="C497" s="1127"/>
      <c r="D497" s="1125"/>
      <c r="E497" s="1125"/>
      <c r="F497" s="1130"/>
      <c r="G497" s="95"/>
      <c r="H497" s="823"/>
      <c r="I497" s="1125"/>
      <c r="J497" s="1134"/>
      <c r="K497" s="1134"/>
      <c r="L497" s="916"/>
    </row>
    <row r="498" spans="1:12" s="103" customFormat="1" ht="15.75" hidden="1" customHeight="1" outlineLevel="1">
      <c r="A498" s="916"/>
      <c r="B498" s="1124"/>
      <c r="C498" s="1128"/>
      <c r="D498" s="1126"/>
      <c r="E498" s="1126"/>
      <c r="F498" s="1132"/>
      <c r="G498" s="100"/>
      <c r="H498" s="824"/>
      <c r="I498" s="1126"/>
      <c r="J498" s="1135"/>
      <c r="K498" s="1135"/>
      <c r="L498" s="916"/>
    </row>
    <row r="499" spans="1:12" s="103" customFormat="1" ht="15.75" hidden="1" customHeight="1" outlineLevel="1">
      <c r="A499" s="916"/>
      <c r="B499" s="1123">
        <v>163</v>
      </c>
      <c r="C499" s="1127"/>
      <c r="D499" s="1125"/>
      <c r="E499" s="1125" t="s">
        <v>18</v>
      </c>
      <c r="F499" s="1130" t="str">
        <f>VLOOKUP(E499,$N$13:$O$17,2,0)</f>
        <v>-</v>
      </c>
      <c r="G499" s="92"/>
      <c r="H499" s="823"/>
      <c r="I499" s="1125"/>
      <c r="J499" s="1133"/>
      <c r="K499" s="1133"/>
      <c r="L499" s="916"/>
    </row>
    <row r="500" spans="1:12" s="103" customFormat="1" ht="15.75" hidden="1" customHeight="1" outlineLevel="1">
      <c r="A500" s="916"/>
      <c r="B500" s="1123"/>
      <c r="C500" s="1127"/>
      <c r="D500" s="1125"/>
      <c r="E500" s="1125"/>
      <c r="F500" s="1130"/>
      <c r="G500" s="95"/>
      <c r="H500" s="823"/>
      <c r="I500" s="1125"/>
      <c r="J500" s="1134"/>
      <c r="K500" s="1134"/>
      <c r="L500" s="916"/>
    </row>
    <row r="501" spans="1:12" s="103" customFormat="1" ht="15.75" hidden="1" customHeight="1" outlineLevel="1">
      <c r="A501" s="916"/>
      <c r="B501" s="1124"/>
      <c r="C501" s="1128"/>
      <c r="D501" s="1126"/>
      <c r="E501" s="1126"/>
      <c r="F501" s="1132"/>
      <c r="G501" s="100"/>
      <c r="H501" s="824"/>
      <c r="I501" s="1126"/>
      <c r="J501" s="1135"/>
      <c r="K501" s="1135"/>
      <c r="L501" s="916"/>
    </row>
    <row r="502" spans="1:12" s="103" customFormat="1" ht="15.75" hidden="1" customHeight="1" outlineLevel="1">
      <c r="A502" s="916"/>
      <c r="B502" s="1123">
        <v>164</v>
      </c>
      <c r="C502" s="1127"/>
      <c r="D502" s="1125"/>
      <c r="E502" s="1125" t="s">
        <v>18</v>
      </c>
      <c r="F502" s="1130" t="str">
        <f>VLOOKUP(E502,$N$13:$O$17,2,0)</f>
        <v>-</v>
      </c>
      <c r="G502" s="92"/>
      <c r="H502" s="823"/>
      <c r="I502" s="1125"/>
      <c r="J502" s="1133"/>
      <c r="K502" s="1133"/>
      <c r="L502" s="916"/>
    </row>
    <row r="503" spans="1:12" s="103" customFormat="1" ht="15.75" hidden="1" customHeight="1" outlineLevel="1">
      <c r="A503" s="916"/>
      <c r="B503" s="1123"/>
      <c r="C503" s="1127"/>
      <c r="D503" s="1125"/>
      <c r="E503" s="1125"/>
      <c r="F503" s="1130"/>
      <c r="G503" s="95"/>
      <c r="H503" s="823"/>
      <c r="I503" s="1125"/>
      <c r="J503" s="1134"/>
      <c r="K503" s="1134"/>
      <c r="L503" s="916"/>
    </row>
    <row r="504" spans="1:12" s="103" customFormat="1" ht="15.75" hidden="1" customHeight="1" outlineLevel="1">
      <c r="A504" s="916"/>
      <c r="B504" s="1124"/>
      <c r="C504" s="1128"/>
      <c r="D504" s="1126"/>
      <c r="E504" s="1126"/>
      <c r="F504" s="1132"/>
      <c r="G504" s="100"/>
      <c r="H504" s="824"/>
      <c r="I504" s="1126"/>
      <c r="J504" s="1135"/>
      <c r="K504" s="1135"/>
      <c r="L504" s="916"/>
    </row>
    <row r="505" spans="1:12" s="103" customFormat="1" ht="15.75" hidden="1" customHeight="1" outlineLevel="1">
      <c r="A505" s="916"/>
      <c r="B505" s="1123">
        <v>165</v>
      </c>
      <c r="C505" s="1127"/>
      <c r="D505" s="1125"/>
      <c r="E505" s="1125" t="s">
        <v>18</v>
      </c>
      <c r="F505" s="1130" t="str">
        <f>VLOOKUP(E505,$N$13:$O$17,2,0)</f>
        <v>-</v>
      </c>
      <c r="G505" s="92"/>
      <c r="H505" s="823"/>
      <c r="I505" s="1125"/>
      <c r="J505" s="1133"/>
      <c r="K505" s="1133"/>
      <c r="L505" s="916"/>
    </row>
    <row r="506" spans="1:12" s="103" customFormat="1" ht="15.75" hidden="1" customHeight="1" outlineLevel="1">
      <c r="A506" s="916"/>
      <c r="B506" s="1123"/>
      <c r="C506" s="1127"/>
      <c r="D506" s="1125"/>
      <c r="E506" s="1125"/>
      <c r="F506" s="1130"/>
      <c r="G506" s="95"/>
      <c r="H506" s="823"/>
      <c r="I506" s="1125"/>
      <c r="J506" s="1134"/>
      <c r="K506" s="1134"/>
      <c r="L506" s="916"/>
    </row>
    <row r="507" spans="1:12" s="103" customFormat="1" ht="15.75" hidden="1" customHeight="1" outlineLevel="1">
      <c r="A507" s="916"/>
      <c r="B507" s="1124"/>
      <c r="C507" s="1128"/>
      <c r="D507" s="1126"/>
      <c r="E507" s="1126"/>
      <c r="F507" s="1132"/>
      <c r="G507" s="100"/>
      <c r="H507" s="824"/>
      <c r="I507" s="1126"/>
      <c r="J507" s="1135"/>
      <c r="K507" s="1135"/>
      <c r="L507" s="916"/>
    </row>
    <row r="508" spans="1:12" s="103" customFormat="1" ht="15.75" hidden="1" customHeight="1" outlineLevel="1">
      <c r="A508" s="916"/>
      <c r="B508" s="1123">
        <v>166</v>
      </c>
      <c r="C508" s="1127"/>
      <c r="D508" s="1125"/>
      <c r="E508" s="1125" t="s">
        <v>18</v>
      </c>
      <c r="F508" s="1130" t="str">
        <f>VLOOKUP(E508,$N$13:$O$17,2,0)</f>
        <v>-</v>
      </c>
      <c r="G508" s="92"/>
      <c r="H508" s="823"/>
      <c r="I508" s="1125"/>
      <c r="J508" s="1133"/>
      <c r="K508" s="1133"/>
      <c r="L508" s="916"/>
    </row>
    <row r="509" spans="1:12" s="103" customFormat="1" ht="15.75" hidden="1" customHeight="1" outlineLevel="1">
      <c r="A509" s="916"/>
      <c r="B509" s="1123"/>
      <c r="C509" s="1127"/>
      <c r="D509" s="1125"/>
      <c r="E509" s="1125"/>
      <c r="F509" s="1130"/>
      <c r="G509" s="95"/>
      <c r="H509" s="823"/>
      <c r="I509" s="1125"/>
      <c r="J509" s="1134"/>
      <c r="K509" s="1134"/>
      <c r="L509" s="916"/>
    </row>
    <row r="510" spans="1:12" s="103" customFormat="1" ht="15.75" hidden="1" customHeight="1" outlineLevel="1">
      <c r="A510" s="916"/>
      <c r="B510" s="1124"/>
      <c r="C510" s="1128"/>
      <c r="D510" s="1126"/>
      <c r="E510" s="1126"/>
      <c r="F510" s="1132"/>
      <c r="G510" s="100"/>
      <c r="H510" s="824"/>
      <c r="I510" s="1126"/>
      <c r="J510" s="1135"/>
      <c r="K510" s="1135"/>
      <c r="L510" s="916"/>
    </row>
    <row r="511" spans="1:12" s="103" customFormat="1" ht="15.75" hidden="1" customHeight="1" outlineLevel="1">
      <c r="A511" s="916"/>
      <c r="B511" s="1123">
        <v>167</v>
      </c>
      <c r="C511" s="1127"/>
      <c r="D511" s="1125"/>
      <c r="E511" s="1125" t="s">
        <v>18</v>
      </c>
      <c r="F511" s="1130" t="str">
        <f>VLOOKUP(E511,$N$13:$O$17,2,0)</f>
        <v>-</v>
      </c>
      <c r="G511" s="92"/>
      <c r="H511" s="823"/>
      <c r="I511" s="1125"/>
      <c r="J511" s="1133"/>
      <c r="K511" s="1133"/>
      <c r="L511" s="916"/>
    </row>
    <row r="512" spans="1:12" s="103" customFormat="1" ht="15.75" hidden="1" customHeight="1" outlineLevel="1">
      <c r="A512" s="916"/>
      <c r="B512" s="1123"/>
      <c r="C512" s="1127"/>
      <c r="D512" s="1125"/>
      <c r="E512" s="1125"/>
      <c r="F512" s="1130"/>
      <c r="G512" s="95"/>
      <c r="H512" s="823"/>
      <c r="I512" s="1125"/>
      <c r="J512" s="1134"/>
      <c r="K512" s="1134"/>
      <c r="L512" s="916"/>
    </row>
    <row r="513" spans="1:12" s="103" customFormat="1" ht="15.75" hidden="1" customHeight="1" outlineLevel="1">
      <c r="A513" s="916"/>
      <c r="B513" s="1124"/>
      <c r="C513" s="1128"/>
      <c r="D513" s="1126"/>
      <c r="E513" s="1126"/>
      <c r="F513" s="1132"/>
      <c r="G513" s="100"/>
      <c r="H513" s="824"/>
      <c r="I513" s="1126"/>
      <c r="J513" s="1135"/>
      <c r="K513" s="1135"/>
      <c r="L513" s="916"/>
    </row>
    <row r="514" spans="1:12" s="103" customFormat="1" ht="15.75" hidden="1" customHeight="1" outlineLevel="1">
      <c r="A514" s="916"/>
      <c r="B514" s="1123">
        <v>168</v>
      </c>
      <c r="C514" s="1127"/>
      <c r="D514" s="1125"/>
      <c r="E514" s="1125" t="s">
        <v>18</v>
      </c>
      <c r="F514" s="1130" t="str">
        <f>VLOOKUP(E514,$N$13:$O$17,2,0)</f>
        <v>-</v>
      </c>
      <c r="G514" s="92"/>
      <c r="H514" s="823"/>
      <c r="I514" s="1125"/>
      <c r="J514" s="1133"/>
      <c r="K514" s="1133"/>
      <c r="L514" s="916"/>
    </row>
    <row r="515" spans="1:12" s="103" customFormat="1" ht="15.75" hidden="1" customHeight="1" outlineLevel="1">
      <c r="A515" s="916"/>
      <c r="B515" s="1123"/>
      <c r="C515" s="1127"/>
      <c r="D515" s="1125"/>
      <c r="E515" s="1125"/>
      <c r="F515" s="1130"/>
      <c r="G515" s="95"/>
      <c r="H515" s="823"/>
      <c r="I515" s="1125"/>
      <c r="J515" s="1134"/>
      <c r="K515" s="1134"/>
      <c r="L515" s="916"/>
    </row>
    <row r="516" spans="1:12" s="103" customFormat="1" ht="15.75" hidden="1" customHeight="1" outlineLevel="1">
      <c r="A516" s="916"/>
      <c r="B516" s="1124"/>
      <c r="C516" s="1128"/>
      <c r="D516" s="1126"/>
      <c r="E516" s="1126"/>
      <c r="F516" s="1132"/>
      <c r="G516" s="100"/>
      <c r="H516" s="824"/>
      <c r="I516" s="1126"/>
      <c r="J516" s="1135"/>
      <c r="K516" s="1135"/>
      <c r="L516" s="916"/>
    </row>
    <row r="517" spans="1:12" s="103" customFormat="1" ht="15.75" hidden="1" customHeight="1" outlineLevel="1">
      <c r="A517" s="916"/>
      <c r="B517" s="1123">
        <v>169</v>
      </c>
      <c r="C517" s="1127"/>
      <c r="D517" s="1125"/>
      <c r="E517" s="1125" t="s">
        <v>18</v>
      </c>
      <c r="F517" s="1130" t="str">
        <f>VLOOKUP(E517,$N$13:$O$17,2,0)</f>
        <v>-</v>
      </c>
      <c r="G517" s="92"/>
      <c r="H517" s="823"/>
      <c r="I517" s="1125"/>
      <c r="J517" s="1133"/>
      <c r="K517" s="1133"/>
      <c r="L517" s="916"/>
    </row>
    <row r="518" spans="1:12" s="103" customFormat="1" ht="15.75" hidden="1" customHeight="1" outlineLevel="1">
      <c r="A518" s="916"/>
      <c r="B518" s="1123"/>
      <c r="C518" s="1127"/>
      <c r="D518" s="1125"/>
      <c r="E518" s="1125"/>
      <c r="F518" s="1130"/>
      <c r="G518" s="95"/>
      <c r="H518" s="823"/>
      <c r="I518" s="1125"/>
      <c r="J518" s="1134"/>
      <c r="K518" s="1134"/>
      <c r="L518" s="916"/>
    </row>
    <row r="519" spans="1:12" s="103" customFormat="1" ht="15.75" hidden="1" customHeight="1" outlineLevel="1">
      <c r="A519" s="916"/>
      <c r="B519" s="1124"/>
      <c r="C519" s="1128"/>
      <c r="D519" s="1126"/>
      <c r="E519" s="1126"/>
      <c r="F519" s="1132"/>
      <c r="G519" s="100"/>
      <c r="H519" s="824"/>
      <c r="I519" s="1126"/>
      <c r="J519" s="1135"/>
      <c r="K519" s="1135"/>
      <c r="L519" s="916"/>
    </row>
    <row r="520" spans="1:12" s="103" customFormat="1" ht="15.75" hidden="1" customHeight="1" outlineLevel="1">
      <c r="A520" s="916"/>
      <c r="B520" s="1123">
        <v>170</v>
      </c>
      <c r="C520" s="1127"/>
      <c r="D520" s="1125"/>
      <c r="E520" s="1125" t="s">
        <v>18</v>
      </c>
      <c r="F520" s="1130" t="str">
        <f>VLOOKUP(E520,$N$13:$O$17,2,0)</f>
        <v>-</v>
      </c>
      <c r="G520" s="92"/>
      <c r="H520" s="823"/>
      <c r="I520" s="1125"/>
      <c r="J520" s="1133"/>
      <c r="K520" s="1133"/>
      <c r="L520" s="916"/>
    </row>
    <row r="521" spans="1:12" s="103" customFormat="1" ht="15.75" hidden="1" customHeight="1" outlineLevel="1">
      <c r="A521" s="916"/>
      <c r="B521" s="1123"/>
      <c r="C521" s="1127"/>
      <c r="D521" s="1125"/>
      <c r="E521" s="1125"/>
      <c r="F521" s="1130"/>
      <c r="G521" s="95"/>
      <c r="H521" s="823"/>
      <c r="I521" s="1125"/>
      <c r="J521" s="1134"/>
      <c r="K521" s="1134"/>
      <c r="L521" s="916"/>
    </row>
    <row r="522" spans="1:12" s="103" customFormat="1" ht="15.75" hidden="1" customHeight="1" outlineLevel="1">
      <c r="A522" s="916"/>
      <c r="B522" s="1124"/>
      <c r="C522" s="1128"/>
      <c r="D522" s="1126"/>
      <c r="E522" s="1126"/>
      <c r="F522" s="1132"/>
      <c r="G522" s="100"/>
      <c r="H522" s="824"/>
      <c r="I522" s="1126"/>
      <c r="J522" s="1135"/>
      <c r="K522" s="1135"/>
      <c r="L522" s="916"/>
    </row>
    <row r="523" spans="1:12" s="103" customFormat="1" ht="15.75" hidden="1" customHeight="1" outlineLevel="1">
      <c r="A523" s="916"/>
      <c r="B523" s="1123">
        <v>171</v>
      </c>
      <c r="C523" s="1127"/>
      <c r="D523" s="1125"/>
      <c r="E523" s="1125" t="s">
        <v>18</v>
      </c>
      <c r="F523" s="1130" t="str">
        <f>VLOOKUP(E523,$N$13:$O$17,2,0)</f>
        <v>-</v>
      </c>
      <c r="G523" s="92"/>
      <c r="H523" s="823"/>
      <c r="I523" s="1125"/>
      <c r="J523" s="1133"/>
      <c r="K523" s="1133"/>
      <c r="L523" s="916"/>
    </row>
    <row r="524" spans="1:12" s="103" customFormat="1" ht="15.75" hidden="1" customHeight="1" outlineLevel="1">
      <c r="A524" s="916"/>
      <c r="B524" s="1123"/>
      <c r="C524" s="1127"/>
      <c r="D524" s="1125"/>
      <c r="E524" s="1125"/>
      <c r="F524" s="1130"/>
      <c r="G524" s="95"/>
      <c r="H524" s="823"/>
      <c r="I524" s="1125"/>
      <c r="J524" s="1134"/>
      <c r="K524" s="1134"/>
      <c r="L524" s="916"/>
    </row>
    <row r="525" spans="1:12" s="103" customFormat="1" ht="15.75" hidden="1" customHeight="1" outlineLevel="1">
      <c r="A525" s="916"/>
      <c r="B525" s="1124"/>
      <c r="C525" s="1128"/>
      <c r="D525" s="1126"/>
      <c r="E525" s="1126"/>
      <c r="F525" s="1132"/>
      <c r="G525" s="100"/>
      <c r="H525" s="824"/>
      <c r="I525" s="1126"/>
      <c r="J525" s="1135"/>
      <c r="K525" s="1135"/>
      <c r="L525" s="916"/>
    </row>
    <row r="526" spans="1:12" s="103" customFormat="1" ht="15.75" hidden="1" customHeight="1" outlineLevel="1">
      <c r="A526" s="916"/>
      <c r="B526" s="1123">
        <v>172</v>
      </c>
      <c r="C526" s="1127"/>
      <c r="D526" s="1125"/>
      <c r="E526" s="1125" t="s">
        <v>18</v>
      </c>
      <c r="F526" s="1130" t="str">
        <f>VLOOKUP(E526,$N$13:$O$17,2,0)</f>
        <v>-</v>
      </c>
      <c r="G526" s="92"/>
      <c r="H526" s="823"/>
      <c r="I526" s="1125"/>
      <c r="J526" s="1133"/>
      <c r="K526" s="1133"/>
      <c r="L526" s="916"/>
    </row>
    <row r="527" spans="1:12" s="103" customFormat="1" ht="15.75" hidden="1" customHeight="1" outlineLevel="1">
      <c r="A527" s="916"/>
      <c r="B527" s="1123"/>
      <c r="C527" s="1127"/>
      <c r="D527" s="1125"/>
      <c r="E527" s="1125"/>
      <c r="F527" s="1130"/>
      <c r="G527" s="95"/>
      <c r="H527" s="823"/>
      <c r="I527" s="1125"/>
      <c r="J527" s="1134"/>
      <c r="K527" s="1134"/>
      <c r="L527" s="916"/>
    </row>
    <row r="528" spans="1:12" s="103" customFormat="1" ht="15.75" hidden="1" customHeight="1" outlineLevel="1">
      <c r="A528" s="916"/>
      <c r="B528" s="1124"/>
      <c r="C528" s="1128"/>
      <c r="D528" s="1126"/>
      <c r="E528" s="1126"/>
      <c r="F528" s="1132"/>
      <c r="G528" s="100"/>
      <c r="H528" s="824"/>
      <c r="I528" s="1126"/>
      <c r="J528" s="1135"/>
      <c r="K528" s="1135"/>
      <c r="L528" s="916"/>
    </row>
    <row r="529" spans="1:12" s="103" customFormat="1" ht="15.75" hidden="1" customHeight="1" outlineLevel="1">
      <c r="A529" s="916"/>
      <c r="B529" s="1123">
        <v>173</v>
      </c>
      <c r="C529" s="1127"/>
      <c r="D529" s="1125"/>
      <c r="E529" s="1125" t="s">
        <v>18</v>
      </c>
      <c r="F529" s="1130" t="str">
        <f>VLOOKUP(E529,$N$13:$O$17,2,0)</f>
        <v>-</v>
      </c>
      <c r="G529" s="92"/>
      <c r="H529" s="823"/>
      <c r="I529" s="1125"/>
      <c r="J529" s="1133"/>
      <c r="K529" s="1133"/>
      <c r="L529" s="916"/>
    </row>
    <row r="530" spans="1:12" s="103" customFormat="1" ht="15.75" hidden="1" customHeight="1" outlineLevel="1">
      <c r="A530" s="916"/>
      <c r="B530" s="1123"/>
      <c r="C530" s="1127"/>
      <c r="D530" s="1125"/>
      <c r="E530" s="1125"/>
      <c r="F530" s="1130"/>
      <c r="G530" s="95"/>
      <c r="H530" s="823"/>
      <c r="I530" s="1125"/>
      <c r="J530" s="1134"/>
      <c r="K530" s="1134"/>
      <c r="L530" s="916"/>
    </row>
    <row r="531" spans="1:12" s="103" customFormat="1" ht="15.75" hidden="1" customHeight="1" outlineLevel="1">
      <c r="A531" s="916"/>
      <c r="B531" s="1124"/>
      <c r="C531" s="1128"/>
      <c r="D531" s="1126"/>
      <c r="E531" s="1126"/>
      <c r="F531" s="1132"/>
      <c r="G531" s="100"/>
      <c r="H531" s="824"/>
      <c r="I531" s="1126"/>
      <c r="J531" s="1135"/>
      <c r="K531" s="1135"/>
      <c r="L531" s="916"/>
    </row>
    <row r="532" spans="1:12" s="103" customFormat="1" ht="15.75" hidden="1" customHeight="1" outlineLevel="1">
      <c r="A532" s="916"/>
      <c r="B532" s="1123">
        <v>174</v>
      </c>
      <c r="C532" s="1127"/>
      <c r="D532" s="1125"/>
      <c r="E532" s="1125" t="s">
        <v>18</v>
      </c>
      <c r="F532" s="1130" t="str">
        <f>VLOOKUP(E532,$N$13:$O$17,2,0)</f>
        <v>-</v>
      </c>
      <c r="G532" s="92"/>
      <c r="H532" s="823"/>
      <c r="I532" s="1125"/>
      <c r="J532" s="1133"/>
      <c r="K532" s="1133"/>
      <c r="L532" s="916"/>
    </row>
    <row r="533" spans="1:12" s="103" customFormat="1" ht="15.75" hidden="1" customHeight="1" outlineLevel="1">
      <c r="A533" s="916"/>
      <c r="B533" s="1123"/>
      <c r="C533" s="1127"/>
      <c r="D533" s="1125"/>
      <c r="E533" s="1125"/>
      <c r="F533" s="1130"/>
      <c r="G533" s="95"/>
      <c r="H533" s="823"/>
      <c r="I533" s="1125"/>
      <c r="J533" s="1134"/>
      <c r="K533" s="1134"/>
      <c r="L533" s="916"/>
    </row>
    <row r="534" spans="1:12" s="103" customFormat="1" ht="15.75" hidden="1" customHeight="1" outlineLevel="1">
      <c r="A534" s="916"/>
      <c r="B534" s="1124"/>
      <c r="C534" s="1128"/>
      <c r="D534" s="1126"/>
      <c r="E534" s="1126"/>
      <c r="F534" s="1132"/>
      <c r="G534" s="100"/>
      <c r="H534" s="824"/>
      <c r="I534" s="1126"/>
      <c r="J534" s="1135"/>
      <c r="K534" s="1135"/>
      <c r="L534" s="916"/>
    </row>
    <row r="535" spans="1:12" s="103" customFormat="1" ht="15.75" hidden="1" customHeight="1" outlineLevel="1">
      <c r="A535" s="916"/>
      <c r="B535" s="1123">
        <v>175</v>
      </c>
      <c r="C535" s="1127"/>
      <c r="D535" s="1125"/>
      <c r="E535" s="1125" t="s">
        <v>18</v>
      </c>
      <c r="F535" s="1130" t="str">
        <f>VLOOKUP(E535,$N$13:$O$17,2,0)</f>
        <v>-</v>
      </c>
      <c r="G535" s="92"/>
      <c r="H535" s="823"/>
      <c r="I535" s="1125"/>
      <c r="J535" s="1133"/>
      <c r="K535" s="1133"/>
      <c r="L535" s="916"/>
    </row>
    <row r="536" spans="1:12" s="103" customFormat="1" ht="15.75" hidden="1" customHeight="1" outlineLevel="1">
      <c r="A536" s="916"/>
      <c r="B536" s="1123"/>
      <c r="C536" s="1127"/>
      <c r="D536" s="1125"/>
      <c r="E536" s="1125"/>
      <c r="F536" s="1130"/>
      <c r="G536" s="95"/>
      <c r="H536" s="823"/>
      <c r="I536" s="1125"/>
      <c r="J536" s="1134"/>
      <c r="K536" s="1134"/>
      <c r="L536" s="916"/>
    </row>
    <row r="537" spans="1:12" s="103" customFormat="1" ht="15.75" hidden="1" customHeight="1" outlineLevel="1">
      <c r="A537" s="916"/>
      <c r="B537" s="1124"/>
      <c r="C537" s="1128"/>
      <c r="D537" s="1126"/>
      <c r="E537" s="1126"/>
      <c r="F537" s="1132"/>
      <c r="G537" s="100"/>
      <c r="H537" s="824"/>
      <c r="I537" s="1126"/>
      <c r="J537" s="1135"/>
      <c r="K537" s="1135"/>
      <c r="L537" s="916"/>
    </row>
    <row r="538" spans="1:12" s="103" customFormat="1" ht="15.75" hidden="1" customHeight="1" outlineLevel="1">
      <c r="A538" s="916"/>
      <c r="B538" s="1123">
        <v>176</v>
      </c>
      <c r="C538" s="1127"/>
      <c r="D538" s="1125"/>
      <c r="E538" s="1125" t="s">
        <v>18</v>
      </c>
      <c r="F538" s="1130" t="str">
        <f>VLOOKUP(E538,$N$13:$O$17,2,0)</f>
        <v>-</v>
      </c>
      <c r="G538" s="92"/>
      <c r="H538" s="823"/>
      <c r="I538" s="1125"/>
      <c r="J538" s="1133"/>
      <c r="K538" s="1133"/>
      <c r="L538" s="916"/>
    </row>
    <row r="539" spans="1:12" s="103" customFormat="1" ht="15.75" hidden="1" customHeight="1" outlineLevel="1">
      <c r="A539" s="916"/>
      <c r="B539" s="1123"/>
      <c r="C539" s="1127"/>
      <c r="D539" s="1125"/>
      <c r="E539" s="1125"/>
      <c r="F539" s="1130"/>
      <c r="G539" s="95"/>
      <c r="H539" s="823"/>
      <c r="I539" s="1125"/>
      <c r="J539" s="1134"/>
      <c r="K539" s="1134"/>
      <c r="L539" s="916"/>
    </row>
    <row r="540" spans="1:12" s="103" customFormat="1" ht="15.75" hidden="1" customHeight="1" outlineLevel="1">
      <c r="A540" s="916"/>
      <c r="B540" s="1124"/>
      <c r="C540" s="1128"/>
      <c r="D540" s="1126"/>
      <c r="E540" s="1126"/>
      <c r="F540" s="1132"/>
      <c r="G540" s="100"/>
      <c r="H540" s="824"/>
      <c r="I540" s="1126"/>
      <c r="J540" s="1135"/>
      <c r="K540" s="1135"/>
      <c r="L540" s="916"/>
    </row>
    <row r="541" spans="1:12" s="103" customFormat="1" ht="15.75" hidden="1" customHeight="1" outlineLevel="1">
      <c r="A541" s="916"/>
      <c r="B541" s="1123">
        <v>177</v>
      </c>
      <c r="C541" s="1127"/>
      <c r="D541" s="1125"/>
      <c r="E541" s="1125" t="s">
        <v>18</v>
      </c>
      <c r="F541" s="1130" t="str">
        <f>VLOOKUP(E541,$N$13:$O$17,2,0)</f>
        <v>-</v>
      </c>
      <c r="G541" s="92"/>
      <c r="H541" s="823"/>
      <c r="I541" s="1125"/>
      <c r="J541" s="1133"/>
      <c r="K541" s="1133"/>
      <c r="L541" s="916"/>
    </row>
    <row r="542" spans="1:12" s="103" customFormat="1" ht="15.75" hidden="1" customHeight="1" outlineLevel="1">
      <c r="A542" s="916"/>
      <c r="B542" s="1123"/>
      <c r="C542" s="1127"/>
      <c r="D542" s="1125"/>
      <c r="E542" s="1125"/>
      <c r="F542" s="1130"/>
      <c r="G542" s="95"/>
      <c r="H542" s="823"/>
      <c r="I542" s="1125"/>
      <c r="J542" s="1134"/>
      <c r="K542" s="1134"/>
      <c r="L542" s="916"/>
    </row>
    <row r="543" spans="1:12" s="103" customFormat="1" ht="15.75" hidden="1" customHeight="1" outlineLevel="1">
      <c r="A543" s="916"/>
      <c r="B543" s="1124"/>
      <c r="C543" s="1128"/>
      <c r="D543" s="1126"/>
      <c r="E543" s="1126"/>
      <c r="F543" s="1132"/>
      <c r="G543" s="100"/>
      <c r="H543" s="824"/>
      <c r="I543" s="1126"/>
      <c r="J543" s="1135"/>
      <c r="K543" s="1135"/>
      <c r="L543" s="916"/>
    </row>
    <row r="544" spans="1:12" s="103" customFormat="1" ht="15.75" hidden="1" customHeight="1" outlineLevel="1">
      <c r="A544" s="916"/>
      <c r="B544" s="1123">
        <v>178</v>
      </c>
      <c r="C544" s="1127"/>
      <c r="D544" s="1125"/>
      <c r="E544" s="1125" t="s">
        <v>18</v>
      </c>
      <c r="F544" s="1130" t="str">
        <f>VLOOKUP(E544,$N$13:$O$17,2,0)</f>
        <v>-</v>
      </c>
      <c r="G544" s="92"/>
      <c r="H544" s="823"/>
      <c r="I544" s="1125"/>
      <c r="J544" s="1133"/>
      <c r="K544" s="1133"/>
      <c r="L544" s="916"/>
    </row>
    <row r="545" spans="1:12" s="103" customFormat="1" ht="15.75" hidden="1" customHeight="1" outlineLevel="1">
      <c r="A545" s="916"/>
      <c r="B545" s="1123"/>
      <c r="C545" s="1127"/>
      <c r="D545" s="1125"/>
      <c r="E545" s="1125"/>
      <c r="F545" s="1130"/>
      <c r="G545" s="95"/>
      <c r="H545" s="823"/>
      <c r="I545" s="1125"/>
      <c r="J545" s="1134"/>
      <c r="K545" s="1134"/>
      <c r="L545" s="916"/>
    </row>
    <row r="546" spans="1:12" s="103" customFormat="1" ht="15.75" hidden="1" customHeight="1" outlineLevel="1">
      <c r="A546" s="916"/>
      <c r="B546" s="1124"/>
      <c r="C546" s="1128"/>
      <c r="D546" s="1126"/>
      <c r="E546" s="1126"/>
      <c r="F546" s="1132"/>
      <c r="G546" s="100"/>
      <c r="H546" s="824"/>
      <c r="I546" s="1126"/>
      <c r="J546" s="1135"/>
      <c r="K546" s="1135"/>
      <c r="L546" s="916"/>
    </row>
    <row r="547" spans="1:12" s="103" customFormat="1" ht="15.75" hidden="1" customHeight="1" outlineLevel="1">
      <c r="A547" s="916"/>
      <c r="B547" s="1123">
        <v>179</v>
      </c>
      <c r="C547" s="1127"/>
      <c r="D547" s="1125"/>
      <c r="E547" s="1125" t="s">
        <v>18</v>
      </c>
      <c r="F547" s="1130" t="str">
        <f>VLOOKUP(E547,$N$13:$O$17,2,0)</f>
        <v>-</v>
      </c>
      <c r="G547" s="92"/>
      <c r="H547" s="823"/>
      <c r="I547" s="1125"/>
      <c r="J547" s="1133"/>
      <c r="K547" s="1133"/>
      <c r="L547" s="916"/>
    </row>
    <row r="548" spans="1:12" s="103" customFormat="1" ht="15.75" hidden="1" customHeight="1" outlineLevel="1">
      <c r="A548" s="916"/>
      <c r="B548" s="1123"/>
      <c r="C548" s="1127"/>
      <c r="D548" s="1125"/>
      <c r="E548" s="1125"/>
      <c r="F548" s="1130"/>
      <c r="G548" s="95"/>
      <c r="H548" s="823"/>
      <c r="I548" s="1125"/>
      <c r="J548" s="1134"/>
      <c r="K548" s="1134"/>
      <c r="L548" s="916"/>
    </row>
    <row r="549" spans="1:12" s="103" customFormat="1" ht="15.75" hidden="1" customHeight="1" outlineLevel="1">
      <c r="A549" s="916"/>
      <c r="B549" s="1124"/>
      <c r="C549" s="1128"/>
      <c r="D549" s="1126"/>
      <c r="E549" s="1126"/>
      <c r="F549" s="1132"/>
      <c r="G549" s="100"/>
      <c r="H549" s="824"/>
      <c r="I549" s="1126"/>
      <c r="J549" s="1135"/>
      <c r="K549" s="1135"/>
      <c r="L549" s="916"/>
    </row>
    <row r="550" spans="1:12" s="103" customFormat="1" ht="15.75" hidden="1" customHeight="1" outlineLevel="1">
      <c r="A550" s="916"/>
      <c r="B550" s="1123">
        <v>180</v>
      </c>
      <c r="C550" s="1127"/>
      <c r="D550" s="1125"/>
      <c r="E550" s="1125" t="s">
        <v>18</v>
      </c>
      <c r="F550" s="1130" t="str">
        <f>VLOOKUP(E550,$N$13:$O$17,2,0)</f>
        <v>-</v>
      </c>
      <c r="G550" s="92"/>
      <c r="H550" s="823"/>
      <c r="I550" s="1125"/>
      <c r="J550" s="1133"/>
      <c r="K550" s="1133"/>
      <c r="L550" s="916"/>
    </row>
    <row r="551" spans="1:12" s="103" customFormat="1" ht="15.75" hidden="1" customHeight="1" outlineLevel="1">
      <c r="A551" s="916"/>
      <c r="B551" s="1123"/>
      <c r="C551" s="1127"/>
      <c r="D551" s="1125"/>
      <c r="E551" s="1125"/>
      <c r="F551" s="1130"/>
      <c r="G551" s="95"/>
      <c r="H551" s="823"/>
      <c r="I551" s="1125"/>
      <c r="J551" s="1134"/>
      <c r="K551" s="1134"/>
      <c r="L551" s="916"/>
    </row>
    <row r="552" spans="1:12" s="103" customFormat="1" ht="15.75" hidden="1" customHeight="1" outlineLevel="1">
      <c r="A552" s="916"/>
      <c r="B552" s="1124"/>
      <c r="C552" s="1128"/>
      <c r="D552" s="1126"/>
      <c r="E552" s="1126"/>
      <c r="F552" s="1132"/>
      <c r="G552" s="100"/>
      <c r="H552" s="824"/>
      <c r="I552" s="1126"/>
      <c r="J552" s="1135"/>
      <c r="K552" s="1135"/>
      <c r="L552" s="916"/>
    </row>
    <row r="553" spans="1:12" s="103" customFormat="1" ht="15.75" hidden="1" customHeight="1" outlineLevel="1">
      <c r="A553" s="916"/>
      <c r="B553" s="1123">
        <v>181</v>
      </c>
      <c r="C553" s="1127"/>
      <c r="D553" s="1125"/>
      <c r="E553" s="1125" t="s">
        <v>18</v>
      </c>
      <c r="F553" s="1130" t="str">
        <f>VLOOKUP(E553,$N$13:$O$17,2,0)</f>
        <v>-</v>
      </c>
      <c r="G553" s="92"/>
      <c r="H553" s="823"/>
      <c r="I553" s="1125"/>
      <c r="J553" s="1133"/>
      <c r="K553" s="1133"/>
      <c r="L553" s="916"/>
    </row>
    <row r="554" spans="1:12" s="103" customFormat="1" ht="15.75" hidden="1" customHeight="1" outlineLevel="1">
      <c r="A554" s="916"/>
      <c r="B554" s="1123"/>
      <c r="C554" s="1127"/>
      <c r="D554" s="1125"/>
      <c r="E554" s="1125"/>
      <c r="F554" s="1130"/>
      <c r="G554" s="95"/>
      <c r="H554" s="823"/>
      <c r="I554" s="1125"/>
      <c r="J554" s="1134"/>
      <c r="K554" s="1134"/>
      <c r="L554" s="916"/>
    </row>
    <row r="555" spans="1:12" s="103" customFormat="1" ht="15.75" hidden="1" customHeight="1" outlineLevel="1">
      <c r="A555" s="916"/>
      <c r="B555" s="1124"/>
      <c r="C555" s="1128"/>
      <c r="D555" s="1126"/>
      <c r="E555" s="1126"/>
      <c r="F555" s="1132"/>
      <c r="G555" s="100"/>
      <c r="H555" s="824"/>
      <c r="I555" s="1126"/>
      <c r="J555" s="1135"/>
      <c r="K555" s="1135"/>
      <c r="L555" s="916"/>
    </row>
    <row r="556" spans="1:12" s="103" customFormat="1" ht="15.75" hidden="1" customHeight="1" outlineLevel="1">
      <c r="A556" s="916"/>
      <c r="B556" s="1123">
        <v>182</v>
      </c>
      <c r="C556" s="1127"/>
      <c r="D556" s="1125"/>
      <c r="E556" s="1125" t="s">
        <v>18</v>
      </c>
      <c r="F556" s="1130" t="str">
        <f>VLOOKUP(E556,$N$13:$O$17,2,0)</f>
        <v>-</v>
      </c>
      <c r="G556" s="92"/>
      <c r="H556" s="823"/>
      <c r="I556" s="1125"/>
      <c r="J556" s="1133"/>
      <c r="K556" s="1133"/>
      <c r="L556" s="916"/>
    </row>
    <row r="557" spans="1:12" s="103" customFormat="1" ht="15.75" hidden="1" customHeight="1" outlineLevel="1">
      <c r="A557" s="916"/>
      <c r="B557" s="1123"/>
      <c r="C557" s="1127"/>
      <c r="D557" s="1125"/>
      <c r="E557" s="1125"/>
      <c r="F557" s="1130"/>
      <c r="G557" s="95"/>
      <c r="H557" s="823"/>
      <c r="I557" s="1125"/>
      <c r="J557" s="1134"/>
      <c r="K557" s="1134"/>
      <c r="L557" s="916"/>
    </row>
    <row r="558" spans="1:12" s="103" customFormat="1" ht="15.75" hidden="1" customHeight="1" outlineLevel="1">
      <c r="A558" s="916"/>
      <c r="B558" s="1124"/>
      <c r="C558" s="1128"/>
      <c r="D558" s="1126"/>
      <c r="E558" s="1126"/>
      <c r="F558" s="1132"/>
      <c r="G558" s="100"/>
      <c r="H558" s="824"/>
      <c r="I558" s="1126"/>
      <c r="J558" s="1135"/>
      <c r="K558" s="1135"/>
      <c r="L558" s="916"/>
    </row>
    <row r="559" spans="1:12" s="103" customFormat="1" ht="15.75" hidden="1" customHeight="1" outlineLevel="1">
      <c r="A559" s="916"/>
      <c r="B559" s="1123">
        <v>183</v>
      </c>
      <c r="C559" s="1127"/>
      <c r="D559" s="1125"/>
      <c r="E559" s="1125" t="s">
        <v>18</v>
      </c>
      <c r="F559" s="1130" t="str">
        <f>VLOOKUP(E559,$N$13:$O$17,2,0)</f>
        <v>-</v>
      </c>
      <c r="G559" s="92"/>
      <c r="H559" s="823"/>
      <c r="I559" s="1125"/>
      <c r="J559" s="1133"/>
      <c r="K559" s="1133"/>
      <c r="L559" s="916"/>
    </row>
    <row r="560" spans="1:12" s="103" customFormat="1" ht="15.75" hidden="1" customHeight="1" outlineLevel="1">
      <c r="A560" s="916"/>
      <c r="B560" s="1123"/>
      <c r="C560" s="1127"/>
      <c r="D560" s="1125"/>
      <c r="E560" s="1125"/>
      <c r="F560" s="1130"/>
      <c r="G560" s="95"/>
      <c r="H560" s="823"/>
      <c r="I560" s="1125"/>
      <c r="J560" s="1134"/>
      <c r="K560" s="1134"/>
      <c r="L560" s="916"/>
    </row>
    <row r="561" spans="1:12" s="103" customFormat="1" ht="15.75" hidden="1" customHeight="1" outlineLevel="1">
      <c r="A561" s="916"/>
      <c r="B561" s="1124"/>
      <c r="C561" s="1128"/>
      <c r="D561" s="1126"/>
      <c r="E561" s="1126"/>
      <c r="F561" s="1132"/>
      <c r="G561" s="100"/>
      <c r="H561" s="824"/>
      <c r="I561" s="1126"/>
      <c r="J561" s="1135"/>
      <c r="K561" s="1135"/>
      <c r="L561" s="916"/>
    </row>
    <row r="562" spans="1:12" s="103" customFormat="1" ht="15.75" hidden="1" customHeight="1" outlineLevel="1">
      <c r="A562" s="916"/>
      <c r="B562" s="1123">
        <v>184</v>
      </c>
      <c r="C562" s="1127"/>
      <c r="D562" s="1125"/>
      <c r="E562" s="1125" t="s">
        <v>18</v>
      </c>
      <c r="F562" s="1130" t="str">
        <f>VLOOKUP(E562,$N$13:$O$17,2,0)</f>
        <v>-</v>
      </c>
      <c r="G562" s="92"/>
      <c r="H562" s="823"/>
      <c r="I562" s="1125"/>
      <c r="J562" s="1133"/>
      <c r="K562" s="1133"/>
      <c r="L562" s="916"/>
    </row>
    <row r="563" spans="1:12" s="103" customFormat="1" ht="15.75" hidden="1" customHeight="1" outlineLevel="1">
      <c r="A563" s="916"/>
      <c r="B563" s="1123"/>
      <c r="C563" s="1127"/>
      <c r="D563" s="1125"/>
      <c r="E563" s="1125"/>
      <c r="F563" s="1130"/>
      <c r="G563" s="95"/>
      <c r="H563" s="823"/>
      <c r="I563" s="1125"/>
      <c r="J563" s="1134"/>
      <c r="K563" s="1134"/>
      <c r="L563" s="916"/>
    </row>
    <row r="564" spans="1:12" s="103" customFormat="1" ht="15.75" hidden="1" customHeight="1" outlineLevel="1">
      <c r="A564" s="916"/>
      <c r="B564" s="1124"/>
      <c r="C564" s="1128"/>
      <c r="D564" s="1126"/>
      <c r="E564" s="1126"/>
      <c r="F564" s="1132"/>
      <c r="G564" s="100"/>
      <c r="H564" s="824"/>
      <c r="I564" s="1126"/>
      <c r="J564" s="1135"/>
      <c r="K564" s="1135"/>
      <c r="L564" s="916"/>
    </row>
    <row r="565" spans="1:12" s="103" customFormat="1" ht="15.75" hidden="1" customHeight="1" outlineLevel="1">
      <c r="A565" s="916"/>
      <c r="B565" s="1123">
        <v>185</v>
      </c>
      <c r="C565" s="1127"/>
      <c r="D565" s="1125"/>
      <c r="E565" s="1125" t="s">
        <v>18</v>
      </c>
      <c r="F565" s="1130" t="str">
        <f>VLOOKUP(E565,$N$13:$O$17,2,0)</f>
        <v>-</v>
      </c>
      <c r="G565" s="92"/>
      <c r="H565" s="823"/>
      <c r="I565" s="1125"/>
      <c r="J565" s="1133"/>
      <c r="K565" s="1133"/>
      <c r="L565" s="916"/>
    </row>
    <row r="566" spans="1:12" s="103" customFormat="1" ht="15.75" hidden="1" customHeight="1" outlineLevel="1">
      <c r="A566" s="916"/>
      <c r="B566" s="1123"/>
      <c r="C566" s="1127"/>
      <c r="D566" s="1125"/>
      <c r="E566" s="1125"/>
      <c r="F566" s="1130"/>
      <c r="G566" s="95"/>
      <c r="H566" s="823"/>
      <c r="I566" s="1125"/>
      <c r="J566" s="1134"/>
      <c r="K566" s="1134"/>
      <c r="L566" s="916"/>
    </row>
    <row r="567" spans="1:12" s="103" customFormat="1" ht="15.75" hidden="1" customHeight="1" outlineLevel="1">
      <c r="A567" s="916"/>
      <c r="B567" s="1124"/>
      <c r="C567" s="1128"/>
      <c r="D567" s="1126"/>
      <c r="E567" s="1126"/>
      <c r="F567" s="1132"/>
      <c r="G567" s="100"/>
      <c r="H567" s="824"/>
      <c r="I567" s="1126"/>
      <c r="J567" s="1135"/>
      <c r="K567" s="1135"/>
      <c r="L567" s="916"/>
    </row>
    <row r="568" spans="1:12" s="103" customFormat="1" ht="15.75" hidden="1" customHeight="1" outlineLevel="1">
      <c r="A568" s="916"/>
      <c r="B568" s="1123">
        <v>186</v>
      </c>
      <c r="C568" s="1127"/>
      <c r="D568" s="1125"/>
      <c r="E568" s="1125" t="s">
        <v>18</v>
      </c>
      <c r="F568" s="1130" t="str">
        <f>VLOOKUP(E568,$N$13:$O$17,2,0)</f>
        <v>-</v>
      </c>
      <c r="G568" s="92"/>
      <c r="H568" s="823"/>
      <c r="I568" s="1125"/>
      <c r="J568" s="1133"/>
      <c r="K568" s="1133"/>
      <c r="L568" s="916"/>
    </row>
    <row r="569" spans="1:12" s="103" customFormat="1" ht="15.75" hidden="1" customHeight="1" outlineLevel="1">
      <c r="A569" s="916"/>
      <c r="B569" s="1123"/>
      <c r="C569" s="1127"/>
      <c r="D569" s="1125"/>
      <c r="E569" s="1125"/>
      <c r="F569" s="1130"/>
      <c r="G569" s="95"/>
      <c r="H569" s="823"/>
      <c r="I569" s="1125"/>
      <c r="J569" s="1134"/>
      <c r="K569" s="1134"/>
      <c r="L569" s="916"/>
    </row>
    <row r="570" spans="1:12" s="103" customFormat="1" ht="15.75" hidden="1" customHeight="1" outlineLevel="1">
      <c r="A570" s="916"/>
      <c r="B570" s="1124"/>
      <c r="C570" s="1128"/>
      <c r="D570" s="1126"/>
      <c r="E570" s="1126"/>
      <c r="F570" s="1132"/>
      <c r="G570" s="100"/>
      <c r="H570" s="824"/>
      <c r="I570" s="1126"/>
      <c r="J570" s="1135"/>
      <c r="K570" s="1135"/>
      <c r="L570" s="916"/>
    </row>
    <row r="571" spans="1:12" s="103" customFormat="1" ht="15.75" hidden="1" customHeight="1" outlineLevel="1">
      <c r="A571" s="916"/>
      <c r="B571" s="1123">
        <v>187</v>
      </c>
      <c r="C571" s="1127"/>
      <c r="D571" s="1125"/>
      <c r="E571" s="1125" t="s">
        <v>18</v>
      </c>
      <c r="F571" s="1130" t="str">
        <f>VLOOKUP(E571,$N$13:$O$17,2,0)</f>
        <v>-</v>
      </c>
      <c r="G571" s="92"/>
      <c r="H571" s="823"/>
      <c r="I571" s="1125"/>
      <c r="J571" s="1133"/>
      <c r="K571" s="1133"/>
      <c r="L571" s="916"/>
    </row>
    <row r="572" spans="1:12" s="103" customFormat="1" ht="15.75" hidden="1" customHeight="1" outlineLevel="1">
      <c r="A572" s="916"/>
      <c r="B572" s="1123"/>
      <c r="C572" s="1127"/>
      <c r="D572" s="1125"/>
      <c r="E572" s="1125"/>
      <c r="F572" s="1130"/>
      <c r="G572" s="95"/>
      <c r="H572" s="823"/>
      <c r="I572" s="1125"/>
      <c r="J572" s="1134"/>
      <c r="K572" s="1134"/>
      <c r="L572" s="916"/>
    </row>
    <row r="573" spans="1:12" s="103" customFormat="1" ht="15.75" hidden="1" customHeight="1" outlineLevel="1">
      <c r="A573" s="916"/>
      <c r="B573" s="1124"/>
      <c r="C573" s="1128"/>
      <c r="D573" s="1126"/>
      <c r="E573" s="1126"/>
      <c r="F573" s="1132"/>
      <c r="G573" s="100"/>
      <c r="H573" s="824"/>
      <c r="I573" s="1126"/>
      <c r="J573" s="1135"/>
      <c r="K573" s="1135"/>
      <c r="L573" s="916"/>
    </row>
    <row r="574" spans="1:12" s="103" customFormat="1" ht="15.75" hidden="1" customHeight="1" outlineLevel="1">
      <c r="A574" s="916"/>
      <c r="B574" s="1123">
        <v>188</v>
      </c>
      <c r="C574" s="1127"/>
      <c r="D574" s="1125"/>
      <c r="E574" s="1125" t="s">
        <v>18</v>
      </c>
      <c r="F574" s="1130" t="str">
        <f>VLOOKUP(E574,$N$13:$O$17,2,0)</f>
        <v>-</v>
      </c>
      <c r="G574" s="92"/>
      <c r="H574" s="823"/>
      <c r="I574" s="1125"/>
      <c r="J574" s="1133"/>
      <c r="K574" s="1133"/>
      <c r="L574" s="916"/>
    </row>
    <row r="575" spans="1:12" s="103" customFormat="1" ht="15.75" hidden="1" customHeight="1" outlineLevel="1">
      <c r="A575" s="916"/>
      <c r="B575" s="1123"/>
      <c r="C575" s="1127"/>
      <c r="D575" s="1125"/>
      <c r="E575" s="1125"/>
      <c r="F575" s="1130"/>
      <c r="G575" s="95"/>
      <c r="H575" s="823"/>
      <c r="I575" s="1125"/>
      <c r="J575" s="1134"/>
      <c r="K575" s="1134"/>
      <c r="L575" s="916"/>
    </row>
    <row r="576" spans="1:12" s="103" customFormat="1" ht="15.75" hidden="1" customHeight="1" outlineLevel="1">
      <c r="A576" s="916"/>
      <c r="B576" s="1124"/>
      <c r="C576" s="1128"/>
      <c r="D576" s="1126"/>
      <c r="E576" s="1126"/>
      <c r="F576" s="1132"/>
      <c r="G576" s="100"/>
      <c r="H576" s="824"/>
      <c r="I576" s="1126"/>
      <c r="J576" s="1135"/>
      <c r="K576" s="1135"/>
      <c r="L576" s="916"/>
    </row>
    <row r="577" spans="1:12" s="103" customFormat="1" ht="15.75" hidden="1" customHeight="1" outlineLevel="1">
      <c r="A577" s="916"/>
      <c r="B577" s="1123">
        <v>189</v>
      </c>
      <c r="C577" s="1127"/>
      <c r="D577" s="1125"/>
      <c r="E577" s="1125" t="s">
        <v>18</v>
      </c>
      <c r="F577" s="1130" t="str">
        <f>VLOOKUP(E577,$N$13:$O$17,2,0)</f>
        <v>-</v>
      </c>
      <c r="G577" s="92"/>
      <c r="H577" s="823"/>
      <c r="I577" s="1125"/>
      <c r="J577" s="1133"/>
      <c r="K577" s="1133"/>
      <c r="L577" s="916"/>
    </row>
    <row r="578" spans="1:12" s="103" customFormat="1" ht="15.75" hidden="1" customHeight="1" outlineLevel="1">
      <c r="A578" s="916"/>
      <c r="B578" s="1123"/>
      <c r="C578" s="1127"/>
      <c r="D578" s="1125"/>
      <c r="E578" s="1125"/>
      <c r="F578" s="1130"/>
      <c r="G578" s="95"/>
      <c r="H578" s="823"/>
      <c r="I578" s="1125"/>
      <c r="J578" s="1134"/>
      <c r="K578" s="1134"/>
      <c r="L578" s="916"/>
    </row>
    <row r="579" spans="1:12" s="103" customFormat="1" ht="15.75" hidden="1" customHeight="1" outlineLevel="1">
      <c r="A579" s="916"/>
      <c r="B579" s="1124"/>
      <c r="C579" s="1128"/>
      <c r="D579" s="1126"/>
      <c r="E579" s="1126"/>
      <c r="F579" s="1132"/>
      <c r="G579" s="100"/>
      <c r="H579" s="824"/>
      <c r="I579" s="1126"/>
      <c r="J579" s="1135"/>
      <c r="K579" s="1135"/>
      <c r="L579" s="916"/>
    </row>
    <row r="580" spans="1:12" s="103" customFormat="1" ht="15.75" hidden="1" customHeight="1" outlineLevel="1">
      <c r="A580" s="916"/>
      <c r="B580" s="1123">
        <v>190</v>
      </c>
      <c r="C580" s="1127"/>
      <c r="D580" s="1125"/>
      <c r="E580" s="1125" t="s">
        <v>18</v>
      </c>
      <c r="F580" s="1130" t="str">
        <f>VLOOKUP(E580,$N$13:$O$17,2,0)</f>
        <v>-</v>
      </c>
      <c r="G580" s="92"/>
      <c r="H580" s="823"/>
      <c r="I580" s="1125"/>
      <c r="J580" s="1133"/>
      <c r="K580" s="1133"/>
      <c r="L580" s="916"/>
    </row>
    <row r="581" spans="1:12" s="103" customFormat="1" ht="15.75" hidden="1" customHeight="1" outlineLevel="1">
      <c r="A581" s="916"/>
      <c r="B581" s="1123"/>
      <c r="C581" s="1127"/>
      <c r="D581" s="1125"/>
      <c r="E581" s="1125"/>
      <c r="F581" s="1130"/>
      <c r="G581" s="95"/>
      <c r="H581" s="823"/>
      <c r="I581" s="1125"/>
      <c r="J581" s="1134"/>
      <c r="K581" s="1134"/>
      <c r="L581" s="916"/>
    </row>
    <row r="582" spans="1:12" s="103" customFormat="1" ht="15.75" hidden="1" customHeight="1" outlineLevel="1">
      <c r="A582" s="916"/>
      <c r="B582" s="1124"/>
      <c r="C582" s="1128"/>
      <c r="D582" s="1126"/>
      <c r="E582" s="1126"/>
      <c r="F582" s="1132"/>
      <c r="G582" s="100"/>
      <c r="H582" s="824"/>
      <c r="I582" s="1126"/>
      <c r="J582" s="1135"/>
      <c r="K582" s="1135"/>
      <c r="L582" s="916"/>
    </row>
    <row r="583" spans="1:12" s="103" customFormat="1" ht="15.75" hidden="1" customHeight="1" outlineLevel="1">
      <c r="A583" s="916"/>
      <c r="B583" s="1123">
        <v>191</v>
      </c>
      <c r="C583" s="1127"/>
      <c r="D583" s="1125"/>
      <c r="E583" s="1125" t="s">
        <v>18</v>
      </c>
      <c r="F583" s="1130" t="str">
        <f>VLOOKUP(E583,$N$13:$O$17,2,0)</f>
        <v>-</v>
      </c>
      <c r="G583" s="92"/>
      <c r="H583" s="823"/>
      <c r="I583" s="1125"/>
      <c r="J583" s="1133"/>
      <c r="K583" s="1133"/>
      <c r="L583" s="916"/>
    </row>
    <row r="584" spans="1:12" s="103" customFormat="1" ht="15.75" hidden="1" customHeight="1" outlineLevel="1">
      <c r="A584" s="916"/>
      <c r="B584" s="1123"/>
      <c r="C584" s="1127"/>
      <c r="D584" s="1125"/>
      <c r="E584" s="1125"/>
      <c r="F584" s="1130"/>
      <c r="G584" s="95"/>
      <c r="H584" s="823"/>
      <c r="I584" s="1125"/>
      <c r="J584" s="1134"/>
      <c r="K584" s="1134"/>
      <c r="L584" s="916"/>
    </row>
    <row r="585" spans="1:12" s="103" customFormat="1" ht="15.75" hidden="1" customHeight="1" outlineLevel="1">
      <c r="A585" s="916"/>
      <c r="B585" s="1124"/>
      <c r="C585" s="1128"/>
      <c r="D585" s="1126"/>
      <c r="E585" s="1126"/>
      <c r="F585" s="1132"/>
      <c r="G585" s="100"/>
      <c r="H585" s="824"/>
      <c r="I585" s="1126"/>
      <c r="J585" s="1135"/>
      <c r="K585" s="1135"/>
      <c r="L585" s="916"/>
    </row>
    <row r="586" spans="1:12" s="103" customFormat="1" ht="15.75" hidden="1" customHeight="1" outlineLevel="1">
      <c r="A586" s="916"/>
      <c r="B586" s="1123">
        <v>192</v>
      </c>
      <c r="C586" s="1127"/>
      <c r="D586" s="1125"/>
      <c r="E586" s="1125" t="s">
        <v>18</v>
      </c>
      <c r="F586" s="1130" t="str">
        <f>VLOOKUP(E586,$N$13:$O$17,2,0)</f>
        <v>-</v>
      </c>
      <c r="G586" s="92"/>
      <c r="H586" s="823"/>
      <c r="I586" s="1125"/>
      <c r="J586" s="1133"/>
      <c r="K586" s="1133"/>
      <c r="L586" s="916"/>
    </row>
    <row r="587" spans="1:12" s="103" customFormat="1" ht="15.75" hidden="1" customHeight="1" outlineLevel="1">
      <c r="A587" s="916"/>
      <c r="B587" s="1123"/>
      <c r="C587" s="1127"/>
      <c r="D587" s="1125"/>
      <c r="E587" s="1125"/>
      <c r="F587" s="1130"/>
      <c r="G587" s="95"/>
      <c r="H587" s="823"/>
      <c r="I587" s="1125"/>
      <c r="J587" s="1134"/>
      <c r="K587" s="1134"/>
      <c r="L587" s="916"/>
    </row>
    <row r="588" spans="1:12" s="103" customFormat="1" ht="15.75" hidden="1" customHeight="1" outlineLevel="1">
      <c r="A588" s="916"/>
      <c r="B588" s="1124"/>
      <c r="C588" s="1128"/>
      <c r="D588" s="1126"/>
      <c r="E588" s="1126"/>
      <c r="F588" s="1132"/>
      <c r="G588" s="100"/>
      <c r="H588" s="824"/>
      <c r="I588" s="1126"/>
      <c r="J588" s="1135"/>
      <c r="K588" s="1135"/>
      <c r="L588" s="916"/>
    </row>
    <row r="589" spans="1:12" s="103" customFormat="1" ht="15.75" hidden="1" customHeight="1" outlineLevel="1">
      <c r="A589" s="916"/>
      <c r="B589" s="1123">
        <v>193</v>
      </c>
      <c r="C589" s="1127"/>
      <c r="D589" s="1125"/>
      <c r="E589" s="1125" t="s">
        <v>18</v>
      </c>
      <c r="F589" s="1130" t="str">
        <f>VLOOKUP(E589,$N$13:$O$17,2,0)</f>
        <v>-</v>
      </c>
      <c r="G589" s="92"/>
      <c r="H589" s="823"/>
      <c r="I589" s="1125"/>
      <c r="J589" s="1133"/>
      <c r="K589" s="1133"/>
      <c r="L589" s="916"/>
    </row>
    <row r="590" spans="1:12" s="103" customFormat="1" ht="15.75" hidden="1" customHeight="1" outlineLevel="1">
      <c r="A590" s="916"/>
      <c r="B590" s="1123"/>
      <c r="C590" s="1127"/>
      <c r="D590" s="1125"/>
      <c r="E590" s="1125"/>
      <c r="F590" s="1130"/>
      <c r="G590" s="95"/>
      <c r="H590" s="823"/>
      <c r="I590" s="1125"/>
      <c r="J590" s="1134"/>
      <c r="K590" s="1134"/>
      <c r="L590" s="916"/>
    </row>
    <row r="591" spans="1:12" s="103" customFormat="1" ht="15.75" hidden="1" customHeight="1" outlineLevel="1">
      <c r="A591" s="916"/>
      <c r="B591" s="1124"/>
      <c r="C591" s="1128"/>
      <c r="D591" s="1126"/>
      <c r="E591" s="1126"/>
      <c r="F591" s="1132"/>
      <c r="G591" s="100"/>
      <c r="H591" s="824"/>
      <c r="I591" s="1126"/>
      <c r="J591" s="1135"/>
      <c r="K591" s="1135"/>
      <c r="L591" s="916"/>
    </row>
    <row r="592" spans="1:12" s="103" customFormat="1" ht="15.75" hidden="1" customHeight="1" outlineLevel="1">
      <c r="A592" s="916"/>
      <c r="B592" s="1123">
        <v>194</v>
      </c>
      <c r="C592" s="1127"/>
      <c r="D592" s="1125"/>
      <c r="E592" s="1125" t="s">
        <v>18</v>
      </c>
      <c r="F592" s="1130" t="str">
        <f>VLOOKUP(E592,$N$13:$O$17,2,0)</f>
        <v>-</v>
      </c>
      <c r="G592" s="92"/>
      <c r="H592" s="823"/>
      <c r="I592" s="1125"/>
      <c r="J592" s="1133"/>
      <c r="K592" s="1133"/>
      <c r="L592" s="916"/>
    </row>
    <row r="593" spans="1:12" s="103" customFormat="1" ht="15.75" hidden="1" customHeight="1" outlineLevel="1">
      <c r="A593" s="916"/>
      <c r="B593" s="1123"/>
      <c r="C593" s="1127"/>
      <c r="D593" s="1125"/>
      <c r="E593" s="1125"/>
      <c r="F593" s="1130"/>
      <c r="G593" s="95"/>
      <c r="H593" s="823"/>
      <c r="I593" s="1125"/>
      <c r="J593" s="1134"/>
      <c r="K593" s="1134"/>
      <c r="L593" s="916"/>
    </row>
    <row r="594" spans="1:12" s="103" customFormat="1" ht="15.75" hidden="1" customHeight="1" outlineLevel="1">
      <c r="A594" s="916"/>
      <c r="B594" s="1124"/>
      <c r="C594" s="1128"/>
      <c r="D594" s="1126"/>
      <c r="E594" s="1126"/>
      <c r="F594" s="1132"/>
      <c r="G594" s="100"/>
      <c r="H594" s="824"/>
      <c r="I594" s="1126"/>
      <c r="J594" s="1135"/>
      <c r="K594" s="1135"/>
      <c r="L594" s="916"/>
    </row>
    <row r="595" spans="1:12" s="103" customFormat="1" ht="15.75" hidden="1" customHeight="1" outlineLevel="1">
      <c r="A595" s="916"/>
      <c r="B595" s="1123">
        <v>195</v>
      </c>
      <c r="C595" s="1127"/>
      <c r="D595" s="1125"/>
      <c r="E595" s="1125" t="s">
        <v>18</v>
      </c>
      <c r="F595" s="1130" t="str">
        <f>VLOOKUP(E595,$N$13:$O$17,2,0)</f>
        <v>-</v>
      </c>
      <c r="G595" s="92"/>
      <c r="H595" s="823"/>
      <c r="I595" s="1125"/>
      <c r="J595" s="1133"/>
      <c r="K595" s="1133"/>
      <c r="L595" s="916"/>
    </row>
    <row r="596" spans="1:12" s="103" customFormat="1" ht="15.75" hidden="1" customHeight="1" outlineLevel="1">
      <c r="A596" s="916"/>
      <c r="B596" s="1123"/>
      <c r="C596" s="1127"/>
      <c r="D596" s="1125"/>
      <c r="E596" s="1125"/>
      <c r="F596" s="1130"/>
      <c r="G596" s="95"/>
      <c r="H596" s="823"/>
      <c r="I596" s="1125"/>
      <c r="J596" s="1134"/>
      <c r="K596" s="1134"/>
      <c r="L596" s="916"/>
    </row>
    <row r="597" spans="1:12" s="103" customFormat="1" ht="15.75" hidden="1" customHeight="1" outlineLevel="1">
      <c r="A597" s="916"/>
      <c r="B597" s="1124"/>
      <c r="C597" s="1128"/>
      <c r="D597" s="1126"/>
      <c r="E597" s="1126"/>
      <c r="F597" s="1132"/>
      <c r="G597" s="100"/>
      <c r="H597" s="824"/>
      <c r="I597" s="1126"/>
      <c r="J597" s="1135"/>
      <c r="K597" s="1135"/>
      <c r="L597" s="916"/>
    </row>
    <row r="598" spans="1:12" s="103" customFormat="1" ht="15.75" hidden="1" customHeight="1" outlineLevel="1">
      <c r="A598" s="916"/>
      <c r="B598" s="1123">
        <v>196</v>
      </c>
      <c r="C598" s="1127"/>
      <c r="D598" s="1125"/>
      <c r="E598" s="1125" t="s">
        <v>18</v>
      </c>
      <c r="F598" s="1130" t="str">
        <f>VLOOKUP(E598,$N$13:$O$17,2,0)</f>
        <v>-</v>
      </c>
      <c r="G598" s="92"/>
      <c r="H598" s="823"/>
      <c r="I598" s="1125"/>
      <c r="J598" s="1133"/>
      <c r="K598" s="1133"/>
      <c r="L598" s="916"/>
    </row>
    <row r="599" spans="1:12" s="103" customFormat="1" ht="15.75" hidden="1" customHeight="1" outlineLevel="1">
      <c r="A599" s="916"/>
      <c r="B599" s="1123"/>
      <c r="C599" s="1127"/>
      <c r="D599" s="1125"/>
      <c r="E599" s="1125"/>
      <c r="F599" s="1130"/>
      <c r="G599" s="95"/>
      <c r="H599" s="823"/>
      <c r="I599" s="1125"/>
      <c r="J599" s="1134"/>
      <c r="K599" s="1134"/>
      <c r="L599" s="916"/>
    </row>
    <row r="600" spans="1:12" s="103" customFormat="1" ht="15.75" hidden="1" customHeight="1" outlineLevel="1">
      <c r="A600" s="916"/>
      <c r="B600" s="1124"/>
      <c r="C600" s="1128"/>
      <c r="D600" s="1126"/>
      <c r="E600" s="1126"/>
      <c r="F600" s="1132"/>
      <c r="G600" s="100"/>
      <c r="H600" s="824"/>
      <c r="I600" s="1126"/>
      <c r="J600" s="1135"/>
      <c r="K600" s="1135"/>
      <c r="L600" s="916"/>
    </row>
    <row r="601" spans="1:12" s="103" customFormat="1" ht="15.75" hidden="1" customHeight="1" outlineLevel="1">
      <c r="A601" s="916"/>
      <c r="B601" s="1123">
        <v>197</v>
      </c>
      <c r="C601" s="1127"/>
      <c r="D601" s="1125"/>
      <c r="E601" s="1125" t="s">
        <v>18</v>
      </c>
      <c r="F601" s="1130" t="str">
        <f>VLOOKUP(E601,$N$13:$O$17,2,0)</f>
        <v>-</v>
      </c>
      <c r="G601" s="92"/>
      <c r="H601" s="823"/>
      <c r="I601" s="1125"/>
      <c r="J601" s="1133"/>
      <c r="K601" s="1133"/>
      <c r="L601" s="916"/>
    </row>
    <row r="602" spans="1:12" s="103" customFormat="1" ht="15.75" hidden="1" customHeight="1" outlineLevel="1">
      <c r="A602" s="916"/>
      <c r="B602" s="1123"/>
      <c r="C602" s="1127"/>
      <c r="D602" s="1125"/>
      <c r="E602" s="1125"/>
      <c r="F602" s="1130"/>
      <c r="G602" s="95"/>
      <c r="H602" s="823"/>
      <c r="I602" s="1125"/>
      <c r="J602" s="1134"/>
      <c r="K602" s="1134"/>
      <c r="L602" s="916"/>
    </row>
    <row r="603" spans="1:12" s="103" customFormat="1" ht="15.75" hidden="1" customHeight="1" outlineLevel="1">
      <c r="A603" s="916"/>
      <c r="B603" s="1124"/>
      <c r="C603" s="1128"/>
      <c r="D603" s="1126"/>
      <c r="E603" s="1126"/>
      <c r="F603" s="1132"/>
      <c r="G603" s="100"/>
      <c r="H603" s="824"/>
      <c r="I603" s="1126"/>
      <c r="J603" s="1135"/>
      <c r="K603" s="1135"/>
      <c r="L603" s="916"/>
    </row>
    <row r="604" spans="1:12" s="103" customFormat="1" ht="15.75" hidden="1" customHeight="1" outlineLevel="1">
      <c r="A604" s="916"/>
      <c r="B604" s="1123">
        <v>198</v>
      </c>
      <c r="C604" s="1127"/>
      <c r="D604" s="1125"/>
      <c r="E604" s="1125" t="s">
        <v>18</v>
      </c>
      <c r="F604" s="1130" t="str">
        <f>VLOOKUP(E604,$N$13:$O$17,2,0)</f>
        <v>-</v>
      </c>
      <c r="G604" s="92"/>
      <c r="H604" s="823"/>
      <c r="I604" s="1125"/>
      <c r="J604" s="1133"/>
      <c r="K604" s="1133"/>
      <c r="L604" s="916"/>
    </row>
    <row r="605" spans="1:12" s="103" customFormat="1" ht="15.75" hidden="1" customHeight="1" outlineLevel="1">
      <c r="A605" s="916"/>
      <c r="B605" s="1123"/>
      <c r="C605" s="1127"/>
      <c r="D605" s="1125"/>
      <c r="E605" s="1125"/>
      <c r="F605" s="1130"/>
      <c r="G605" s="95"/>
      <c r="H605" s="823"/>
      <c r="I605" s="1125"/>
      <c r="J605" s="1134"/>
      <c r="K605" s="1134"/>
      <c r="L605" s="916"/>
    </row>
    <row r="606" spans="1:12" s="103" customFormat="1" ht="15.75" hidden="1" customHeight="1" outlineLevel="1">
      <c r="A606" s="916"/>
      <c r="B606" s="1124"/>
      <c r="C606" s="1128"/>
      <c r="D606" s="1126"/>
      <c r="E606" s="1126"/>
      <c r="F606" s="1132"/>
      <c r="G606" s="100"/>
      <c r="H606" s="824"/>
      <c r="I606" s="1126"/>
      <c r="J606" s="1135"/>
      <c r="K606" s="1135"/>
      <c r="L606" s="916"/>
    </row>
    <row r="607" spans="1:12" s="103" customFormat="1" ht="15.75" hidden="1" customHeight="1" outlineLevel="1">
      <c r="A607" s="916"/>
      <c r="B607" s="1123">
        <v>199</v>
      </c>
      <c r="C607" s="1127"/>
      <c r="D607" s="1125"/>
      <c r="E607" s="1125" t="s">
        <v>18</v>
      </c>
      <c r="F607" s="1130" t="str">
        <f>VLOOKUP(E607,$N$13:$O$17,2,0)</f>
        <v>-</v>
      </c>
      <c r="G607" s="92"/>
      <c r="H607" s="823"/>
      <c r="I607" s="1125"/>
      <c r="J607" s="1133"/>
      <c r="K607" s="1133"/>
      <c r="L607" s="916"/>
    </row>
    <row r="608" spans="1:12" s="103" customFormat="1" ht="15.75" hidden="1" customHeight="1" outlineLevel="1">
      <c r="A608" s="916"/>
      <c r="B608" s="1123"/>
      <c r="C608" s="1127"/>
      <c r="D608" s="1125"/>
      <c r="E608" s="1125"/>
      <c r="F608" s="1130"/>
      <c r="G608" s="95"/>
      <c r="H608" s="823"/>
      <c r="I608" s="1125"/>
      <c r="J608" s="1134"/>
      <c r="K608" s="1134"/>
      <c r="L608" s="916"/>
    </row>
    <row r="609" spans="1:12" s="103" customFormat="1" ht="15.75" hidden="1" customHeight="1" outlineLevel="1">
      <c r="A609" s="916"/>
      <c r="B609" s="1124"/>
      <c r="C609" s="1128"/>
      <c r="D609" s="1126"/>
      <c r="E609" s="1126"/>
      <c r="F609" s="1132"/>
      <c r="G609" s="100"/>
      <c r="H609" s="824"/>
      <c r="I609" s="1126"/>
      <c r="J609" s="1135"/>
      <c r="K609" s="1135"/>
      <c r="L609" s="916"/>
    </row>
    <row r="610" spans="1:12" s="103" customFormat="1" ht="15.75" hidden="1" customHeight="1" outlineLevel="1">
      <c r="A610" s="916"/>
      <c r="B610" s="1123">
        <v>200</v>
      </c>
      <c r="C610" s="1149" t="e">
        <f>CONCATENATE("Inne ",IF(#REF!=0,0,ROUND(#REF!/#REF!*100,1))," %")</f>
        <v>#REF!</v>
      </c>
      <c r="D610" s="1125"/>
      <c r="E610" s="1125" t="s">
        <v>18</v>
      </c>
      <c r="F610" s="1130" t="str">
        <f>VLOOKUP(E610,$N$13:$O$17,2,0)</f>
        <v>-</v>
      </c>
      <c r="G610" s="92"/>
      <c r="H610" s="823"/>
      <c r="I610" s="1125"/>
      <c r="J610" s="1133"/>
      <c r="K610" s="1133"/>
      <c r="L610" s="916"/>
    </row>
    <row r="611" spans="1:12" s="103" customFormat="1" ht="15.75" hidden="1" customHeight="1" outlineLevel="1">
      <c r="A611" s="916"/>
      <c r="B611" s="1123"/>
      <c r="C611" s="1150"/>
      <c r="D611" s="1125"/>
      <c r="E611" s="1125"/>
      <c r="F611" s="1130"/>
      <c r="G611" s="95"/>
      <c r="H611" s="823"/>
      <c r="I611" s="1125"/>
      <c r="J611" s="1134"/>
      <c r="K611" s="1134"/>
      <c r="L611" s="916"/>
    </row>
    <row r="612" spans="1:12" s="103" customFormat="1" ht="15.75" hidden="1" customHeight="1" outlineLevel="1" thickBot="1">
      <c r="A612" s="916"/>
      <c r="B612" s="1124"/>
      <c r="C612" s="1151"/>
      <c r="D612" s="1126"/>
      <c r="E612" s="1126"/>
      <c r="F612" s="1132"/>
      <c r="G612" s="100"/>
      <c r="H612" s="824"/>
      <c r="I612" s="1126"/>
      <c r="J612" s="1135"/>
      <c r="K612" s="1135"/>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45"/>
      <c r="G621" s="1146"/>
      <c r="H621" s="1146"/>
      <c r="I621" s="1146"/>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612" xr:uid="{00000000-0002-0000-0F00-000000000000}">
      <formula1>$N$13:$N$17</formula1>
    </dataValidation>
  </dataValidations>
  <hyperlinks>
    <hyperlink ref="C1" location="Spis!B39" display="&gt;&gt; powrót do spisu treści" xr:uid="{00000000-0004-0000-0F00-000000000000}"/>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69">
    <pageSetUpPr fitToPage="1"/>
  </sheetPr>
  <dimension ref="A1:S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5" width="15.77734375" style="78" hidden="1" customWidth="1"/>
    <col min="16" max="16" width="0" style="78" hidden="1" customWidth="1"/>
    <col min="17" max="19" width="10.77734375" style="78" customWidth="1"/>
    <col min="20"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47" t="s">
        <v>19</v>
      </c>
      <c r="D3" s="1147"/>
      <c r="E3" s="1147"/>
      <c r="F3" s="1147"/>
      <c r="G3" s="1147"/>
      <c r="H3" s="1148"/>
      <c r="I3" s="903"/>
      <c r="J3" s="880"/>
      <c r="K3" s="880"/>
      <c r="L3" s="880"/>
    </row>
    <row r="4" spans="1:19" ht="15" customHeight="1">
      <c r="A4" s="898"/>
      <c r="B4" s="915" t="s">
        <v>27</v>
      </c>
      <c r="C4" s="1147" t="s">
        <v>177</v>
      </c>
      <c r="D4" s="1147"/>
      <c r="E4" s="1147"/>
      <c r="F4" s="1147"/>
      <c r="G4" s="1147"/>
      <c r="H4" s="1148"/>
      <c r="I4" s="903"/>
      <c r="J4" s="880"/>
      <c r="K4" s="880"/>
      <c r="L4" s="880"/>
    </row>
    <row r="5" spans="1:19" ht="15" customHeight="1">
      <c r="A5" s="880"/>
      <c r="B5" s="897" t="s">
        <v>28</v>
      </c>
      <c r="C5" s="1116" t="s">
        <v>104</v>
      </c>
      <c r="D5" s="1116"/>
      <c r="E5" s="1116"/>
      <c r="F5" s="1116"/>
      <c r="G5" s="1116"/>
      <c r="H5" s="1148"/>
      <c r="I5" s="903"/>
      <c r="J5" s="880"/>
      <c r="K5" s="880"/>
      <c r="L5" s="880"/>
    </row>
    <row r="6" spans="1:19" ht="50.1" customHeight="1">
      <c r="A6" s="880"/>
      <c r="B6" s="897" t="s">
        <v>35</v>
      </c>
      <c r="C6" s="1116" t="s">
        <v>175</v>
      </c>
      <c r="D6" s="1120"/>
      <c r="E6" s="1120"/>
      <c r="F6" s="1120"/>
      <c r="G6" s="1120"/>
      <c r="H6" s="1148"/>
      <c r="I6" s="903"/>
      <c r="J6" s="880"/>
      <c r="K6" s="880"/>
      <c r="L6" s="880"/>
    </row>
    <row r="7" spans="1:19" s="79" customFormat="1" ht="30" customHeight="1" thickBot="1">
      <c r="A7" s="907"/>
      <c r="B7" s="908" t="s">
        <v>251</v>
      </c>
      <c r="C7" s="911"/>
      <c r="D7" s="909"/>
      <c r="E7" s="907"/>
      <c r="F7" s="910"/>
      <c r="G7" s="911"/>
      <c r="H7" s="912"/>
      <c r="I7" s="912"/>
      <c r="J7" s="913"/>
      <c r="K7" s="913"/>
      <c r="L7" s="913"/>
      <c r="M7" s="81"/>
    </row>
    <row r="8" spans="1:19"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c r="P8" s="76"/>
      <c r="Q8" s="76"/>
      <c r="R8" s="76"/>
      <c r="S8" s="76"/>
    </row>
    <row r="9" spans="1:19" ht="20.100000000000001" customHeight="1" thickBot="1">
      <c r="A9" s="880"/>
      <c r="B9" s="1152"/>
      <c r="C9" s="1106"/>
      <c r="D9" s="1106"/>
      <c r="E9" s="1106"/>
      <c r="F9" s="1106"/>
      <c r="G9" s="1106"/>
      <c r="H9" s="1106"/>
      <c r="I9" s="1103"/>
      <c r="J9" s="628">
        <f>Rok_ZPR</f>
        <v>2023</v>
      </c>
      <c r="K9" s="1102"/>
      <c r="L9" s="860"/>
      <c r="M9" s="84"/>
      <c r="N9" s="76"/>
      <c r="O9" s="76"/>
      <c r="P9" s="76"/>
      <c r="Q9" s="76"/>
      <c r="R9" s="76"/>
      <c r="S9" s="76"/>
    </row>
    <row r="10" spans="1:19" ht="20.100000000000001" customHeight="1">
      <c r="A10" s="880"/>
      <c r="B10" s="1152"/>
      <c r="C10" s="1106"/>
      <c r="D10" s="1106"/>
      <c r="E10" s="1106"/>
      <c r="F10" s="1106"/>
      <c r="G10" s="1106"/>
      <c r="H10" s="1106"/>
      <c r="I10" s="1104"/>
      <c r="J10" s="628" t="str">
        <f>'Tab.G1.1-4'!$D$11</f>
        <v>[tys. zł]</v>
      </c>
      <c r="K10" s="1102"/>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row>
    <row r="14" spans="1:19" s="82" customFormat="1" ht="12.75" customHeight="1">
      <c r="A14" s="900"/>
      <c r="B14" s="1123"/>
      <c r="C14" s="1153"/>
      <c r="D14" s="1125"/>
      <c r="E14" s="1125"/>
      <c r="F14" s="1130"/>
      <c r="G14" s="95"/>
      <c r="H14" s="1125"/>
      <c r="I14" s="1125"/>
      <c r="J14" s="1134"/>
      <c r="K14" s="1134"/>
      <c r="L14" s="892"/>
      <c r="M14" s="86"/>
      <c r="N14" s="96" t="s">
        <v>22</v>
      </c>
      <c r="O14" s="97" t="s">
        <v>59</v>
      </c>
    </row>
    <row r="15" spans="1:19" s="82" customFormat="1" ht="12.75" customHeight="1">
      <c r="A15" s="900"/>
      <c r="B15" s="1124"/>
      <c r="C15" s="1154"/>
      <c r="D15" s="1126"/>
      <c r="E15" s="1126"/>
      <c r="F15" s="1132"/>
      <c r="G15" s="100"/>
      <c r="H15" s="1126"/>
      <c r="I15" s="1126"/>
      <c r="J15" s="1135"/>
      <c r="K15" s="1135"/>
      <c r="L15" s="892"/>
      <c r="M15" s="86"/>
      <c r="N15" s="96" t="s">
        <v>23</v>
      </c>
      <c r="O15" s="97" t="s">
        <v>24</v>
      </c>
    </row>
    <row r="16" spans="1:19"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row>
    <row r="17" spans="1:15" s="82" customFormat="1" ht="12.75" customHeight="1" thickBot="1">
      <c r="A17" s="900"/>
      <c r="B17" s="1123"/>
      <c r="C17" s="1127"/>
      <c r="D17" s="1125"/>
      <c r="E17" s="1125"/>
      <c r="F17" s="1130"/>
      <c r="G17" s="95"/>
      <c r="H17" s="1125"/>
      <c r="I17" s="1125"/>
      <c r="J17" s="1134"/>
      <c r="K17" s="1134"/>
      <c r="L17" s="892"/>
      <c r="M17" s="86"/>
      <c r="N17" s="101" t="s">
        <v>18</v>
      </c>
      <c r="O17" s="102" t="s">
        <v>18</v>
      </c>
    </row>
    <row r="18" spans="1:15" s="82" customFormat="1" ht="12.75" customHeight="1">
      <c r="A18" s="900"/>
      <c r="B18" s="1124"/>
      <c r="C18" s="1128"/>
      <c r="D18" s="1126"/>
      <c r="E18" s="1126"/>
      <c r="F18" s="1132"/>
      <c r="G18" s="100"/>
      <c r="H18" s="1126"/>
      <c r="I18" s="1126"/>
      <c r="J18" s="1135"/>
      <c r="K18" s="1135"/>
      <c r="L18" s="892"/>
      <c r="M18" s="86"/>
      <c r="N18" s="103"/>
      <c r="O18" s="104"/>
    </row>
    <row r="19" spans="1:15" s="82" customFormat="1" ht="12.75" customHeight="1">
      <c r="A19" s="900"/>
      <c r="B19" s="1123">
        <v>3</v>
      </c>
      <c r="C19" s="1127"/>
      <c r="D19" s="1125"/>
      <c r="E19" s="1125" t="s">
        <v>18</v>
      </c>
      <c r="F19" s="1130" t="str">
        <f>VLOOKUP(E19,$N$13:$O$17,2,0)</f>
        <v>-</v>
      </c>
      <c r="G19" s="92"/>
      <c r="H19" s="1125"/>
      <c r="I19" s="1125"/>
      <c r="J19" s="1133"/>
      <c r="K19" s="1133"/>
      <c r="L19" s="892"/>
      <c r="M19" s="86"/>
      <c r="N19" s="103"/>
      <c r="O19" s="104"/>
    </row>
    <row r="20" spans="1:15" s="82" customFormat="1" ht="12.75" customHeight="1">
      <c r="A20" s="900"/>
      <c r="B20" s="1123"/>
      <c r="C20" s="1127"/>
      <c r="D20" s="1125"/>
      <c r="E20" s="1125"/>
      <c r="F20" s="1130"/>
      <c r="G20" s="95"/>
      <c r="H20" s="1125"/>
      <c r="I20" s="1125"/>
      <c r="J20" s="1134"/>
      <c r="K20" s="1134"/>
      <c r="L20" s="892"/>
      <c r="M20" s="86"/>
      <c r="N20" s="103"/>
      <c r="O20" s="104"/>
    </row>
    <row r="21" spans="1:15" s="82" customFormat="1" ht="12.75" customHeight="1">
      <c r="A21" s="900"/>
      <c r="B21" s="1124"/>
      <c r="C21" s="1128"/>
      <c r="D21" s="1126"/>
      <c r="E21" s="1126"/>
      <c r="F21" s="1132"/>
      <c r="G21" s="100"/>
      <c r="H21" s="1126"/>
      <c r="I21" s="1126"/>
      <c r="J21" s="1135"/>
      <c r="K21" s="1135"/>
      <c r="L21" s="892"/>
      <c r="M21" s="86"/>
      <c r="N21" s="103"/>
      <c r="O21" s="104"/>
    </row>
    <row r="22" spans="1:15" s="82" customFormat="1" ht="12.75" customHeight="1">
      <c r="A22" s="900"/>
      <c r="B22" s="1123">
        <v>4</v>
      </c>
      <c r="C22" s="1127"/>
      <c r="D22" s="1125"/>
      <c r="E22" s="1125" t="s">
        <v>18</v>
      </c>
      <c r="F22" s="1130" t="str">
        <f>VLOOKUP(E22,$N$13:$O$17,2,0)</f>
        <v>-</v>
      </c>
      <c r="G22" s="92"/>
      <c r="H22" s="1125"/>
      <c r="I22" s="1125"/>
      <c r="J22" s="1133"/>
      <c r="K22" s="1133"/>
      <c r="L22" s="892"/>
      <c r="M22" s="86"/>
      <c r="N22" s="103"/>
      <c r="O22" s="104"/>
    </row>
    <row r="23" spans="1:15" s="82" customFormat="1" ht="12.75" customHeight="1">
      <c r="A23" s="900"/>
      <c r="B23" s="1123"/>
      <c r="C23" s="1127"/>
      <c r="D23" s="1125"/>
      <c r="E23" s="1125"/>
      <c r="F23" s="1130"/>
      <c r="G23" s="95"/>
      <c r="H23" s="1125"/>
      <c r="I23" s="1125"/>
      <c r="J23" s="1134"/>
      <c r="K23" s="1134"/>
      <c r="L23" s="892"/>
      <c r="M23" s="86"/>
      <c r="N23" s="103"/>
      <c r="O23" s="104"/>
    </row>
    <row r="24" spans="1:15" s="82" customFormat="1" ht="12.75" customHeight="1">
      <c r="A24" s="900"/>
      <c r="B24" s="1124"/>
      <c r="C24" s="1128"/>
      <c r="D24" s="1126"/>
      <c r="E24" s="1126"/>
      <c r="F24" s="1132"/>
      <c r="G24" s="100"/>
      <c r="H24" s="1126"/>
      <c r="I24" s="1126"/>
      <c r="J24" s="1135"/>
      <c r="K24" s="1135"/>
      <c r="L24" s="892"/>
      <c r="M24" s="86"/>
      <c r="N24" s="103"/>
      <c r="O24" s="104"/>
    </row>
    <row r="25" spans="1:15" s="82" customFormat="1" ht="12.75" customHeight="1">
      <c r="A25" s="900"/>
      <c r="B25" s="1123">
        <v>5</v>
      </c>
      <c r="C25" s="1127"/>
      <c r="D25" s="1125"/>
      <c r="E25" s="1125" t="s">
        <v>18</v>
      </c>
      <c r="F25" s="1130" t="str">
        <f>VLOOKUP(E25,$N$13:$O$17,2,0)</f>
        <v>-</v>
      </c>
      <c r="G25" s="92"/>
      <c r="H25" s="1125"/>
      <c r="I25" s="1125"/>
      <c r="J25" s="1133"/>
      <c r="K25" s="1133"/>
      <c r="L25" s="892"/>
      <c r="M25" s="86"/>
      <c r="N25" s="103"/>
      <c r="O25" s="104"/>
    </row>
    <row r="26" spans="1:15" s="82" customFormat="1" ht="12.75" customHeight="1">
      <c r="A26" s="900"/>
      <c r="B26" s="1123"/>
      <c r="C26" s="1127"/>
      <c r="D26" s="1125"/>
      <c r="E26" s="1125"/>
      <c r="F26" s="1130"/>
      <c r="G26" s="95"/>
      <c r="H26" s="1125"/>
      <c r="I26" s="1125"/>
      <c r="J26" s="1134"/>
      <c r="K26" s="1134"/>
      <c r="L26" s="892"/>
      <c r="M26" s="86"/>
      <c r="N26" s="103"/>
      <c r="O26" s="104"/>
    </row>
    <row r="27" spans="1:15" s="82" customFormat="1" ht="12.75" customHeight="1">
      <c r="A27" s="900"/>
      <c r="B27" s="1124"/>
      <c r="C27" s="1128"/>
      <c r="D27" s="1126"/>
      <c r="E27" s="1126"/>
      <c r="F27" s="1132"/>
      <c r="G27" s="100"/>
      <c r="H27" s="1126"/>
      <c r="I27" s="1126"/>
      <c r="J27" s="1135"/>
      <c r="K27" s="1135"/>
      <c r="L27" s="892"/>
      <c r="M27" s="86"/>
      <c r="N27" s="103"/>
      <c r="O27" s="104"/>
    </row>
    <row r="28" spans="1:15" s="82" customFormat="1" ht="12.75" customHeight="1">
      <c r="A28" s="900"/>
      <c r="B28" s="1123">
        <v>6</v>
      </c>
      <c r="C28" s="1127"/>
      <c r="D28" s="1125"/>
      <c r="E28" s="1125" t="s">
        <v>18</v>
      </c>
      <c r="F28" s="1130" t="str">
        <f>VLOOKUP(E28,$N$13:$O$17,2,0)</f>
        <v>-</v>
      </c>
      <c r="G28" s="92"/>
      <c r="H28" s="1125"/>
      <c r="I28" s="1125"/>
      <c r="J28" s="1133"/>
      <c r="K28" s="1133"/>
      <c r="L28" s="892"/>
      <c r="M28" s="86"/>
      <c r="N28" s="103"/>
      <c r="O28" s="104"/>
    </row>
    <row r="29" spans="1:15" s="82" customFormat="1" ht="12.75" customHeight="1">
      <c r="A29" s="900"/>
      <c r="B29" s="1123"/>
      <c r="C29" s="1127"/>
      <c r="D29" s="1125"/>
      <c r="E29" s="1125"/>
      <c r="F29" s="1130"/>
      <c r="G29" s="95"/>
      <c r="H29" s="1125"/>
      <c r="I29" s="1125"/>
      <c r="J29" s="1134"/>
      <c r="K29" s="1134"/>
      <c r="L29" s="892"/>
      <c r="M29" s="86"/>
      <c r="N29" s="103"/>
      <c r="O29" s="104"/>
    </row>
    <row r="30" spans="1:15" s="82" customFormat="1" ht="12.75" customHeight="1">
      <c r="A30" s="900"/>
      <c r="B30" s="1124"/>
      <c r="C30" s="1128"/>
      <c r="D30" s="1126"/>
      <c r="E30" s="1126"/>
      <c r="F30" s="1132"/>
      <c r="G30" s="100"/>
      <c r="H30" s="1126"/>
      <c r="I30" s="1126"/>
      <c r="J30" s="1135"/>
      <c r="K30" s="1135"/>
      <c r="L30" s="892"/>
      <c r="M30" s="86"/>
      <c r="N30" s="103"/>
      <c r="O30" s="104"/>
    </row>
    <row r="31" spans="1:15" s="82" customFormat="1" ht="12.75" customHeight="1">
      <c r="A31" s="900"/>
      <c r="B31" s="1123">
        <v>7</v>
      </c>
      <c r="C31" s="1127"/>
      <c r="D31" s="1125"/>
      <c r="E31" s="1125" t="s">
        <v>18</v>
      </c>
      <c r="F31" s="1130" t="str">
        <f>VLOOKUP(E31,$N$13:$O$17,2,0)</f>
        <v>-</v>
      </c>
      <c r="G31" s="92"/>
      <c r="H31" s="1125"/>
      <c r="I31" s="1125"/>
      <c r="J31" s="1133"/>
      <c r="K31" s="1133"/>
      <c r="L31" s="892"/>
      <c r="M31" s="86"/>
      <c r="N31" s="103"/>
      <c r="O31" s="104"/>
    </row>
    <row r="32" spans="1:15" s="82" customFormat="1" ht="12.75" customHeight="1">
      <c r="A32" s="900"/>
      <c r="B32" s="1123"/>
      <c r="C32" s="1127"/>
      <c r="D32" s="1125"/>
      <c r="E32" s="1125"/>
      <c r="F32" s="1130"/>
      <c r="G32" s="95"/>
      <c r="H32" s="1125"/>
      <c r="I32" s="1125"/>
      <c r="J32" s="1134"/>
      <c r="K32" s="1134"/>
      <c r="L32" s="892"/>
      <c r="M32" s="86"/>
      <c r="N32" s="103"/>
      <c r="O32" s="104"/>
    </row>
    <row r="33" spans="1:15" s="82" customFormat="1" ht="12.75" customHeight="1">
      <c r="A33" s="900"/>
      <c r="B33" s="1124"/>
      <c r="C33" s="1128"/>
      <c r="D33" s="1126"/>
      <c r="E33" s="1126"/>
      <c r="F33" s="1132"/>
      <c r="G33" s="100"/>
      <c r="H33" s="1126"/>
      <c r="I33" s="1126"/>
      <c r="J33" s="1135"/>
      <c r="K33" s="1135"/>
      <c r="L33" s="892"/>
      <c r="M33" s="86"/>
      <c r="N33" s="103"/>
      <c r="O33" s="104"/>
    </row>
    <row r="34" spans="1:15" s="82" customFormat="1" ht="12.75" customHeight="1">
      <c r="A34" s="900"/>
      <c r="B34" s="1123">
        <v>8</v>
      </c>
      <c r="C34" s="1127"/>
      <c r="D34" s="1125"/>
      <c r="E34" s="1125" t="s">
        <v>18</v>
      </c>
      <c r="F34" s="1130" t="str">
        <f>VLOOKUP(E34,$N$13:$O$17,2,0)</f>
        <v>-</v>
      </c>
      <c r="G34" s="92"/>
      <c r="H34" s="1125"/>
      <c r="I34" s="1125"/>
      <c r="J34" s="1133"/>
      <c r="K34" s="1133"/>
      <c r="L34" s="892"/>
      <c r="M34" s="86"/>
      <c r="N34" s="103"/>
      <c r="O34" s="104"/>
    </row>
    <row r="35" spans="1:15" s="82" customFormat="1" ht="12.75" customHeight="1">
      <c r="A35" s="900"/>
      <c r="B35" s="1123"/>
      <c r="C35" s="1127"/>
      <c r="D35" s="1125"/>
      <c r="E35" s="1125"/>
      <c r="F35" s="1130"/>
      <c r="G35" s="91"/>
      <c r="H35" s="1125"/>
      <c r="I35" s="1125"/>
      <c r="J35" s="1134"/>
      <c r="K35" s="1134"/>
      <c r="L35" s="892"/>
      <c r="M35" s="86"/>
      <c r="N35" s="103"/>
      <c r="O35" s="104"/>
    </row>
    <row r="36" spans="1:15" s="82" customFormat="1" ht="12.75" customHeight="1">
      <c r="A36" s="900"/>
      <c r="B36" s="1124"/>
      <c r="C36" s="1128"/>
      <c r="D36" s="1126"/>
      <c r="E36" s="1126"/>
      <c r="F36" s="1132"/>
      <c r="G36" s="100"/>
      <c r="H36" s="1126"/>
      <c r="I36" s="1126"/>
      <c r="J36" s="1135"/>
      <c r="K36" s="1135"/>
      <c r="L36" s="892"/>
      <c r="M36" s="86"/>
      <c r="N36" s="103"/>
      <c r="O36" s="104"/>
    </row>
    <row r="37" spans="1:15" s="82" customFormat="1" ht="12.75" customHeight="1">
      <c r="A37" s="900"/>
      <c r="B37" s="1123">
        <v>9</v>
      </c>
      <c r="C37" s="1127"/>
      <c r="D37" s="1125"/>
      <c r="E37" s="1125" t="s">
        <v>18</v>
      </c>
      <c r="F37" s="1130" t="str">
        <f>VLOOKUP(E37,$N$13:$O$17,2,0)</f>
        <v>-</v>
      </c>
      <c r="G37" s="92"/>
      <c r="H37" s="1125"/>
      <c r="I37" s="1125"/>
      <c r="J37" s="1133"/>
      <c r="K37" s="1133"/>
      <c r="L37" s="892"/>
      <c r="M37" s="86"/>
      <c r="N37" s="103"/>
      <c r="O37" s="104"/>
    </row>
    <row r="38" spans="1:15" s="82" customFormat="1" ht="12.75" customHeight="1">
      <c r="A38" s="900"/>
      <c r="B38" s="1123"/>
      <c r="C38" s="1127"/>
      <c r="D38" s="1125"/>
      <c r="E38" s="1125"/>
      <c r="F38" s="1130"/>
      <c r="G38" s="95"/>
      <c r="H38" s="1125"/>
      <c r="I38" s="1125"/>
      <c r="J38" s="1134"/>
      <c r="K38" s="1134"/>
      <c r="L38" s="892"/>
      <c r="M38" s="86"/>
      <c r="N38" s="103"/>
      <c r="O38" s="104"/>
    </row>
    <row r="39" spans="1:15" s="82" customFormat="1" ht="12.75" customHeight="1">
      <c r="A39" s="900"/>
      <c r="B39" s="1124"/>
      <c r="C39" s="1128"/>
      <c r="D39" s="1126"/>
      <c r="E39" s="1126"/>
      <c r="F39" s="1132"/>
      <c r="G39" s="100"/>
      <c r="H39" s="1126"/>
      <c r="I39" s="1126"/>
      <c r="J39" s="1135"/>
      <c r="K39" s="1135"/>
      <c r="L39" s="892"/>
      <c r="M39" s="86"/>
      <c r="N39" s="103"/>
      <c r="O39" s="104"/>
    </row>
    <row r="40" spans="1:15" s="82" customFormat="1" ht="12.75" customHeight="1">
      <c r="A40" s="900"/>
      <c r="B40" s="1123">
        <v>10</v>
      </c>
      <c r="C40" s="1127"/>
      <c r="D40" s="1125"/>
      <c r="E40" s="1125" t="s">
        <v>18</v>
      </c>
      <c r="F40" s="1130" t="str">
        <f>VLOOKUP(E40,$N$13:$O$17,2,0)</f>
        <v>-</v>
      </c>
      <c r="G40" s="92"/>
      <c r="H40" s="1125"/>
      <c r="I40" s="1125"/>
      <c r="J40" s="1133"/>
      <c r="K40" s="1133"/>
      <c r="L40" s="892"/>
      <c r="M40" s="86"/>
      <c r="N40" s="103"/>
      <c r="O40" s="104"/>
    </row>
    <row r="41" spans="1:15" s="82" customFormat="1" ht="12.75" customHeight="1">
      <c r="A41" s="900"/>
      <c r="B41" s="1123"/>
      <c r="C41" s="1127"/>
      <c r="D41" s="1125"/>
      <c r="E41" s="1125"/>
      <c r="F41" s="1130"/>
      <c r="G41" s="95"/>
      <c r="H41" s="1125"/>
      <c r="I41" s="1125"/>
      <c r="J41" s="1134"/>
      <c r="K41" s="1134"/>
      <c r="L41" s="892"/>
      <c r="M41" s="86"/>
      <c r="N41" s="103"/>
      <c r="O41" s="104"/>
    </row>
    <row r="42" spans="1:15" s="82" customFormat="1" ht="12.75" customHeight="1" thickBot="1">
      <c r="A42" s="900"/>
      <c r="B42" s="1124"/>
      <c r="C42" s="1128"/>
      <c r="D42" s="1126"/>
      <c r="E42" s="1126"/>
      <c r="F42" s="1132"/>
      <c r="G42" s="100"/>
      <c r="H42" s="1126"/>
      <c r="I42" s="1126"/>
      <c r="J42" s="1135"/>
      <c r="K42" s="1135"/>
      <c r="L42" s="892"/>
      <c r="M42" s="86"/>
      <c r="N42" s="103"/>
      <c r="O42" s="104"/>
    </row>
    <row r="43" spans="1:15" s="103" customFormat="1" ht="15.75" hidden="1" customHeight="1" outlineLevel="1">
      <c r="A43" s="916"/>
      <c r="B43" s="1123">
        <v>11</v>
      </c>
      <c r="C43" s="1127"/>
      <c r="D43" s="1125"/>
      <c r="E43" s="1125" t="s">
        <v>18</v>
      </c>
      <c r="F43" s="1130" t="str">
        <f>VLOOKUP(E43,$N$13:$O$17,2,0)</f>
        <v>-</v>
      </c>
      <c r="G43" s="92"/>
      <c r="H43" s="1125"/>
      <c r="I43" s="1125"/>
      <c r="J43" s="1133"/>
      <c r="K43" s="1133"/>
      <c r="L43" s="916"/>
    </row>
    <row r="44" spans="1:15" s="103" customFormat="1" ht="15.75" hidden="1" customHeight="1" outlineLevel="1">
      <c r="A44" s="916"/>
      <c r="B44" s="1123"/>
      <c r="C44" s="1127"/>
      <c r="D44" s="1125"/>
      <c r="E44" s="1125"/>
      <c r="F44" s="1130"/>
      <c r="G44" s="95"/>
      <c r="H44" s="1125"/>
      <c r="I44" s="1125"/>
      <c r="J44" s="1134"/>
      <c r="K44" s="1134"/>
      <c r="L44" s="916"/>
    </row>
    <row r="45" spans="1:15" s="80" customFormat="1" ht="15.75" hidden="1" customHeight="1" outlineLevel="1">
      <c r="A45" s="910"/>
      <c r="B45" s="1124"/>
      <c r="C45" s="1128"/>
      <c r="D45" s="1126"/>
      <c r="E45" s="1126"/>
      <c r="F45" s="1132"/>
      <c r="G45" s="100"/>
      <c r="H45" s="1126"/>
      <c r="I45" s="1126"/>
      <c r="J45" s="1135"/>
      <c r="K45" s="1135"/>
      <c r="L45" s="910"/>
    </row>
    <row r="46" spans="1:15" s="80" customFormat="1" ht="15.75" hidden="1" customHeight="1" outlineLevel="1">
      <c r="A46" s="910"/>
      <c r="B46" s="1123">
        <v>12</v>
      </c>
      <c r="C46" s="1127"/>
      <c r="D46" s="1125"/>
      <c r="E46" s="1125" t="s">
        <v>18</v>
      </c>
      <c r="F46" s="1130" t="str">
        <f>VLOOKUP(E46,$N$13:$O$17,2,0)</f>
        <v>-</v>
      </c>
      <c r="G46" s="92"/>
      <c r="H46" s="1125"/>
      <c r="I46" s="1125"/>
      <c r="J46" s="1133"/>
      <c r="K46" s="1133"/>
      <c r="L46" s="910"/>
    </row>
    <row r="47" spans="1:15" s="103" customFormat="1" ht="15.75" hidden="1" customHeight="1" outlineLevel="1">
      <c r="A47" s="916"/>
      <c r="B47" s="1123"/>
      <c r="C47" s="1127"/>
      <c r="D47" s="1125"/>
      <c r="E47" s="1125"/>
      <c r="F47" s="1130"/>
      <c r="G47" s="95"/>
      <c r="H47" s="1125"/>
      <c r="I47" s="1125"/>
      <c r="J47" s="1134"/>
      <c r="K47" s="1134"/>
      <c r="L47" s="916"/>
    </row>
    <row r="48" spans="1:15" s="103" customFormat="1" ht="15.75" hidden="1" customHeight="1" outlineLevel="1">
      <c r="A48" s="916"/>
      <c r="B48" s="1124"/>
      <c r="C48" s="1128"/>
      <c r="D48" s="1126"/>
      <c r="E48" s="1126"/>
      <c r="F48" s="1132"/>
      <c r="G48" s="100"/>
      <c r="H48" s="1126"/>
      <c r="I48" s="1126"/>
      <c r="J48" s="1135"/>
      <c r="K48" s="1135"/>
      <c r="L48" s="916"/>
    </row>
    <row r="49" spans="1:12" s="103" customFormat="1" ht="15.75" hidden="1" customHeight="1" outlineLevel="1">
      <c r="A49" s="916"/>
      <c r="B49" s="1123">
        <v>13</v>
      </c>
      <c r="C49" s="1127"/>
      <c r="D49" s="1125"/>
      <c r="E49" s="1125" t="s">
        <v>18</v>
      </c>
      <c r="F49" s="1130" t="str">
        <f>VLOOKUP(E49,$N$13:$O$17,2,0)</f>
        <v>-</v>
      </c>
      <c r="G49" s="92"/>
      <c r="H49" s="1125"/>
      <c r="I49" s="1125"/>
      <c r="J49" s="1133"/>
      <c r="K49" s="1133"/>
      <c r="L49" s="916"/>
    </row>
    <row r="50" spans="1:12" s="103" customFormat="1" ht="15.75" hidden="1" customHeight="1" outlineLevel="1">
      <c r="A50" s="916"/>
      <c r="B50" s="1123"/>
      <c r="C50" s="1127"/>
      <c r="D50" s="1125"/>
      <c r="E50" s="1125"/>
      <c r="F50" s="1130"/>
      <c r="G50" s="95"/>
      <c r="H50" s="1125"/>
      <c r="I50" s="1125"/>
      <c r="J50" s="1134"/>
      <c r="K50" s="1134"/>
      <c r="L50" s="916"/>
    </row>
    <row r="51" spans="1:12" s="103" customFormat="1" ht="15.75" hidden="1" customHeight="1" outlineLevel="1">
      <c r="A51" s="916"/>
      <c r="B51" s="1124"/>
      <c r="C51" s="1128"/>
      <c r="D51" s="1126"/>
      <c r="E51" s="1126"/>
      <c r="F51" s="1132"/>
      <c r="G51" s="100"/>
      <c r="H51" s="1126"/>
      <c r="I51" s="1126"/>
      <c r="J51" s="1135"/>
      <c r="K51" s="1135"/>
      <c r="L51" s="916"/>
    </row>
    <row r="52" spans="1:12" s="103" customFormat="1" ht="15.75" hidden="1" customHeight="1" outlineLevel="1">
      <c r="A52" s="916"/>
      <c r="B52" s="1123">
        <v>14</v>
      </c>
      <c r="C52" s="1127"/>
      <c r="D52" s="1125"/>
      <c r="E52" s="1125" t="s">
        <v>18</v>
      </c>
      <c r="F52" s="1130" t="str">
        <f>VLOOKUP(E52,$N$13:$O$17,2,0)</f>
        <v>-</v>
      </c>
      <c r="G52" s="92"/>
      <c r="H52" s="1125"/>
      <c r="I52" s="1125"/>
      <c r="J52" s="1133"/>
      <c r="K52" s="1133"/>
      <c r="L52" s="916"/>
    </row>
    <row r="53" spans="1:12" s="103" customFormat="1" ht="15.75" hidden="1" customHeight="1" outlineLevel="1">
      <c r="A53" s="916"/>
      <c r="B53" s="1123"/>
      <c r="C53" s="1127"/>
      <c r="D53" s="1125"/>
      <c r="E53" s="1125"/>
      <c r="F53" s="1130"/>
      <c r="G53" s="95"/>
      <c r="H53" s="1125"/>
      <c r="I53" s="1125"/>
      <c r="J53" s="1134"/>
      <c r="K53" s="1134"/>
      <c r="L53" s="916"/>
    </row>
    <row r="54" spans="1:12" s="103" customFormat="1" ht="15.75" hidden="1" customHeight="1" outlineLevel="1">
      <c r="A54" s="916"/>
      <c r="B54" s="1124"/>
      <c r="C54" s="1128"/>
      <c r="D54" s="1126"/>
      <c r="E54" s="1126"/>
      <c r="F54" s="1132"/>
      <c r="G54" s="100"/>
      <c r="H54" s="1126"/>
      <c r="I54" s="1126"/>
      <c r="J54" s="1135"/>
      <c r="K54" s="1135"/>
      <c r="L54" s="916"/>
    </row>
    <row r="55" spans="1:12" s="103" customFormat="1" ht="15.75" hidden="1" customHeight="1" outlineLevel="1">
      <c r="A55" s="916"/>
      <c r="B55" s="1123">
        <v>15</v>
      </c>
      <c r="C55" s="1127"/>
      <c r="D55" s="1125"/>
      <c r="E55" s="1125" t="s">
        <v>18</v>
      </c>
      <c r="F55" s="1130" t="str">
        <f>VLOOKUP(E55,$N$13:$O$17,2,0)</f>
        <v>-</v>
      </c>
      <c r="G55" s="92"/>
      <c r="H55" s="1125"/>
      <c r="I55" s="1125"/>
      <c r="J55" s="1133"/>
      <c r="K55" s="1133"/>
      <c r="L55" s="916"/>
    </row>
    <row r="56" spans="1:12" s="103" customFormat="1" ht="15.75" hidden="1" customHeight="1" outlineLevel="1">
      <c r="A56" s="916"/>
      <c r="B56" s="1123"/>
      <c r="C56" s="1127"/>
      <c r="D56" s="1125"/>
      <c r="E56" s="1125"/>
      <c r="F56" s="1130"/>
      <c r="G56" s="95"/>
      <c r="H56" s="1125"/>
      <c r="I56" s="1125"/>
      <c r="J56" s="1134"/>
      <c r="K56" s="1134"/>
      <c r="L56" s="916"/>
    </row>
    <row r="57" spans="1:12" s="103" customFormat="1" ht="15.75" hidden="1" customHeight="1" outlineLevel="1">
      <c r="A57" s="916"/>
      <c r="B57" s="1124"/>
      <c r="C57" s="1128"/>
      <c r="D57" s="1126"/>
      <c r="E57" s="1126"/>
      <c r="F57" s="1132"/>
      <c r="G57" s="100"/>
      <c r="H57" s="1126"/>
      <c r="I57" s="1126"/>
      <c r="J57" s="1135"/>
      <c r="K57" s="1135"/>
      <c r="L57" s="916"/>
    </row>
    <row r="58" spans="1:12" s="103" customFormat="1" ht="15.75" hidden="1" customHeight="1" outlineLevel="1">
      <c r="A58" s="916"/>
      <c r="B58" s="1123">
        <v>16</v>
      </c>
      <c r="C58" s="1127"/>
      <c r="D58" s="1125"/>
      <c r="E58" s="1125" t="s">
        <v>18</v>
      </c>
      <c r="F58" s="1130"/>
      <c r="G58" s="92"/>
      <c r="H58" s="1125"/>
      <c r="I58" s="1125"/>
      <c r="J58" s="1133"/>
      <c r="K58" s="1133"/>
      <c r="L58" s="916"/>
    </row>
    <row r="59" spans="1:12" s="103" customFormat="1" ht="15.75" hidden="1" customHeight="1" outlineLevel="1">
      <c r="A59" s="916"/>
      <c r="B59" s="1123"/>
      <c r="C59" s="1127"/>
      <c r="D59" s="1125"/>
      <c r="E59" s="1125"/>
      <c r="F59" s="1130"/>
      <c r="G59" s="95"/>
      <c r="H59" s="1125"/>
      <c r="I59" s="1125"/>
      <c r="J59" s="1134"/>
      <c r="K59" s="1134"/>
      <c r="L59" s="916"/>
    </row>
    <row r="60" spans="1:12" s="103" customFormat="1" ht="15.75" hidden="1" customHeight="1" outlineLevel="1">
      <c r="A60" s="916"/>
      <c r="B60" s="1124"/>
      <c r="C60" s="1128"/>
      <c r="D60" s="1126"/>
      <c r="E60" s="1126"/>
      <c r="F60" s="1132"/>
      <c r="G60" s="100"/>
      <c r="H60" s="1126"/>
      <c r="I60" s="1126"/>
      <c r="J60" s="1135"/>
      <c r="K60" s="1135"/>
      <c r="L60" s="916"/>
    </row>
    <row r="61" spans="1:12" s="103" customFormat="1" ht="15.75" hidden="1" customHeight="1" outlineLevel="1">
      <c r="A61" s="916"/>
      <c r="B61" s="1123">
        <v>17</v>
      </c>
      <c r="C61" s="1127"/>
      <c r="D61" s="1125"/>
      <c r="E61" s="1125" t="s">
        <v>18</v>
      </c>
      <c r="F61" s="1130" t="str">
        <f>VLOOKUP(E61,$N$13:$O$17,2,0)</f>
        <v>-</v>
      </c>
      <c r="G61" s="92"/>
      <c r="H61" s="1125"/>
      <c r="I61" s="1125"/>
      <c r="J61" s="1133"/>
      <c r="K61" s="1133"/>
      <c r="L61" s="916"/>
    </row>
    <row r="62" spans="1:12" s="103" customFormat="1" ht="15.75" hidden="1" customHeight="1" outlineLevel="1">
      <c r="A62" s="916"/>
      <c r="B62" s="1123"/>
      <c r="C62" s="1127"/>
      <c r="D62" s="1125"/>
      <c r="E62" s="1125"/>
      <c r="F62" s="1130"/>
      <c r="G62" s="95"/>
      <c r="H62" s="1125"/>
      <c r="I62" s="1125"/>
      <c r="J62" s="1134"/>
      <c r="K62" s="1134"/>
      <c r="L62" s="916"/>
    </row>
    <row r="63" spans="1:12" s="103" customFormat="1" ht="15.75" hidden="1" customHeight="1" outlineLevel="1">
      <c r="A63" s="916"/>
      <c r="B63" s="1124"/>
      <c r="C63" s="1128"/>
      <c r="D63" s="1126"/>
      <c r="E63" s="1126"/>
      <c r="F63" s="1132"/>
      <c r="G63" s="100"/>
      <c r="H63" s="1126"/>
      <c r="I63" s="1126"/>
      <c r="J63" s="1135"/>
      <c r="K63" s="1135"/>
      <c r="L63" s="916"/>
    </row>
    <row r="64" spans="1:12" s="103" customFormat="1" ht="15.75" hidden="1" customHeight="1" outlineLevel="1">
      <c r="A64" s="916"/>
      <c r="B64" s="1123">
        <v>18</v>
      </c>
      <c r="C64" s="1127"/>
      <c r="D64" s="1125"/>
      <c r="E64" s="1125" t="s">
        <v>18</v>
      </c>
      <c r="F64" s="1130" t="str">
        <f>VLOOKUP(E64,$N$13:$O$17,2,0)</f>
        <v>-</v>
      </c>
      <c r="G64" s="92"/>
      <c r="H64" s="1125"/>
      <c r="I64" s="1125"/>
      <c r="J64" s="1133"/>
      <c r="K64" s="1133"/>
      <c r="L64" s="916"/>
    </row>
    <row r="65" spans="1:12" s="103" customFormat="1" ht="15.75" hidden="1" customHeight="1" outlineLevel="1">
      <c r="A65" s="916"/>
      <c r="B65" s="1123"/>
      <c r="C65" s="1127"/>
      <c r="D65" s="1125"/>
      <c r="E65" s="1125"/>
      <c r="F65" s="1130"/>
      <c r="G65" s="95"/>
      <c r="H65" s="1125"/>
      <c r="I65" s="1125"/>
      <c r="J65" s="1134"/>
      <c r="K65" s="1134"/>
      <c r="L65" s="916"/>
    </row>
    <row r="66" spans="1:12" s="103" customFormat="1" ht="15.75" hidden="1" customHeight="1" outlineLevel="1">
      <c r="A66" s="916"/>
      <c r="B66" s="1124"/>
      <c r="C66" s="1128"/>
      <c r="D66" s="1126"/>
      <c r="E66" s="1126"/>
      <c r="F66" s="1132"/>
      <c r="G66" s="100"/>
      <c r="H66" s="1126"/>
      <c r="I66" s="1126"/>
      <c r="J66" s="1135"/>
      <c r="K66" s="1135"/>
      <c r="L66" s="916"/>
    </row>
    <row r="67" spans="1:12" s="103" customFormat="1" ht="15.75" hidden="1" customHeight="1" outlineLevel="1">
      <c r="A67" s="916"/>
      <c r="B67" s="1123">
        <v>19</v>
      </c>
      <c r="C67" s="1127"/>
      <c r="D67" s="1125"/>
      <c r="E67" s="1125" t="s">
        <v>18</v>
      </c>
      <c r="F67" s="1130" t="str">
        <f>VLOOKUP(E67,$N$13:$O$17,2,0)</f>
        <v>-</v>
      </c>
      <c r="G67" s="92"/>
      <c r="H67" s="1125"/>
      <c r="I67" s="1125"/>
      <c r="J67" s="1133"/>
      <c r="K67" s="1133"/>
      <c r="L67" s="916"/>
    </row>
    <row r="68" spans="1:12" s="103" customFormat="1" ht="15.75" hidden="1" customHeight="1" outlineLevel="1">
      <c r="A68" s="916"/>
      <c r="B68" s="1123"/>
      <c r="C68" s="1127"/>
      <c r="D68" s="1125"/>
      <c r="E68" s="1125"/>
      <c r="F68" s="1130"/>
      <c r="G68" s="95"/>
      <c r="H68" s="1125"/>
      <c r="I68" s="1125"/>
      <c r="J68" s="1134"/>
      <c r="K68" s="1134"/>
      <c r="L68" s="916"/>
    </row>
    <row r="69" spans="1:12" s="103" customFormat="1" ht="15.75" hidden="1" customHeight="1" outlineLevel="1">
      <c r="A69" s="916"/>
      <c r="B69" s="1124"/>
      <c r="C69" s="1128"/>
      <c r="D69" s="1126"/>
      <c r="E69" s="1126"/>
      <c r="F69" s="1132"/>
      <c r="G69" s="100"/>
      <c r="H69" s="1126"/>
      <c r="I69" s="1126"/>
      <c r="J69" s="1135"/>
      <c r="K69" s="1135"/>
      <c r="L69" s="916"/>
    </row>
    <row r="70" spans="1:12" s="103" customFormat="1" ht="15.75" hidden="1" customHeight="1" outlineLevel="1">
      <c r="A70" s="916"/>
      <c r="B70" s="1123">
        <v>20</v>
      </c>
      <c r="C70" s="1127"/>
      <c r="D70" s="1125"/>
      <c r="E70" s="1125" t="s">
        <v>18</v>
      </c>
      <c r="F70" s="1130" t="str">
        <f>VLOOKUP(E70,$N$13:$O$17,2,0)</f>
        <v>-</v>
      </c>
      <c r="G70" s="92"/>
      <c r="H70" s="1125"/>
      <c r="I70" s="1125"/>
      <c r="J70" s="1133"/>
      <c r="K70" s="1133"/>
      <c r="L70" s="916"/>
    </row>
    <row r="71" spans="1:12" s="103" customFormat="1" ht="15.75" hidden="1" customHeight="1" outlineLevel="1">
      <c r="A71" s="916"/>
      <c r="B71" s="1123"/>
      <c r="C71" s="1127"/>
      <c r="D71" s="1125"/>
      <c r="E71" s="1125"/>
      <c r="F71" s="1130"/>
      <c r="G71" s="95"/>
      <c r="H71" s="1125"/>
      <c r="I71" s="1125"/>
      <c r="J71" s="1134"/>
      <c r="K71" s="1134"/>
      <c r="L71" s="916"/>
    </row>
    <row r="72" spans="1:12" s="103" customFormat="1" ht="15.75" hidden="1" customHeight="1" outlineLevel="1">
      <c r="A72" s="916"/>
      <c r="B72" s="1124"/>
      <c r="C72" s="1128"/>
      <c r="D72" s="1126"/>
      <c r="E72" s="1126"/>
      <c r="F72" s="1132"/>
      <c r="G72" s="100"/>
      <c r="H72" s="1126"/>
      <c r="I72" s="1126"/>
      <c r="J72" s="1135"/>
      <c r="K72" s="1135"/>
      <c r="L72" s="916"/>
    </row>
    <row r="73" spans="1:12" s="103" customFormat="1" ht="15.75" hidden="1" customHeight="1" outlineLevel="1">
      <c r="A73" s="916"/>
      <c r="B73" s="1123">
        <v>21</v>
      </c>
      <c r="C73" s="1127"/>
      <c r="D73" s="1125"/>
      <c r="E73" s="1125" t="s">
        <v>18</v>
      </c>
      <c r="F73" s="1130" t="str">
        <f>VLOOKUP(E73,$N$13:$O$17,2,0)</f>
        <v>-</v>
      </c>
      <c r="G73" s="92"/>
      <c r="H73" s="1125"/>
      <c r="I73" s="1125"/>
      <c r="J73" s="1133"/>
      <c r="K73" s="1133"/>
      <c r="L73" s="916"/>
    </row>
    <row r="74" spans="1:12" s="103" customFormat="1" ht="15.75" hidden="1" customHeight="1" outlineLevel="1">
      <c r="A74" s="916"/>
      <c r="B74" s="1123"/>
      <c r="C74" s="1127"/>
      <c r="D74" s="1125"/>
      <c r="E74" s="1125"/>
      <c r="F74" s="1130"/>
      <c r="G74" s="95"/>
      <c r="H74" s="1125"/>
      <c r="I74" s="1125"/>
      <c r="J74" s="1134"/>
      <c r="K74" s="1134"/>
      <c r="L74" s="916"/>
    </row>
    <row r="75" spans="1:12" s="103" customFormat="1" ht="15.75" hidden="1" customHeight="1" outlineLevel="1">
      <c r="A75" s="916"/>
      <c r="B75" s="1124"/>
      <c r="C75" s="1128"/>
      <c r="D75" s="1126"/>
      <c r="E75" s="1126"/>
      <c r="F75" s="1132"/>
      <c r="G75" s="100"/>
      <c r="H75" s="1126"/>
      <c r="I75" s="1126"/>
      <c r="J75" s="1135"/>
      <c r="K75" s="1135"/>
      <c r="L75" s="916"/>
    </row>
    <row r="76" spans="1:12" s="103" customFormat="1" ht="15.75" hidden="1" customHeight="1" outlineLevel="1">
      <c r="A76" s="916"/>
      <c r="B76" s="1123">
        <v>22</v>
      </c>
      <c r="C76" s="1127"/>
      <c r="D76" s="1125"/>
      <c r="E76" s="1125" t="s">
        <v>18</v>
      </c>
      <c r="F76" s="1130" t="str">
        <f>VLOOKUP(E76,$N$13:$O$17,2,0)</f>
        <v>-</v>
      </c>
      <c r="G76" s="92"/>
      <c r="H76" s="1125"/>
      <c r="I76" s="1125"/>
      <c r="J76" s="1133"/>
      <c r="K76" s="1133"/>
      <c r="L76" s="916"/>
    </row>
    <row r="77" spans="1:12" s="103" customFormat="1" ht="15.75" hidden="1" customHeight="1" outlineLevel="1">
      <c r="A77" s="916"/>
      <c r="B77" s="1123"/>
      <c r="C77" s="1127"/>
      <c r="D77" s="1125"/>
      <c r="E77" s="1125"/>
      <c r="F77" s="1130"/>
      <c r="G77" s="95"/>
      <c r="H77" s="1125"/>
      <c r="I77" s="1125"/>
      <c r="J77" s="1134"/>
      <c r="K77" s="1134"/>
      <c r="L77" s="916"/>
    </row>
    <row r="78" spans="1:12" s="103" customFormat="1" ht="15.75" hidden="1" customHeight="1" outlineLevel="1">
      <c r="A78" s="916"/>
      <c r="B78" s="1124"/>
      <c r="C78" s="1128"/>
      <c r="D78" s="1126"/>
      <c r="E78" s="1126"/>
      <c r="F78" s="1132"/>
      <c r="G78" s="100"/>
      <c r="H78" s="1126"/>
      <c r="I78" s="1126"/>
      <c r="J78" s="1135"/>
      <c r="K78" s="1135"/>
      <c r="L78" s="916"/>
    </row>
    <row r="79" spans="1:12" s="103" customFormat="1" ht="15.75" hidden="1" customHeight="1" outlineLevel="1">
      <c r="A79" s="916"/>
      <c r="B79" s="1123">
        <v>23</v>
      </c>
      <c r="C79" s="1127"/>
      <c r="D79" s="1125"/>
      <c r="E79" s="1125" t="s">
        <v>18</v>
      </c>
      <c r="F79" s="1130" t="str">
        <f>VLOOKUP(E79,$N$13:$O$17,2,0)</f>
        <v>-</v>
      </c>
      <c r="G79" s="92"/>
      <c r="H79" s="1125"/>
      <c r="I79" s="1125"/>
      <c r="J79" s="1133"/>
      <c r="K79" s="1133"/>
      <c r="L79" s="916"/>
    </row>
    <row r="80" spans="1:12" s="103" customFormat="1" ht="15.75" hidden="1" customHeight="1" outlineLevel="1">
      <c r="A80" s="916"/>
      <c r="B80" s="1123"/>
      <c r="C80" s="1127"/>
      <c r="D80" s="1125"/>
      <c r="E80" s="1125"/>
      <c r="F80" s="1130"/>
      <c r="G80" s="95"/>
      <c r="H80" s="1125"/>
      <c r="I80" s="1125"/>
      <c r="J80" s="1134"/>
      <c r="K80" s="1134"/>
      <c r="L80" s="916"/>
    </row>
    <row r="81" spans="1:12" s="103" customFormat="1" ht="15.75" hidden="1" customHeight="1" outlineLevel="1">
      <c r="A81" s="916"/>
      <c r="B81" s="1124"/>
      <c r="C81" s="1128"/>
      <c r="D81" s="1126"/>
      <c r="E81" s="1126"/>
      <c r="F81" s="1132"/>
      <c r="G81" s="100"/>
      <c r="H81" s="1126"/>
      <c r="I81" s="1126"/>
      <c r="J81" s="1135"/>
      <c r="K81" s="1135"/>
      <c r="L81" s="916"/>
    </row>
    <row r="82" spans="1:12" s="103" customFormat="1" ht="15.75" hidden="1" customHeight="1" outlineLevel="1">
      <c r="A82" s="916"/>
      <c r="B82" s="1123">
        <v>24</v>
      </c>
      <c r="C82" s="1127"/>
      <c r="D82" s="1125"/>
      <c r="E82" s="1125" t="s">
        <v>18</v>
      </c>
      <c r="F82" s="1130" t="str">
        <f>VLOOKUP(E82,$N$13:$O$17,2,0)</f>
        <v>-</v>
      </c>
      <c r="G82" s="92"/>
      <c r="H82" s="1125"/>
      <c r="I82" s="1125"/>
      <c r="J82" s="1133"/>
      <c r="K82" s="1133"/>
      <c r="L82" s="916"/>
    </row>
    <row r="83" spans="1:12" s="103" customFormat="1" ht="15.75" hidden="1" customHeight="1" outlineLevel="1">
      <c r="A83" s="916"/>
      <c r="B83" s="1123"/>
      <c r="C83" s="1127"/>
      <c r="D83" s="1125"/>
      <c r="E83" s="1125"/>
      <c r="F83" s="1130"/>
      <c r="G83" s="95"/>
      <c r="H83" s="1125"/>
      <c r="I83" s="1125"/>
      <c r="J83" s="1134"/>
      <c r="K83" s="1134"/>
      <c r="L83" s="916"/>
    </row>
    <row r="84" spans="1:12" s="103" customFormat="1" ht="15.75" hidden="1" customHeight="1" outlineLevel="1">
      <c r="A84" s="916"/>
      <c r="B84" s="1124"/>
      <c r="C84" s="1128"/>
      <c r="D84" s="1126"/>
      <c r="E84" s="1126"/>
      <c r="F84" s="1132"/>
      <c r="G84" s="100"/>
      <c r="H84" s="1126"/>
      <c r="I84" s="1126"/>
      <c r="J84" s="1135"/>
      <c r="K84" s="1135"/>
      <c r="L84" s="916"/>
    </row>
    <row r="85" spans="1:12" s="103" customFormat="1" ht="15.75" hidden="1" customHeight="1" outlineLevel="1">
      <c r="A85" s="916"/>
      <c r="B85" s="1123">
        <v>25</v>
      </c>
      <c r="C85" s="1127"/>
      <c r="D85" s="1125"/>
      <c r="E85" s="1125" t="s">
        <v>18</v>
      </c>
      <c r="F85" s="1130" t="str">
        <f>VLOOKUP(E85,$N$13:$O$17,2,0)</f>
        <v>-</v>
      </c>
      <c r="G85" s="92"/>
      <c r="H85" s="1125"/>
      <c r="I85" s="1125"/>
      <c r="J85" s="1133"/>
      <c r="K85" s="1133"/>
      <c r="L85" s="916"/>
    </row>
    <row r="86" spans="1:12" s="103" customFormat="1" ht="15.75" hidden="1" customHeight="1" outlineLevel="1">
      <c r="A86" s="916"/>
      <c r="B86" s="1123"/>
      <c r="C86" s="1127"/>
      <c r="D86" s="1125"/>
      <c r="E86" s="1125"/>
      <c r="F86" s="1130"/>
      <c r="G86" s="95"/>
      <c r="H86" s="1125"/>
      <c r="I86" s="1125"/>
      <c r="J86" s="1134"/>
      <c r="K86" s="1134"/>
      <c r="L86" s="916"/>
    </row>
    <row r="87" spans="1:12" s="103" customFormat="1" ht="15.75" hidden="1" customHeight="1" outlineLevel="1">
      <c r="A87" s="916"/>
      <c r="B87" s="1124"/>
      <c r="C87" s="1128"/>
      <c r="D87" s="1126"/>
      <c r="E87" s="1126"/>
      <c r="F87" s="1132"/>
      <c r="G87" s="100"/>
      <c r="H87" s="1126"/>
      <c r="I87" s="1126"/>
      <c r="J87" s="1135"/>
      <c r="K87" s="1135"/>
      <c r="L87" s="916"/>
    </row>
    <row r="88" spans="1:12" s="103" customFormat="1" ht="15.75" hidden="1" customHeight="1" outlineLevel="1">
      <c r="A88" s="916"/>
      <c r="B88" s="1123">
        <v>26</v>
      </c>
      <c r="C88" s="1127"/>
      <c r="D88" s="1125"/>
      <c r="E88" s="1125" t="s">
        <v>18</v>
      </c>
      <c r="F88" s="1130" t="str">
        <f>VLOOKUP(E88,$N$13:$O$17,2,0)</f>
        <v>-</v>
      </c>
      <c r="G88" s="92"/>
      <c r="H88" s="1125"/>
      <c r="I88" s="1125"/>
      <c r="J88" s="1133"/>
      <c r="K88" s="1133"/>
      <c r="L88" s="916"/>
    </row>
    <row r="89" spans="1:12" s="103" customFormat="1" ht="15.75" hidden="1" customHeight="1" outlineLevel="1">
      <c r="A89" s="916"/>
      <c r="B89" s="1123"/>
      <c r="C89" s="1127"/>
      <c r="D89" s="1125"/>
      <c r="E89" s="1125"/>
      <c r="F89" s="1130"/>
      <c r="G89" s="95"/>
      <c r="H89" s="1125"/>
      <c r="I89" s="1125"/>
      <c r="J89" s="1134"/>
      <c r="K89" s="1134"/>
      <c r="L89" s="916"/>
    </row>
    <row r="90" spans="1:12" s="103" customFormat="1" ht="15.75" hidden="1" customHeight="1" outlineLevel="1">
      <c r="A90" s="916"/>
      <c r="B90" s="1124"/>
      <c r="C90" s="1128"/>
      <c r="D90" s="1126"/>
      <c r="E90" s="1126"/>
      <c r="F90" s="1132"/>
      <c r="G90" s="100"/>
      <c r="H90" s="1126"/>
      <c r="I90" s="1126"/>
      <c r="J90" s="1135"/>
      <c r="K90" s="1135"/>
      <c r="L90" s="916"/>
    </row>
    <row r="91" spans="1:12" s="103" customFormat="1" ht="15.75" hidden="1" customHeight="1" outlineLevel="1">
      <c r="A91" s="916"/>
      <c r="B91" s="1123">
        <v>27</v>
      </c>
      <c r="C91" s="1127"/>
      <c r="D91" s="1125"/>
      <c r="E91" s="1125" t="s">
        <v>18</v>
      </c>
      <c r="F91" s="1130" t="str">
        <f>VLOOKUP(E91,$N$13:$O$17,2,0)</f>
        <v>-</v>
      </c>
      <c r="G91" s="92"/>
      <c r="H91" s="1125"/>
      <c r="I91" s="1125"/>
      <c r="J91" s="1133"/>
      <c r="K91" s="1133"/>
      <c r="L91" s="916"/>
    </row>
    <row r="92" spans="1:12" s="103" customFormat="1" ht="15.75" hidden="1" customHeight="1" outlineLevel="1">
      <c r="A92" s="916"/>
      <c r="B92" s="1123"/>
      <c r="C92" s="1127"/>
      <c r="D92" s="1125"/>
      <c r="E92" s="1125"/>
      <c r="F92" s="1130"/>
      <c r="G92" s="95"/>
      <c r="H92" s="1125"/>
      <c r="I92" s="1125"/>
      <c r="J92" s="1134"/>
      <c r="K92" s="1134"/>
      <c r="L92" s="916"/>
    </row>
    <row r="93" spans="1:12" s="103" customFormat="1" ht="15.75" hidden="1" customHeight="1" outlineLevel="1">
      <c r="A93" s="916"/>
      <c r="B93" s="1124"/>
      <c r="C93" s="1128"/>
      <c r="D93" s="1126"/>
      <c r="E93" s="1126"/>
      <c r="F93" s="1132"/>
      <c r="G93" s="100"/>
      <c r="H93" s="1126"/>
      <c r="I93" s="1126"/>
      <c r="J93" s="1135"/>
      <c r="K93" s="1135"/>
      <c r="L93" s="916"/>
    </row>
    <row r="94" spans="1:12" s="103" customFormat="1" ht="15.75" hidden="1" customHeight="1" outlineLevel="1">
      <c r="A94" s="916"/>
      <c r="B94" s="1123">
        <v>28</v>
      </c>
      <c r="C94" s="1127"/>
      <c r="D94" s="1125"/>
      <c r="E94" s="1125" t="s">
        <v>18</v>
      </c>
      <c r="F94" s="1130" t="str">
        <f>VLOOKUP(E94,$N$13:$O$17,2,0)</f>
        <v>-</v>
      </c>
      <c r="G94" s="92"/>
      <c r="H94" s="1125"/>
      <c r="I94" s="1125"/>
      <c r="J94" s="1133"/>
      <c r="K94" s="1133"/>
      <c r="L94" s="916"/>
    </row>
    <row r="95" spans="1:12" s="103" customFormat="1" ht="15.75" hidden="1" customHeight="1" outlineLevel="1">
      <c r="A95" s="916"/>
      <c r="B95" s="1123"/>
      <c r="C95" s="1127"/>
      <c r="D95" s="1125"/>
      <c r="E95" s="1125"/>
      <c r="F95" s="1130"/>
      <c r="G95" s="95"/>
      <c r="H95" s="1125"/>
      <c r="I95" s="1125"/>
      <c r="J95" s="1134"/>
      <c r="K95" s="1134"/>
      <c r="L95" s="916"/>
    </row>
    <row r="96" spans="1:12" s="103" customFormat="1" ht="15.75" hidden="1" customHeight="1" outlineLevel="1">
      <c r="A96" s="916"/>
      <c r="B96" s="1124"/>
      <c r="C96" s="1128"/>
      <c r="D96" s="1126"/>
      <c r="E96" s="1126"/>
      <c r="F96" s="1132"/>
      <c r="G96" s="100"/>
      <c r="H96" s="1126"/>
      <c r="I96" s="1126"/>
      <c r="J96" s="1135"/>
      <c r="K96" s="1135"/>
      <c r="L96" s="916"/>
    </row>
    <row r="97" spans="1:12" s="103" customFormat="1" ht="15.75" hidden="1" customHeight="1" outlineLevel="1">
      <c r="A97" s="916"/>
      <c r="B97" s="1123">
        <v>29</v>
      </c>
      <c r="C97" s="1127"/>
      <c r="D97" s="1125"/>
      <c r="E97" s="1125" t="s">
        <v>18</v>
      </c>
      <c r="F97" s="1130" t="str">
        <f>VLOOKUP(E97,$N$13:$O$17,2,0)</f>
        <v>-</v>
      </c>
      <c r="G97" s="92"/>
      <c r="H97" s="1125"/>
      <c r="I97" s="1125"/>
      <c r="J97" s="1133"/>
      <c r="K97" s="1133"/>
      <c r="L97" s="916"/>
    </row>
    <row r="98" spans="1:12" s="103" customFormat="1" ht="15.75" hidden="1" customHeight="1" outlineLevel="1">
      <c r="A98" s="916"/>
      <c r="B98" s="1123"/>
      <c r="C98" s="1127"/>
      <c r="D98" s="1125"/>
      <c r="E98" s="1125"/>
      <c r="F98" s="1130"/>
      <c r="G98" s="95"/>
      <c r="H98" s="1125"/>
      <c r="I98" s="1125"/>
      <c r="J98" s="1134"/>
      <c r="K98" s="1134"/>
      <c r="L98" s="916"/>
    </row>
    <row r="99" spans="1:12" s="103" customFormat="1" ht="15.75" hidden="1" customHeight="1" outlineLevel="1">
      <c r="A99" s="916"/>
      <c r="B99" s="1124"/>
      <c r="C99" s="1128"/>
      <c r="D99" s="1126"/>
      <c r="E99" s="1126"/>
      <c r="F99" s="1132"/>
      <c r="G99" s="100"/>
      <c r="H99" s="1126"/>
      <c r="I99" s="1126"/>
      <c r="J99" s="1135"/>
      <c r="K99" s="1135"/>
      <c r="L99" s="916"/>
    </row>
    <row r="100" spans="1:12" s="103" customFormat="1" ht="15.75" hidden="1" customHeight="1" outlineLevel="1">
      <c r="A100" s="916"/>
      <c r="B100" s="1123">
        <v>30</v>
      </c>
      <c r="C100" s="1127"/>
      <c r="D100" s="1125"/>
      <c r="E100" s="1125" t="s">
        <v>18</v>
      </c>
      <c r="F100" s="1130" t="str">
        <f>VLOOKUP(E100,$N$13:$O$17,2,0)</f>
        <v>-</v>
      </c>
      <c r="G100" s="92"/>
      <c r="H100" s="1125"/>
      <c r="I100" s="1125"/>
      <c r="J100" s="1133"/>
      <c r="K100" s="1133"/>
      <c r="L100" s="916"/>
    </row>
    <row r="101" spans="1:12" s="103" customFormat="1" ht="15.75" hidden="1" customHeight="1" outlineLevel="1">
      <c r="A101" s="916"/>
      <c r="B101" s="1123"/>
      <c r="C101" s="1127"/>
      <c r="D101" s="1125"/>
      <c r="E101" s="1125"/>
      <c r="F101" s="1130"/>
      <c r="G101" s="95"/>
      <c r="H101" s="1125"/>
      <c r="I101" s="1125"/>
      <c r="J101" s="1134"/>
      <c r="K101" s="1134"/>
      <c r="L101" s="916"/>
    </row>
    <row r="102" spans="1:12" s="103" customFormat="1" ht="15.75" hidden="1" customHeight="1" outlineLevel="1">
      <c r="A102" s="916"/>
      <c r="B102" s="1124"/>
      <c r="C102" s="1128"/>
      <c r="D102" s="1126"/>
      <c r="E102" s="1126"/>
      <c r="F102" s="1132"/>
      <c r="G102" s="100"/>
      <c r="H102" s="1126"/>
      <c r="I102" s="1126"/>
      <c r="J102" s="1135"/>
      <c r="K102" s="1135"/>
      <c r="L102" s="916"/>
    </row>
    <row r="103" spans="1:12" s="103" customFormat="1" ht="15.75" hidden="1" customHeight="1" outlineLevel="1">
      <c r="A103" s="916"/>
      <c r="B103" s="1123">
        <v>31</v>
      </c>
      <c r="C103" s="1127"/>
      <c r="D103" s="1125"/>
      <c r="E103" s="1125" t="s">
        <v>18</v>
      </c>
      <c r="F103" s="1130" t="str">
        <f>VLOOKUP(E103,$N$13:$O$17,2,0)</f>
        <v>-</v>
      </c>
      <c r="G103" s="92"/>
      <c r="H103" s="1125"/>
      <c r="I103" s="1125"/>
      <c r="J103" s="1133"/>
      <c r="K103" s="1133"/>
      <c r="L103" s="916"/>
    </row>
    <row r="104" spans="1:12" s="103" customFormat="1" ht="15.75" hidden="1" customHeight="1" outlineLevel="1">
      <c r="A104" s="916"/>
      <c r="B104" s="1123"/>
      <c r="C104" s="1127"/>
      <c r="D104" s="1125"/>
      <c r="E104" s="1125"/>
      <c r="F104" s="1130"/>
      <c r="G104" s="95"/>
      <c r="H104" s="1125"/>
      <c r="I104" s="1125"/>
      <c r="J104" s="1134"/>
      <c r="K104" s="1134"/>
      <c r="L104" s="916"/>
    </row>
    <row r="105" spans="1:12" s="103" customFormat="1" ht="15.75" hidden="1" customHeight="1" outlineLevel="1">
      <c r="A105" s="916"/>
      <c r="B105" s="1124"/>
      <c r="C105" s="1128"/>
      <c r="D105" s="1126"/>
      <c r="E105" s="1126"/>
      <c r="F105" s="1132"/>
      <c r="G105" s="100"/>
      <c r="H105" s="1126"/>
      <c r="I105" s="1126"/>
      <c r="J105" s="1135"/>
      <c r="K105" s="1135"/>
      <c r="L105" s="916"/>
    </row>
    <row r="106" spans="1:12" s="103" customFormat="1" ht="15.75" hidden="1" customHeight="1" outlineLevel="1">
      <c r="A106" s="916"/>
      <c r="B106" s="1123">
        <v>32</v>
      </c>
      <c r="C106" s="1127"/>
      <c r="D106" s="1125"/>
      <c r="E106" s="1125" t="s">
        <v>18</v>
      </c>
      <c r="F106" s="1130" t="str">
        <f>VLOOKUP(E106,$N$13:$O$17,2,0)</f>
        <v>-</v>
      </c>
      <c r="G106" s="92"/>
      <c r="H106" s="1125"/>
      <c r="I106" s="1125"/>
      <c r="J106" s="1133"/>
      <c r="K106" s="1133"/>
      <c r="L106" s="916"/>
    </row>
    <row r="107" spans="1:12" s="103" customFormat="1" ht="15.75" hidden="1" customHeight="1" outlineLevel="1">
      <c r="A107" s="916"/>
      <c r="B107" s="1123"/>
      <c r="C107" s="1127"/>
      <c r="D107" s="1125"/>
      <c r="E107" s="1125"/>
      <c r="F107" s="1130"/>
      <c r="G107" s="95"/>
      <c r="H107" s="1125"/>
      <c r="I107" s="1125"/>
      <c r="J107" s="1134"/>
      <c r="K107" s="1134"/>
      <c r="L107" s="916"/>
    </row>
    <row r="108" spans="1:12" s="103" customFormat="1" ht="15.75" hidden="1" customHeight="1" outlineLevel="1">
      <c r="A108" s="916"/>
      <c r="B108" s="1124"/>
      <c r="C108" s="1128"/>
      <c r="D108" s="1126"/>
      <c r="E108" s="1126"/>
      <c r="F108" s="1132"/>
      <c r="G108" s="100"/>
      <c r="H108" s="1126"/>
      <c r="I108" s="1126"/>
      <c r="J108" s="1135"/>
      <c r="K108" s="1135"/>
      <c r="L108" s="916"/>
    </row>
    <row r="109" spans="1:12" s="103" customFormat="1" ht="15.75" hidden="1" customHeight="1" outlineLevel="1">
      <c r="A109" s="916"/>
      <c r="B109" s="1123">
        <v>33</v>
      </c>
      <c r="C109" s="1127"/>
      <c r="D109" s="1125"/>
      <c r="E109" s="1125" t="s">
        <v>18</v>
      </c>
      <c r="F109" s="1130" t="str">
        <f>VLOOKUP(E109,$N$13:$O$17,2,0)</f>
        <v>-</v>
      </c>
      <c r="G109" s="92"/>
      <c r="H109" s="1125"/>
      <c r="I109" s="1125"/>
      <c r="J109" s="1133"/>
      <c r="K109" s="1133"/>
      <c r="L109" s="916"/>
    </row>
    <row r="110" spans="1:12" s="103" customFormat="1" ht="15.75" hidden="1" customHeight="1" outlineLevel="1">
      <c r="A110" s="916"/>
      <c r="B110" s="1123"/>
      <c r="C110" s="1127"/>
      <c r="D110" s="1125"/>
      <c r="E110" s="1125"/>
      <c r="F110" s="1130"/>
      <c r="G110" s="95"/>
      <c r="H110" s="1125"/>
      <c r="I110" s="1125"/>
      <c r="J110" s="1134"/>
      <c r="K110" s="1134"/>
      <c r="L110" s="916"/>
    </row>
    <row r="111" spans="1:12" s="103" customFormat="1" ht="15.75" hidden="1" customHeight="1" outlineLevel="1">
      <c r="A111" s="916"/>
      <c r="B111" s="1124"/>
      <c r="C111" s="1128"/>
      <c r="D111" s="1126"/>
      <c r="E111" s="1126"/>
      <c r="F111" s="1132"/>
      <c r="G111" s="100"/>
      <c r="H111" s="1126"/>
      <c r="I111" s="1126"/>
      <c r="J111" s="1135"/>
      <c r="K111" s="1135"/>
      <c r="L111" s="916"/>
    </row>
    <row r="112" spans="1:12" s="103" customFormat="1" ht="15.75" hidden="1" customHeight="1" outlineLevel="1">
      <c r="A112" s="916"/>
      <c r="B112" s="1123">
        <v>34</v>
      </c>
      <c r="C112" s="1127"/>
      <c r="D112" s="1125"/>
      <c r="E112" s="1125" t="s">
        <v>18</v>
      </c>
      <c r="F112" s="1130" t="str">
        <f>VLOOKUP(E112,$N$13:$O$17,2,0)</f>
        <v>-</v>
      </c>
      <c r="G112" s="92"/>
      <c r="H112" s="1125"/>
      <c r="I112" s="1125"/>
      <c r="J112" s="1133"/>
      <c r="K112" s="1133"/>
      <c r="L112" s="916"/>
    </row>
    <row r="113" spans="1:12" s="103" customFormat="1" ht="15.75" hidden="1" customHeight="1" outlineLevel="1">
      <c r="A113" s="916"/>
      <c r="B113" s="1123"/>
      <c r="C113" s="1127"/>
      <c r="D113" s="1125"/>
      <c r="E113" s="1125"/>
      <c r="F113" s="1130"/>
      <c r="G113" s="95"/>
      <c r="H113" s="1125"/>
      <c r="I113" s="1125"/>
      <c r="J113" s="1134"/>
      <c r="K113" s="1134"/>
      <c r="L113" s="916"/>
    </row>
    <row r="114" spans="1:12" s="103" customFormat="1" ht="15.75" hidden="1" customHeight="1" outlineLevel="1">
      <c r="A114" s="916"/>
      <c r="B114" s="1124"/>
      <c r="C114" s="1128"/>
      <c r="D114" s="1126"/>
      <c r="E114" s="1126"/>
      <c r="F114" s="1132"/>
      <c r="G114" s="100"/>
      <c r="H114" s="1126"/>
      <c r="I114" s="1126"/>
      <c r="J114" s="1135"/>
      <c r="K114" s="1135"/>
      <c r="L114" s="916"/>
    </row>
    <row r="115" spans="1:12" s="103" customFormat="1" ht="15.75" hidden="1" customHeight="1" outlineLevel="1">
      <c r="A115" s="916"/>
      <c r="B115" s="1123">
        <v>35</v>
      </c>
      <c r="C115" s="1127"/>
      <c r="D115" s="1125"/>
      <c r="E115" s="1125" t="s">
        <v>18</v>
      </c>
      <c r="F115" s="1130" t="str">
        <f>VLOOKUP(E115,$N$13:$O$17,2,0)</f>
        <v>-</v>
      </c>
      <c r="G115" s="92"/>
      <c r="H115" s="1125"/>
      <c r="I115" s="1125"/>
      <c r="J115" s="1133"/>
      <c r="K115" s="1133"/>
      <c r="L115" s="916"/>
    </row>
    <row r="116" spans="1:12" s="103" customFormat="1" ht="15.75" hidden="1" customHeight="1" outlineLevel="1">
      <c r="A116" s="916"/>
      <c r="B116" s="1123"/>
      <c r="C116" s="1127"/>
      <c r="D116" s="1125"/>
      <c r="E116" s="1125"/>
      <c r="F116" s="1130"/>
      <c r="G116" s="95"/>
      <c r="H116" s="1125"/>
      <c r="I116" s="1125"/>
      <c r="J116" s="1134"/>
      <c r="K116" s="1134"/>
      <c r="L116" s="916"/>
    </row>
    <row r="117" spans="1:12" s="103" customFormat="1" ht="15.75" hidden="1" customHeight="1" outlineLevel="1">
      <c r="A117" s="916"/>
      <c r="B117" s="1124"/>
      <c r="C117" s="1128"/>
      <c r="D117" s="1126"/>
      <c r="E117" s="1126"/>
      <c r="F117" s="1132"/>
      <c r="G117" s="100"/>
      <c r="H117" s="1126"/>
      <c r="I117" s="1126"/>
      <c r="J117" s="1135"/>
      <c r="K117" s="1135"/>
      <c r="L117" s="916"/>
    </row>
    <row r="118" spans="1:12" s="103" customFormat="1" ht="15.75" hidden="1" customHeight="1" outlineLevel="1">
      <c r="A118" s="916"/>
      <c r="B118" s="1123">
        <v>36</v>
      </c>
      <c r="C118" s="1127"/>
      <c r="D118" s="1125"/>
      <c r="E118" s="1125" t="s">
        <v>18</v>
      </c>
      <c r="F118" s="1130" t="str">
        <f>VLOOKUP(E118,$N$13:$O$17,2,0)</f>
        <v>-</v>
      </c>
      <c r="G118" s="92"/>
      <c r="H118" s="1125"/>
      <c r="I118" s="1125"/>
      <c r="J118" s="1133"/>
      <c r="K118" s="1133"/>
      <c r="L118" s="916"/>
    </row>
    <row r="119" spans="1:12" s="103" customFormat="1" ht="15.75" hidden="1" customHeight="1" outlineLevel="1">
      <c r="A119" s="916"/>
      <c r="B119" s="1123"/>
      <c r="C119" s="1127"/>
      <c r="D119" s="1125"/>
      <c r="E119" s="1125"/>
      <c r="F119" s="1130"/>
      <c r="G119" s="95"/>
      <c r="H119" s="1125"/>
      <c r="I119" s="1125"/>
      <c r="J119" s="1134"/>
      <c r="K119" s="1134"/>
      <c r="L119" s="916"/>
    </row>
    <row r="120" spans="1:12" s="103" customFormat="1" ht="15.75" hidden="1" customHeight="1" outlineLevel="1">
      <c r="A120" s="916"/>
      <c r="B120" s="1124"/>
      <c r="C120" s="1128"/>
      <c r="D120" s="1126"/>
      <c r="E120" s="1126"/>
      <c r="F120" s="1132"/>
      <c r="G120" s="100"/>
      <c r="H120" s="1126"/>
      <c r="I120" s="1126"/>
      <c r="J120" s="1135"/>
      <c r="K120" s="1135"/>
      <c r="L120" s="916"/>
    </row>
    <row r="121" spans="1:12" s="103" customFormat="1" ht="15.75" hidden="1" customHeight="1" outlineLevel="1">
      <c r="A121" s="916"/>
      <c r="B121" s="1123">
        <v>37</v>
      </c>
      <c r="C121" s="1127"/>
      <c r="D121" s="1125"/>
      <c r="E121" s="1125" t="s">
        <v>18</v>
      </c>
      <c r="F121" s="1130" t="str">
        <f>VLOOKUP(E121,$N$13:$O$17,2,0)</f>
        <v>-</v>
      </c>
      <c r="G121" s="92"/>
      <c r="H121" s="1125"/>
      <c r="I121" s="1125"/>
      <c r="J121" s="1133"/>
      <c r="K121" s="1133"/>
      <c r="L121" s="916"/>
    </row>
    <row r="122" spans="1:12" s="103" customFormat="1" ht="15.75" hidden="1" customHeight="1" outlineLevel="1">
      <c r="A122" s="916"/>
      <c r="B122" s="1123"/>
      <c r="C122" s="1127"/>
      <c r="D122" s="1125"/>
      <c r="E122" s="1125"/>
      <c r="F122" s="1130"/>
      <c r="G122" s="95"/>
      <c r="H122" s="1125"/>
      <c r="I122" s="1125"/>
      <c r="J122" s="1134"/>
      <c r="K122" s="1134"/>
      <c r="L122" s="916"/>
    </row>
    <row r="123" spans="1:12" s="103" customFormat="1" ht="15.75" hidden="1" customHeight="1" outlineLevel="1">
      <c r="A123" s="916"/>
      <c r="B123" s="1124"/>
      <c r="C123" s="1128"/>
      <c r="D123" s="1126"/>
      <c r="E123" s="1126"/>
      <c r="F123" s="1132"/>
      <c r="G123" s="100"/>
      <c r="H123" s="1126"/>
      <c r="I123" s="1126"/>
      <c r="J123" s="1135"/>
      <c r="K123" s="1135"/>
      <c r="L123" s="916"/>
    </row>
    <row r="124" spans="1:12" s="103" customFormat="1" ht="15.75" hidden="1" customHeight="1" outlineLevel="1">
      <c r="A124" s="916"/>
      <c r="B124" s="1123">
        <v>38</v>
      </c>
      <c r="C124" s="1127"/>
      <c r="D124" s="1125"/>
      <c r="E124" s="1125" t="s">
        <v>18</v>
      </c>
      <c r="F124" s="1130" t="str">
        <f>VLOOKUP(E124,$N$13:$O$17,2,0)</f>
        <v>-</v>
      </c>
      <c r="G124" s="92"/>
      <c r="H124" s="1125"/>
      <c r="I124" s="1125"/>
      <c r="J124" s="1133"/>
      <c r="K124" s="1133"/>
      <c r="L124" s="916"/>
    </row>
    <row r="125" spans="1:12" s="103" customFormat="1" ht="15.75" hidden="1" customHeight="1" outlineLevel="1">
      <c r="A125" s="916"/>
      <c r="B125" s="1123"/>
      <c r="C125" s="1127"/>
      <c r="D125" s="1125"/>
      <c r="E125" s="1125"/>
      <c r="F125" s="1130"/>
      <c r="G125" s="95"/>
      <c r="H125" s="1125"/>
      <c r="I125" s="1125"/>
      <c r="J125" s="1134"/>
      <c r="K125" s="1134"/>
      <c r="L125" s="916"/>
    </row>
    <row r="126" spans="1:12" s="103" customFormat="1" ht="15.75" hidden="1" customHeight="1" outlineLevel="1">
      <c r="A126" s="916"/>
      <c r="B126" s="1124"/>
      <c r="C126" s="1128"/>
      <c r="D126" s="1126"/>
      <c r="E126" s="1126"/>
      <c r="F126" s="1132"/>
      <c r="G126" s="100"/>
      <c r="H126" s="1126"/>
      <c r="I126" s="1126"/>
      <c r="J126" s="1135"/>
      <c r="K126" s="1135"/>
      <c r="L126" s="916"/>
    </row>
    <row r="127" spans="1:12" s="103" customFormat="1" ht="15.75" hidden="1" customHeight="1" outlineLevel="1">
      <c r="A127" s="916"/>
      <c r="B127" s="1123">
        <v>39</v>
      </c>
      <c r="C127" s="1127"/>
      <c r="D127" s="1125"/>
      <c r="E127" s="1125" t="s">
        <v>18</v>
      </c>
      <c r="F127" s="1130" t="str">
        <f>VLOOKUP(E127,$N$13:$O$17,2,0)</f>
        <v>-</v>
      </c>
      <c r="G127" s="92"/>
      <c r="H127" s="1125"/>
      <c r="I127" s="1125"/>
      <c r="J127" s="1133"/>
      <c r="K127" s="1133"/>
      <c r="L127" s="916"/>
    </row>
    <row r="128" spans="1:12" s="103" customFormat="1" ht="15.75" hidden="1" customHeight="1" outlineLevel="1">
      <c r="A128" s="916"/>
      <c r="B128" s="1123"/>
      <c r="C128" s="1127"/>
      <c r="D128" s="1125"/>
      <c r="E128" s="1125"/>
      <c r="F128" s="1130"/>
      <c r="G128" s="95"/>
      <c r="H128" s="1125"/>
      <c r="I128" s="1125"/>
      <c r="J128" s="1134"/>
      <c r="K128" s="1134"/>
      <c r="L128" s="916"/>
    </row>
    <row r="129" spans="1:12" s="103" customFormat="1" ht="15.75" hidden="1" customHeight="1" outlineLevel="1">
      <c r="A129" s="916"/>
      <c r="B129" s="1124"/>
      <c r="C129" s="1128"/>
      <c r="D129" s="1126"/>
      <c r="E129" s="1126"/>
      <c r="F129" s="1132"/>
      <c r="G129" s="100"/>
      <c r="H129" s="1126"/>
      <c r="I129" s="1126"/>
      <c r="J129" s="1135"/>
      <c r="K129" s="1135"/>
      <c r="L129" s="916"/>
    </row>
    <row r="130" spans="1:12" s="103" customFormat="1" ht="15.75" hidden="1" customHeight="1" outlineLevel="1">
      <c r="A130" s="916"/>
      <c r="B130" s="1123">
        <v>40</v>
      </c>
      <c r="C130" s="1127"/>
      <c r="D130" s="1125"/>
      <c r="E130" s="1125" t="s">
        <v>18</v>
      </c>
      <c r="F130" s="1130" t="str">
        <f>VLOOKUP(E130,$N$13:$O$17,2,0)</f>
        <v>-</v>
      </c>
      <c r="G130" s="92"/>
      <c r="H130" s="1125"/>
      <c r="I130" s="1125"/>
      <c r="J130" s="1133"/>
      <c r="K130" s="1133"/>
      <c r="L130" s="916"/>
    </row>
    <row r="131" spans="1:12" s="103" customFormat="1" ht="15.75" hidden="1" customHeight="1" outlineLevel="1">
      <c r="A131" s="916"/>
      <c r="B131" s="1123"/>
      <c r="C131" s="1127"/>
      <c r="D131" s="1125"/>
      <c r="E131" s="1125"/>
      <c r="F131" s="1130"/>
      <c r="G131" s="95"/>
      <c r="H131" s="1125"/>
      <c r="I131" s="1125"/>
      <c r="J131" s="1134"/>
      <c r="K131" s="1134"/>
      <c r="L131" s="916"/>
    </row>
    <row r="132" spans="1:12" s="103" customFormat="1" ht="15.75" hidden="1" customHeight="1" outlineLevel="1">
      <c r="A132" s="916"/>
      <c r="B132" s="1124"/>
      <c r="C132" s="1128"/>
      <c r="D132" s="1126"/>
      <c r="E132" s="1126"/>
      <c r="F132" s="1132"/>
      <c r="G132" s="100"/>
      <c r="H132" s="1126"/>
      <c r="I132" s="1126"/>
      <c r="J132" s="1135"/>
      <c r="K132" s="1135"/>
      <c r="L132" s="916"/>
    </row>
    <row r="133" spans="1:12" s="103" customFormat="1" ht="15.75" hidden="1" customHeight="1" outlineLevel="1">
      <c r="A133" s="916"/>
      <c r="B133" s="1123">
        <v>41</v>
      </c>
      <c r="C133" s="1127"/>
      <c r="D133" s="1125"/>
      <c r="E133" s="1125" t="s">
        <v>18</v>
      </c>
      <c r="F133" s="1130" t="str">
        <f>VLOOKUP(E133,$N$13:$O$17,2,0)</f>
        <v>-</v>
      </c>
      <c r="G133" s="92"/>
      <c r="H133" s="1125"/>
      <c r="I133" s="1125"/>
      <c r="J133" s="1133"/>
      <c r="K133" s="1133"/>
      <c r="L133" s="916"/>
    </row>
    <row r="134" spans="1:12" s="103" customFormat="1" ht="15.75" hidden="1" customHeight="1" outlineLevel="1">
      <c r="A134" s="916"/>
      <c r="B134" s="1123"/>
      <c r="C134" s="1127"/>
      <c r="D134" s="1125"/>
      <c r="E134" s="1125"/>
      <c r="F134" s="1130"/>
      <c r="G134" s="95"/>
      <c r="H134" s="1125"/>
      <c r="I134" s="1125"/>
      <c r="J134" s="1134"/>
      <c r="K134" s="1134"/>
      <c r="L134" s="916"/>
    </row>
    <row r="135" spans="1:12" s="103" customFormat="1" ht="15.75" hidden="1" customHeight="1" outlineLevel="1">
      <c r="A135" s="916"/>
      <c r="B135" s="1124"/>
      <c r="C135" s="1128"/>
      <c r="D135" s="1126"/>
      <c r="E135" s="1126"/>
      <c r="F135" s="1132"/>
      <c r="G135" s="100"/>
      <c r="H135" s="1126"/>
      <c r="I135" s="1126"/>
      <c r="J135" s="1135"/>
      <c r="K135" s="1135"/>
      <c r="L135" s="916"/>
    </row>
    <row r="136" spans="1:12" s="103" customFormat="1" ht="15.75" hidden="1" customHeight="1" outlineLevel="1">
      <c r="A136" s="916"/>
      <c r="B136" s="1123">
        <v>42</v>
      </c>
      <c r="C136" s="1127"/>
      <c r="D136" s="1125"/>
      <c r="E136" s="1125" t="s">
        <v>18</v>
      </c>
      <c r="F136" s="1130" t="str">
        <f>VLOOKUP(E136,$N$13:$O$17,2,0)</f>
        <v>-</v>
      </c>
      <c r="G136" s="92"/>
      <c r="H136" s="1125"/>
      <c r="I136" s="1125"/>
      <c r="J136" s="1133"/>
      <c r="K136" s="1133"/>
      <c r="L136" s="916"/>
    </row>
    <row r="137" spans="1:12" s="103" customFormat="1" ht="15.75" hidden="1" customHeight="1" outlineLevel="1">
      <c r="A137" s="916"/>
      <c r="B137" s="1123"/>
      <c r="C137" s="1127"/>
      <c r="D137" s="1125"/>
      <c r="E137" s="1125"/>
      <c r="F137" s="1130"/>
      <c r="G137" s="95"/>
      <c r="H137" s="1125"/>
      <c r="I137" s="1125"/>
      <c r="J137" s="1134"/>
      <c r="K137" s="1134"/>
      <c r="L137" s="916"/>
    </row>
    <row r="138" spans="1:12" s="103" customFormat="1" ht="15.75" hidden="1" customHeight="1" outlineLevel="1">
      <c r="A138" s="916"/>
      <c r="B138" s="1124"/>
      <c r="C138" s="1128"/>
      <c r="D138" s="1126"/>
      <c r="E138" s="1126"/>
      <c r="F138" s="1132"/>
      <c r="G138" s="100"/>
      <c r="H138" s="1126"/>
      <c r="I138" s="1126"/>
      <c r="J138" s="1135"/>
      <c r="K138" s="1135"/>
      <c r="L138" s="916"/>
    </row>
    <row r="139" spans="1:12" s="103" customFormat="1" ht="15.75" hidden="1" customHeight="1" outlineLevel="1">
      <c r="A139" s="916"/>
      <c r="B139" s="1123">
        <v>43</v>
      </c>
      <c r="C139" s="1127"/>
      <c r="D139" s="1125"/>
      <c r="E139" s="1125" t="s">
        <v>18</v>
      </c>
      <c r="F139" s="1130" t="str">
        <f>VLOOKUP(E139,$N$13:$O$17,2,0)</f>
        <v>-</v>
      </c>
      <c r="G139" s="92"/>
      <c r="H139" s="1125"/>
      <c r="I139" s="1125"/>
      <c r="J139" s="1133"/>
      <c r="K139" s="1133"/>
      <c r="L139" s="916"/>
    </row>
    <row r="140" spans="1:12" s="103" customFormat="1" ht="15.75" hidden="1" customHeight="1" outlineLevel="1">
      <c r="A140" s="916"/>
      <c r="B140" s="1123"/>
      <c r="C140" s="1127"/>
      <c r="D140" s="1125"/>
      <c r="E140" s="1125"/>
      <c r="F140" s="1130"/>
      <c r="G140" s="95"/>
      <c r="H140" s="1125"/>
      <c r="I140" s="1125"/>
      <c r="J140" s="1134"/>
      <c r="K140" s="1134"/>
      <c r="L140" s="916"/>
    </row>
    <row r="141" spans="1:12" s="103" customFormat="1" ht="15.75" hidden="1" customHeight="1" outlineLevel="1">
      <c r="A141" s="916"/>
      <c r="B141" s="1124"/>
      <c r="C141" s="1128"/>
      <c r="D141" s="1126"/>
      <c r="E141" s="1126"/>
      <c r="F141" s="1132"/>
      <c r="G141" s="100"/>
      <c r="H141" s="1126"/>
      <c r="I141" s="1126"/>
      <c r="J141" s="1135"/>
      <c r="K141" s="1135"/>
      <c r="L141" s="916"/>
    </row>
    <row r="142" spans="1:12" s="103" customFormat="1" ht="15.75" hidden="1" customHeight="1" outlineLevel="1">
      <c r="A142" s="916"/>
      <c r="B142" s="1123">
        <v>44</v>
      </c>
      <c r="C142" s="1127"/>
      <c r="D142" s="1125"/>
      <c r="E142" s="1125" t="s">
        <v>18</v>
      </c>
      <c r="F142" s="1130" t="str">
        <f>VLOOKUP(E142,$N$13:$O$17,2,0)</f>
        <v>-</v>
      </c>
      <c r="G142" s="92"/>
      <c r="H142" s="90"/>
      <c r="I142" s="1125"/>
      <c r="J142" s="1133"/>
      <c r="K142" s="1133"/>
      <c r="L142" s="916"/>
    </row>
    <row r="143" spans="1:12" s="103" customFormat="1" ht="15.75" hidden="1" customHeight="1" outlineLevel="1">
      <c r="A143" s="916"/>
      <c r="B143" s="1123"/>
      <c r="C143" s="1127"/>
      <c r="D143" s="1125"/>
      <c r="E143" s="1125"/>
      <c r="F143" s="1130"/>
      <c r="G143" s="95"/>
      <c r="H143" s="90"/>
      <c r="I143" s="1125"/>
      <c r="J143" s="1134"/>
      <c r="K143" s="1134"/>
      <c r="L143" s="916"/>
    </row>
    <row r="144" spans="1:12" s="103" customFormat="1" ht="15.75" hidden="1" customHeight="1" outlineLevel="1">
      <c r="A144" s="916"/>
      <c r="B144" s="1124"/>
      <c r="C144" s="1128"/>
      <c r="D144" s="1126"/>
      <c r="E144" s="1126"/>
      <c r="F144" s="1132"/>
      <c r="G144" s="100"/>
      <c r="H144" s="98"/>
      <c r="I144" s="1126"/>
      <c r="J144" s="1135"/>
      <c r="K144" s="1135"/>
      <c r="L144" s="916"/>
    </row>
    <row r="145" spans="1:12" s="103" customFormat="1" ht="15.75" hidden="1" customHeight="1" outlineLevel="1">
      <c r="A145" s="916"/>
      <c r="B145" s="1123">
        <v>45</v>
      </c>
      <c r="C145" s="1127"/>
      <c r="D145" s="1125"/>
      <c r="E145" s="1125" t="s">
        <v>18</v>
      </c>
      <c r="F145" s="1130" t="str">
        <f>VLOOKUP(E145,$N$13:$O$17,2,0)</f>
        <v>-</v>
      </c>
      <c r="G145" s="92"/>
      <c r="H145" s="90"/>
      <c r="I145" s="1125"/>
      <c r="J145" s="1133"/>
      <c r="K145" s="1133"/>
      <c r="L145" s="916"/>
    </row>
    <row r="146" spans="1:12" s="103" customFormat="1" ht="15.75" hidden="1" customHeight="1" outlineLevel="1">
      <c r="A146" s="916"/>
      <c r="B146" s="1123"/>
      <c r="C146" s="1127"/>
      <c r="D146" s="1125"/>
      <c r="E146" s="1125"/>
      <c r="F146" s="1130"/>
      <c r="G146" s="95"/>
      <c r="H146" s="90"/>
      <c r="I146" s="1125"/>
      <c r="J146" s="1134"/>
      <c r="K146" s="1134"/>
      <c r="L146" s="916"/>
    </row>
    <row r="147" spans="1:12" s="103" customFormat="1" ht="15.75" hidden="1" customHeight="1" outlineLevel="1">
      <c r="A147" s="916"/>
      <c r="B147" s="1124"/>
      <c r="C147" s="1128"/>
      <c r="D147" s="1126"/>
      <c r="E147" s="1126"/>
      <c r="F147" s="1132"/>
      <c r="G147" s="100"/>
      <c r="H147" s="98"/>
      <c r="I147" s="1126"/>
      <c r="J147" s="1135"/>
      <c r="K147" s="1135"/>
      <c r="L147" s="916"/>
    </row>
    <row r="148" spans="1:12" s="103" customFormat="1" ht="15.75" hidden="1" customHeight="1" outlineLevel="1">
      <c r="A148" s="916"/>
      <c r="B148" s="1123">
        <v>46</v>
      </c>
      <c r="C148" s="1127"/>
      <c r="D148" s="1125"/>
      <c r="E148" s="1125" t="s">
        <v>18</v>
      </c>
      <c r="F148" s="1130" t="str">
        <f>VLOOKUP(E148,$N$13:$O$17,2,0)</f>
        <v>-</v>
      </c>
      <c r="G148" s="92"/>
      <c r="H148" s="90"/>
      <c r="I148" s="1125"/>
      <c r="J148" s="1133"/>
      <c r="K148" s="1133"/>
      <c r="L148" s="916"/>
    </row>
    <row r="149" spans="1:12" s="103" customFormat="1" ht="15.75" hidden="1" customHeight="1" outlineLevel="1">
      <c r="A149" s="916"/>
      <c r="B149" s="1123"/>
      <c r="C149" s="1127"/>
      <c r="D149" s="1125"/>
      <c r="E149" s="1125"/>
      <c r="F149" s="1130"/>
      <c r="G149" s="95"/>
      <c r="H149" s="90"/>
      <c r="I149" s="1125"/>
      <c r="J149" s="1134"/>
      <c r="K149" s="1134"/>
      <c r="L149" s="916"/>
    </row>
    <row r="150" spans="1:12" s="103" customFormat="1" ht="15.75" hidden="1" customHeight="1" outlineLevel="1">
      <c r="A150" s="916"/>
      <c r="B150" s="1124"/>
      <c r="C150" s="1128"/>
      <c r="D150" s="1126"/>
      <c r="E150" s="1126"/>
      <c r="F150" s="1132"/>
      <c r="G150" s="100"/>
      <c r="H150" s="98"/>
      <c r="I150" s="1126"/>
      <c r="J150" s="1135"/>
      <c r="K150" s="1135"/>
      <c r="L150" s="916"/>
    </row>
    <row r="151" spans="1:12" s="103" customFormat="1" ht="15.75" hidden="1" customHeight="1" outlineLevel="1">
      <c r="A151" s="916"/>
      <c r="B151" s="1123">
        <v>47</v>
      </c>
      <c r="C151" s="1127"/>
      <c r="D151" s="1125"/>
      <c r="E151" s="1125" t="s">
        <v>18</v>
      </c>
      <c r="F151" s="1130" t="str">
        <f>VLOOKUP(E151,$N$13:$O$17,2,0)</f>
        <v>-</v>
      </c>
      <c r="G151" s="92"/>
      <c r="H151" s="90"/>
      <c r="I151" s="1125"/>
      <c r="J151" s="1133"/>
      <c r="K151" s="1133"/>
      <c r="L151" s="916"/>
    </row>
    <row r="152" spans="1:12" s="103" customFormat="1" ht="15.75" hidden="1" customHeight="1" outlineLevel="1">
      <c r="A152" s="916"/>
      <c r="B152" s="1123"/>
      <c r="C152" s="1127"/>
      <c r="D152" s="1125"/>
      <c r="E152" s="1125"/>
      <c r="F152" s="1130"/>
      <c r="G152" s="95"/>
      <c r="H152" s="90"/>
      <c r="I152" s="1125"/>
      <c r="J152" s="1134"/>
      <c r="K152" s="1134"/>
      <c r="L152" s="916"/>
    </row>
    <row r="153" spans="1:12" s="103" customFormat="1" ht="15.75" hidden="1" customHeight="1" outlineLevel="1">
      <c r="A153" s="916"/>
      <c r="B153" s="1124"/>
      <c r="C153" s="1128"/>
      <c r="D153" s="1126"/>
      <c r="E153" s="1126"/>
      <c r="F153" s="1132"/>
      <c r="G153" s="100"/>
      <c r="H153" s="98"/>
      <c r="I153" s="1126"/>
      <c r="J153" s="1135"/>
      <c r="K153" s="1135"/>
      <c r="L153" s="916"/>
    </row>
    <row r="154" spans="1:12" s="103" customFormat="1" ht="15.75" hidden="1" customHeight="1" outlineLevel="1">
      <c r="A154" s="916"/>
      <c r="B154" s="1123">
        <v>48</v>
      </c>
      <c r="C154" s="1127"/>
      <c r="D154" s="1125"/>
      <c r="E154" s="1125" t="s">
        <v>18</v>
      </c>
      <c r="F154" s="1130" t="str">
        <f>VLOOKUP(E154,$N$13:$O$17,2,0)</f>
        <v>-</v>
      </c>
      <c r="G154" s="92"/>
      <c r="H154" s="90"/>
      <c r="I154" s="1125"/>
      <c r="J154" s="1133"/>
      <c r="K154" s="1133"/>
      <c r="L154" s="916"/>
    </row>
    <row r="155" spans="1:12" s="103" customFormat="1" ht="15.75" hidden="1" customHeight="1" outlineLevel="1">
      <c r="A155" s="916"/>
      <c r="B155" s="1123"/>
      <c r="C155" s="1127"/>
      <c r="D155" s="1125"/>
      <c r="E155" s="1125"/>
      <c r="F155" s="1130"/>
      <c r="G155" s="95"/>
      <c r="H155" s="90"/>
      <c r="I155" s="1125"/>
      <c r="J155" s="1134"/>
      <c r="K155" s="1134"/>
      <c r="L155" s="916"/>
    </row>
    <row r="156" spans="1:12" s="103" customFormat="1" ht="15.75" hidden="1" customHeight="1" outlineLevel="1">
      <c r="A156" s="916"/>
      <c r="B156" s="1124"/>
      <c r="C156" s="1128"/>
      <c r="D156" s="1126"/>
      <c r="E156" s="1126"/>
      <c r="F156" s="1132"/>
      <c r="G156" s="100"/>
      <c r="H156" s="98"/>
      <c r="I156" s="1126"/>
      <c r="J156" s="1135"/>
      <c r="K156" s="1135"/>
      <c r="L156" s="916"/>
    </row>
    <row r="157" spans="1:12" s="103" customFormat="1" ht="15.75" hidden="1" customHeight="1" outlineLevel="1">
      <c r="A157" s="916"/>
      <c r="B157" s="1123">
        <v>49</v>
      </c>
      <c r="C157" s="1127"/>
      <c r="D157" s="1125"/>
      <c r="E157" s="1125" t="s">
        <v>18</v>
      </c>
      <c r="F157" s="1130" t="str">
        <f>VLOOKUP(E157,$N$13:$O$17,2,0)</f>
        <v>-</v>
      </c>
      <c r="G157" s="92"/>
      <c r="H157" s="90"/>
      <c r="I157" s="1125"/>
      <c r="J157" s="1133"/>
      <c r="K157" s="1133"/>
      <c r="L157" s="916"/>
    </row>
    <row r="158" spans="1:12" s="103" customFormat="1" ht="15.75" hidden="1" customHeight="1" outlineLevel="1">
      <c r="A158" s="916"/>
      <c r="B158" s="1123"/>
      <c r="C158" s="1127"/>
      <c r="D158" s="1125"/>
      <c r="E158" s="1125"/>
      <c r="F158" s="1130"/>
      <c r="G158" s="95"/>
      <c r="H158" s="90"/>
      <c r="I158" s="1125"/>
      <c r="J158" s="1134"/>
      <c r="K158" s="1134"/>
      <c r="L158" s="916"/>
    </row>
    <row r="159" spans="1:12" s="103" customFormat="1" ht="15.75" hidden="1" customHeight="1" outlineLevel="1">
      <c r="A159" s="916"/>
      <c r="B159" s="1124"/>
      <c r="C159" s="1128"/>
      <c r="D159" s="1126"/>
      <c r="E159" s="1126"/>
      <c r="F159" s="1132"/>
      <c r="G159" s="100"/>
      <c r="H159" s="98"/>
      <c r="I159" s="1126"/>
      <c r="J159" s="1135"/>
      <c r="K159" s="1135"/>
      <c r="L159" s="916"/>
    </row>
    <row r="160" spans="1:12" s="103" customFormat="1" ht="15.75" hidden="1" customHeight="1" outlineLevel="1">
      <c r="A160" s="916"/>
      <c r="B160" s="1123">
        <v>50</v>
      </c>
      <c r="C160" s="1127"/>
      <c r="D160" s="1125"/>
      <c r="E160" s="1125" t="s">
        <v>18</v>
      </c>
      <c r="F160" s="1130" t="str">
        <f>VLOOKUP(E160,$N$13:$O$17,2,0)</f>
        <v>-</v>
      </c>
      <c r="G160" s="92"/>
      <c r="H160" s="90"/>
      <c r="I160" s="1125"/>
      <c r="J160" s="1133"/>
      <c r="K160" s="1133"/>
      <c r="L160" s="916"/>
    </row>
    <row r="161" spans="1:12" s="103" customFormat="1" ht="15.75" hidden="1" customHeight="1" outlineLevel="1">
      <c r="A161" s="916"/>
      <c r="B161" s="1123"/>
      <c r="C161" s="1127"/>
      <c r="D161" s="1125"/>
      <c r="E161" s="1125"/>
      <c r="F161" s="1130"/>
      <c r="G161" s="95"/>
      <c r="H161" s="90"/>
      <c r="I161" s="1125"/>
      <c r="J161" s="1134"/>
      <c r="K161" s="1134"/>
      <c r="L161" s="916"/>
    </row>
    <row r="162" spans="1:12" s="103" customFormat="1" ht="15.75" hidden="1" customHeight="1" outlineLevel="1">
      <c r="A162" s="916"/>
      <c r="B162" s="1124"/>
      <c r="C162" s="1128"/>
      <c r="D162" s="1126"/>
      <c r="E162" s="1126"/>
      <c r="F162" s="1132"/>
      <c r="G162" s="100"/>
      <c r="H162" s="98"/>
      <c r="I162" s="1126"/>
      <c r="J162" s="1135"/>
      <c r="K162" s="1135"/>
      <c r="L162" s="916"/>
    </row>
    <row r="163" spans="1:12" s="103" customFormat="1" ht="15.75" hidden="1" customHeight="1" outlineLevel="1">
      <c r="A163" s="916"/>
      <c r="B163" s="1123">
        <v>51</v>
      </c>
      <c r="C163" s="1127"/>
      <c r="D163" s="1125"/>
      <c r="E163" s="1125" t="s">
        <v>18</v>
      </c>
      <c r="F163" s="1130" t="str">
        <f>VLOOKUP(E163,$N$13:$O$17,2,0)</f>
        <v>-</v>
      </c>
      <c r="G163" s="92"/>
      <c r="H163" s="90"/>
      <c r="I163" s="1125"/>
      <c r="J163" s="1133"/>
      <c r="K163" s="1133"/>
      <c r="L163" s="916"/>
    </row>
    <row r="164" spans="1:12" s="103" customFormat="1" ht="15.75" hidden="1" customHeight="1" outlineLevel="1">
      <c r="A164" s="916"/>
      <c r="B164" s="1123"/>
      <c r="C164" s="1127"/>
      <c r="D164" s="1125"/>
      <c r="E164" s="1125"/>
      <c r="F164" s="1130"/>
      <c r="G164" s="95"/>
      <c r="H164" s="90"/>
      <c r="I164" s="1125"/>
      <c r="J164" s="1134"/>
      <c r="K164" s="1134"/>
      <c r="L164" s="916"/>
    </row>
    <row r="165" spans="1:12" s="103" customFormat="1" ht="15.75" hidden="1" customHeight="1" outlineLevel="1">
      <c r="A165" s="916"/>
      <c r="B165" s="1124"/>
      <c r="C165" s="1128"/>
      <c r="D165" s="1126"/>
      <c r="E165" s="1126"/>
      <c r="F165" s="1132"/>
      <c r="G165" s="100"/>
      <c r="H165" s="98"/>
      <c r="I165" s="1126"/>
      <c r="J165" s="1135"/>
      <c r="K165" s="1135"/>
      <c r="L165" s="916"/>
    </row>
    <row r="166" spans="1:12" s="103" customFormat="1" ht="15.75" hidden="1" customHeight="1" outlineLevel="1">
      <c r="A166" s="916"/>
      <c r="B166" s="1123">
        <v>52</v>
      </c>
      <c r="C166" s="1127"/>
      <c r="D166" s="1125"/>
      <c r="E166" s="1125" t="s">
        <v>18</v>
      </c>
      <c r="F166" s="1130" t="str">
        <f>VLOOKUP(E166,$N$13:$O$17,2,0)</f>
        <v>-</v>
      </c>
      <c r="G166" s="92"/>
      <c r="H166" s="90"/>
      <c r="I166" s="1125"/>
      <c r="J166" s="1133"/>
      <c r="K166" s="1133"/>
      <c r="L166" s="916"/>
    </row>
    <row r="167" spans="1:12" s="103" customFormat="1" ht="15.75" hidden="1" customHeight="1" outlineLevel="1">
      <c r="A167" s="916"/>
      <c r="B167" s="1123"/>
      <c r="C167" s="1127"/>
      <c r="D167" s="1125"/>
      <c r="E167" s="1125"/>
      <c r="F167" s="1130"/>
      <c r="G167" s="95"/>
      <c r="H167" s="90"/>
      <c r="I167" s="1125"/>
      <c r="J167" s="1134"/>
      <c r="K167" s="1134"/>
      <c r="L167" s="916"/>
    </row>
    <row r="168" spans="1:12" s="103" customFormat="1" ht="15.75" hidden="1" customHeight="1" outlineLevel="1">
      <c r="A168" s="916"/>
      <c r="B168" s="1124"/>
      <c r="C168" s="1128"/>
      <c r="D168" s="1126"/>
      <c r="E168" s="1126"/>
      <c r="F168" s="1132"/>
      <c r="G168" s="100"/>
      <c r="H168" s="98"/>
      <c r="I168" s="1126"/>
      <c r="J168" s="1135"/>
      <c r="K168" s="1135"/>
      <c r="L168" s="916"/>
    </row>
    <row r="169" spans="1:12" s="103" customFormat="1" ht="15.75" hidden="1" customHeight="1" outlineLevel="1">
      <c r="A169" s="916"/>
      <c r="B169" s="1123">
        <v>53</v>
      </c>
      <c r="C169" s="1127"/>
      <c r="D169" s="1125"/>
      <c r="E169" s="1125" t="s">
        <v>18</v>
      </c>
      <c r="F169" s="1130" t="str">
        <f>VLOOKUP(E169,$N$13:$O$17,2,0)</f>
        <v>-</v>
      </c>
      <c r="G169" s="92"/>
      <c r="H169" s="90"/>
      <c r="I169" s="1125"/>
      <c r="J169" s="1133"/>
      <c r="K169" s="1133"/>
      <c r="L169" s="916"/>
    </row>
    <row r="170" spans="1:12" s="103" customFormat="1" ht="15.75" hidden="1" customHeight="1" outlineLevel="1">
      <c r="A170" s="916"/>
      <c r="B170" s="1123"/>
      <c r="C170" s="1127"/>
      <c r="D170" s="1125"/>
      <c r="E170" s="1125"/>
      <c r="F170" s="1130"/>
      <c r="G170" s="95"/>
      <c r="H170" s="90"/>
      <c r="I170" s="1125"/>
      <c r="J170" s="1134"/>
      <c r="K170" s="1134"/>
      <c r="L170" s="916"/>
    </row>
    <row r="171" spans="1:12" s="103" customFormat="1" ht="15.75" hidden="1" customHeight="1" outlineLevel="1">
      <c r="A171" s="916"/>
      <c r="B171" s="1124"/>
      <c r="C171" s="1128"/>
      <c r="D171" s="1126"/>
      <c r="E171" s="1126"/>
      <c r="F171" s="1132"/>
      <c r="G171" s="100"/>
      <c r="H171" s="98"/>
      <c r="I171" s="1126"/>
      <c r="J171" s="1135"/>
      <c r="K171" s="1135"/>
      <c r="L171" s="916"/>
    </row>
    <row r="172" spans="1:12" s="103" customFormat="1" ht="15.75" hidden="1" customHeight="1" outlineLevel="1">
      <c r="A172" s="916"/>
      <c r="B172" s="1123">
        <v>54</v>
      </c>
      <c r="C172" s="1127"/>
      <c r="D172" s="1125"/>
      <c r="E172" s="1125" t="s">
        <v>18</v>
      </c>
      <c r="F172" s="1130" t="str">
        <f>VLOOKUP(E172,$N$13:$O$17,2,0)</f>
        <v>-</v>
      </c>
      <c r="G172" s="92"/>
      <c r="H172" s="90"/>
      <c r="I172" s="1125"/>
      <c r="J172" s="1133"/>
      <c r="K172" s="1133"/>
      <c r="L172" s="916"/>
    </row>
    <row r="173" spans="1:12" s="103" customFormat="1" ht="15.75" hidden="1" customHeight="1" outlineLevel="1">
      <c r="A173" s="916"/>
      <c r="B173" s="1123"/>
      <c r="C173" s="1127"/>
      <c r="D173" s="1125"/>
      <c r="E173" s="1125"/>
      <c r="F173" s="1130"/>
      <c r="G173" s="95"/>
      <c r="H173" s="90"/>
      <c r="I173" s="1125"/>
      <c r="J173" s="1134"/>
      <c r="K173" s="1134"/>
      <c r="L173" s="916"/>
    </row>
    <row r="174" spans="1:12" s="103" customFormat="1" ht="15.75" hidden="1" customHeight="1" outlineLevel="1">
      <c r="A174" s="916"/>
      <c r="B174" s="1124"/>
      <c r="C174" s="1128"/>
      <c r="D174" s="1126"/>
      <c r="E174" s="1126"/>
      <c r="F174" s="1132"/>
      <c r="G174" s="100"/>
      <c r="H174" s="98"/>
      <c r="I174" s="1126"/>
      <c r="J174" s="1135"/>
      <c r="K174" s="1135"/>
      <c r="L174" s="916"/>
    </row>
    <row r="175" spans="1:12" s="103" customFormat="1" ht="15.75" hidden="1" customHeight="1" outlineLevel="1">
      <c r="A175" s="916"/>
      <c r="B175" s="1123">
        <v>55</v>
      </c>
      <c r="C175" s="1127"/>
      <c r="D175" s="1125"/>
      <c r="E175" s="1125" t="s">
        <v>18</v>
      </c>
      <c r="F175" s="1130" t="str">
        <f>VLOOKUP(E175,$N$13:$O$17,2,0)</f>
        <v>-</v>
      </c>
      <c r="G175" s="92"/>
      <c r="H175" s="90"/>
      <c r="I175" s="1125"/>
      <c r="J175" s="1133"/>
      <c r="K175" s="1133"/>
      <c r="L175" s="916"/>
    </row>
    <row r="176" spans="1:12" s="103" customFormat="1" ht="15.75" hidden="1" customHeight="1" outlineLevel="1">
      <c r="A176" s="916"/>
      <c r="B176" s="1123"/>
      <c r="C176" s="1127"/>
      <c r="D176" s="1125"/>
      <c r="E176" s="1125"/>
      <c r="F176" s="1130"/>
      <c r="G176" s="95"/>
      <c r="H176" s="90"/>
      <c r="I176" s="1125"/>
      <c r="J176" s="1134"/>
      <c r="K176" s="1134"/>
      <c r="L176" s="916"/>
    </row>
    <row r="177" spans="1:12" s="103" customFormat="1" ht="15.75" hidden="1" customHeight="1" outlineLevel="1">
      <c r="A177" s="916"/>
      <c r="B177" s="1124"/>
      <c r="C177" s="1128"/>
      <c r="D177" s="1126"/>
      <c r="E177" s="1126"/>
      <c r="F177" s="1132"/>
      <c r="G177" s="100"/>
      <c r="H177" s="98"/>
      <c r="I177" s="1126"/>
      <c r="J177" s="1135"/>
      <c r="K177" s="1135"/>
      <c r="L177" s="916"/>
    </row>
    <row r="178" spans="1:12" s="103" customFormat="1" ht="15.75" hidden="1" customHeight="1" outlineLevel="1">
      <c r="A178" s="916"/>
      <c r="B178" s="1123">
        <v>56</v>
      </c>
      <c r="C178" s="1127"/>
      <c r="D178" s="1125"/>
      <c r="E178" s="1125" t="s">
        <v>18</v>
      </c>
      <c r="F178" s="1130" t="str">
        <f>VLOOKUP(E178,$N$13:$O$17,2,0)</f>
        <v>-</v>
      </c>
      <c r="G178" s="92"/>
      <c r="H178" s="90"/>
      <c r="I178" s="1125"/>
      <c r="J178" s="1133"/>
      <c r="K178" s="1133"/>
      <c r="L178" s="916"/>
    </row>
    <row r="179" spans="1:12" s="103" customFormat="1" ht="15.75" hidden="1" customHeight="1" outlineLevel="1">
      <c r="A179" s="916"/>
      <c r="B179" s="1123"/>
      <c r="C179" s="1127"/>
      <c r="D179" s="1125"/>
      <c r="E179" s="1125"/>
      <c r="F179" s="1130"/>
      <c r="G179" s="95"/>
      <c r="H179" s="90"/>
      <c r="I179" s="1125"/>
      <c r="J179" s="1134"/>
      <c r="K179" s="1134"/>
      <c r="L179" s="916"/>
    </row>
    <row r="180" spans="1:12" s="103" customFormat="1" ht="15.75" hidden="1" customHeight="1" outlineLevel="1">
      <c r="A180" s="916"/>
      <c r="B180" s="1124"/>
      <c r="C180" s="1128"/>
      <c r="D180" s="1126"/>
      <c r="E180" s="1126"/>
      <c r="F180" s="1132"/>
      <c r="G180" s="100"/>
      <c r="H180" s="98"/>
      <c r="I180" s="1126"/>
      <c r="J180" s="1135"/>
      <c r="K180" s="1135"/>
      <c r="L180" s="916"/>
    </row>
    <row r="181" spans="1:12" s="103" customFormat="1" ht="15.75" hidden="1" customHeight="1" outlineLevel="1">
      <c r="A181" s="916"/>
      <c r="B181" s="1123">
        <v>57</v>
      </c>
      <c r="C181" s="1127"/>
      <c r="D181" s="1125"/>
      <c r="E181" s="1125" t="s">
        <v>18</v>
      </c>
      <c r="F181" s="1130" t="str">
        <f>VLOOKUP(E181,$N$13:$O$17,2,0)</f>
        <v>-</v>
      </c>
      <c r="G181" s="92"/>
      <c r="H181" s="90"/>
      <c r="I181" s="1125"/>
      <c r="J181" s="1133"/>
      <c r="K181" s="1133"/>
      <c r="L181" s="916"/>
    </row>
    <row r="182" spans="1:12" s="103" customFormat="1" ht="15.75" hidden="1" customHeight="1" outlineLevel="1">
      <c r="A182" s="916"/>
      <c r="B182" s="1123"/>
      <c r="C182" s="1127"/>
      <c r="D182" s="1125"/>
      <c r="E182" s="1125"/>
      <c r="F182" s="1130"/>
      <c r="G182" s="95"/>
      <c r="H182" s="90"/>
      <c r="I182" s="1125"/>
      <c r="J182" s="1134"/>
      <c r="K182" s="1134"/>
      <c r="L182" s="916"/>
    </row>
    <row r="183" spans="1:12" s="103" customFormat="1" ht="15.75" hidden="1" customHeight="1" outlineLevel="1">
      <c r="A183" s="916"/>
      <c r="B183" s="1124"/>
      <c r="C183" s="1128"/>
      <c r="D183" s="1126"/>
      <c r="E183" s="1126"/>
      <c r="F183" s="1132"/>
      <c r="G183" s="100"/>
      <c r="H183" s="98"/>
      <c r="I183" s="1126"/>
      <c r="J183" s="1135"/>
      <c r="K183" s="1135"/>
      <c r="L183" s="916"/>
    </row>
    <row r="184" spans="1:12" s="103" customFormat="1" ht="15.75" hidden="1" customHeight="1" outlineLevel="1">
      <c r="A184" s="916"/>
      <c r="B184" s="1123">
        <v>58</v>
      </c>
      <c r="C184" s="1127"/>
      <c r="D184" s="1125"/>
      <c r="E184" s="1125" t="s">
        <v>18</v>
      </c>
      <c r="F184" s="1130" t="str">
        <f>VLOOKUP(E184,$N$13:$O$17,2,0)</f>
        <v>-</v>
      </c>
      <c r="G184" s="92"/>
      <c r="H184" s="90"/>
      <c r="I184" s="1125"/>
      <c r="J184" s="1133"/>
      <c r="K184" s="1133"/>
      <c r="L184" s="916"/>
    </row>
    <row r="185" spans="1:12" s="103" customFormat="1" ht="15.75" hidden="1" customHeight="1" outlineLevel="1">
      <c r="A185" s="916"/>
      <c r="B185" s="1123"/>
      <c r="C185" s="1127"/>
      <c r="D185" s="1125"/>
      <c r="E185" s="1125"/>
      <c r="F185" s="1130"/>
      <c r="G185" s="95"/>
      <c r="H185" s="90"/>
      <c r="I185" s="1125"/>
      <c r="J185" s="1134"/>
      <c r="K185" s="1134"/>
      <c r="L185" s="916"/>
    </row>
    <row r="186" spans="1:12" s="103" customFormat="1" ht="15.75" hidden="1" customHeight="1" outlineLevel="1">
      <c r="A186" s="916"/>
      <c r="B186" s="1124"/>
      <c r="C186" s="1128"/>
      <c r="D186" s="1126"/>
      <c r="E186" s="1126"/>
      <c r="F186" s="1132"/>
      <c r="G186" s="100"/>
      <c r="H186" s="98"/>
      <c r="I186" s="1126"/>
      <c r="J186" s="1135"/>
      <c r="K186" s="1135"/>
      <c r="L186" s="916"/>
    </row>
    <row r="187" spans="1:12" s="103" customFormat="1" ht="15.75" hidden="1" customHeight="1" outlineLevel="1">
      <c r="A187" s="916"/>
      <c r="B187" s="1123">
        <v>59</v>
      </c>
      <c r="C187" s="1127"/>
      <c r="D187" s="1125"/>
      <c r="E187" s="1125" t="s">
        <v>18</v>
      </c>
      <c r="F187" s="1130" t="str">
        <f>VLOOKUP(E187,$N$13:$O$17,2,0)</f>
        <v>-</v>
      </c>
      <c r="G187" s="92"/>
      <c r="H187" s="90"/>
      <c r="I187" s="1125"/>
      <c r="J187" s="1133"/>
      <c r="K187" s="1133"/>
      <c r="L187" s="916"/>
    </row>
    <row r="188" spans="1:12" s="103" customFormat="1" ht="15.75" hidden="1" customHeight="1" outlineLevel="1">
      <c r="A188" s="916"/>
      <c r="B188" s="1123"/>
      <c r="C188" s="1127"/>
      <c r="D188" s="1125"/>
      <c r="E188" s="1125"/>
      <c r="F188" s="1130"/>
      <c r="G188" s="95"/>
      <c r="H188" s="90"/>
      <c r="I188" s="1125"/>
      <c r="J188" s="1134"/>
      <c r="K188" s="1134"/>
      <c r="L188" s="916"/>
    </row>
    <row r="189" spans="1:12" s="103" customFormat="1" ht="15.75" hidden="1" customHeight="1" outlineLevel="1">
      <c r="A189" s="916"/>
      <c r="B189" s="1124"/>
      <c r="C189" s="1128"/>
      <c r="D189" s="1126"/>
      <c r="E189" s="1126"/>
      <c r="F189" s="1132"/>
      <c r="G189" s="100"/>
      <c r="H189" s="98"/>
      <c r="I189" s="1126"/>
      <c r="J189" s="1135"/>
      <c r="K189" s="1135"/>
      <c r="L189" s="916"/>
    </row>
    <row r="190" spans="1:12" s="103" customFormat="1" ht="15.75" hidden="1" customHeight="1" outlineLevel="1">
      <c r="A190" s="916"/>
      <c r="B190" s="1123">
        <v>60</v>
      </c>
      <c r="C190" s="1127"/>
      <c r="D190" s="1125"/>
      <c r="E190" s="1125" t="s">
        <v>18</v>
      </c>
      <c r="F190" s="1130" t="str">
        <f>VLOOKUP(E190,$N$13:$O$17,2,0)</f>
        <v>-</v>
      </c>
      <c r="G190" s="92"/>
      <c r="H190" s="90"/>
      <c r="I190" s="1125"/>
      <c r="J190" s="1133"/>
      <c r="K190" s="1133"/>
      <c r="L190" s="916"/>
    </row>
    <row r="191" spans="1:12" s="103" customFormat="1" ht="15.75" hidden="1" customHeight="1" outlineLevel="1">
      <c r="A191" s="916"/>
      <c r="B191" s="1123"/>
      <c r="C191" s="1127"/>
      <c r="D191" s="1125"/>
      <c r="E191" s="1125"/>
      <c r="F191" s="1130"/>
      <c r="G191" s="95"/>
      <c r="H191" s="90"/>
      <c r="I191" s="1125"/>
      <c r="J191" s="1134"/>
      <c r="K191" s="1134"/>
      <c r="L191" s="916"/>
    </row>
    <row r="192" spans="1:12" s="103" customFormat="1" ht="15.75" hidden="1" customHeight="1" outlineLevel="1">
      <c r="A192" s="916"/>
      <c r="B192" s="1124"/>
      <c r="C192" s="1128"/>
      <c r="D192" s="1126"/>
      <c r="E192" s="1126"/>
      <c r="F192" s="1132"/>
      <c r="G192" s="100"/>
      <c r="H192" s="98"/>
      <c r="I192" s="1126"/>
      <c r="J192" s="1135"/>
      <c r="K192" s="1135"/>
      <c r="L192" s="916"/>
    </row>
    <row r="193" spans="1:12" s="103" customFormat="1" ht="15.75" hidden="1" customHeight="1" outlineLevel="1">
      <c r="A193" s="916"/>
      <c r="B193" s="1123">
        <v>61</v>
      </c>
      <c r="C193" s="1127"/>
      <c r="D193" s="1125"/>
      <c r="E193" s="1125" t="s">
        <v>18</v>
      </c>
      <c r="F193" s="1130" t="str">
        <f>VLOOKUP(E193,$N$13:$O$17,2,0)</f>
        <v>-</v>
      </c>
      <c r="G193" s="92"/>
      <c r="H193" s="90"/>
      <c r="I193" s="1125"/>
      <c r="J193" s="1133"/>
      <c r="K193" s="1133"/>
      <c r="L193" s="916"/>
    </row>
    <row r="194" spans="1:12" s="103" customFormat="1" ht="15.75" hidden="1" customHeight="1" outlineLevel="1">
      <c r="A194" s="916"/>
      <c r="B194" s="1123"/>
      <c r="C194" s="1127"/>
      <c r="D194" s="1125"/>
      <c r="E194" s="1125"/>
      <c r="F194" s="1130"/>
      <c r="G194" s="95"/>
      <c r="H194" s="90"/>
      <c r="I194" s="1125"/>
      <c r="J194" s="1134"/>
      <c r="K194" s="1134"/>
      <c r="L194" s="916"/>
    </row>
    <row r="195" spans="1:12" s="103" customFormat="1" ht="15.75" hidden="1" customHeight="1" outlineLevel="1">
      <c r="A195" s="916"/>
      <c r="B195" s="1124"/>
      <c r="C195" s="1128"/>
      <c r="D195" s="1126"/>
      <c r="E195" s="1126"/>
      <c r="F195" s="1132"/>
      <c r="G195" s="100"/>
      <c r="H195" s="98"/>
      <c r="I195" s="1126"/>
      <c r="J195" s="1135"/>
      <c r="K195" s="1135"/>
      <c r="L195" s="916"/>
    </row>
    <row r="196" spans="1:12" s="103" customFormat="1" ht="15.75" hidden="1" customHeight="1" outlineLevel="1">
      <c r="A196" s="916"/>
      <c r="B196" s="1123">
        <v>62</v>
      </c>
      <c r="C196" s="1127"/>
      <c r="D196" s="1125"/>
      <c r="E196" s="1125" t="s">
        <v>18</v>
      </c>
      <c r="F196" s="1130" t="str">
        <f>VLOOKUP(E196,$N$13:$O$17,2,0)</f>
        <v>-</v>
      </c>
      <c r="G196" s="92"/>
      <c r="H196" s="90"/>
      <c r="I196" s="1125"/>
      <c r="J196" s="1133"/>
      <c r="K196" s="1133"/>
      <c r="L196" s="916"/>
    </row>
    <row r="197" spans="1:12" s="103" customFormat="1" ht="15.75" hidden="1" customHeight="1" outlineLevel="1">
      <c r="A197" s="916"/>
      <c r="B197" s="1123"/>
      <c r="C197" s="1127"/>
      <c r="D197" s="1125"/>
      <c r="E197" s="1125"/>
      <c r="F197" s="1130"/>
      <c r="G197" s="95"/>
      <c r="H197" s="90"/>
      <c r="I197" s="1125"/>
      <c r="J197" s="1134"/>
      <c r="K197" s="1134"/>
      <c r="L197" s="916"/>
    </row>
    <row r="198" spans="1:12" s="103" customFormat="1" ht="15.75" hidden="1" customHeight="1" outlineLevel="1">
      <c r="A198" s="916"/>
      <c r="B198" s="1124"/>
      <c r="C198" s="1128"/>
      <c r="D198" s="1126"/>
      <c r="E198" s="1126"/>
      <c r="F198" s="1132"/>
      <c r="G198" s="100"/>
      <c r="H198" s="98"/>
      <c r="I198" s="1126"/>
      <c r="J198" s="1135"/>
      <c r="K198" s="1135"/>
      <c r="L198" s="916"/>
    </row>
    <row r="199" spans="1:12" s="103" customFormat="1" ht="15.75" hidden="1" customHeight="1" outlineLevel="1">
      <c r="A199" s="916"/>
      <c r="B199" s="1123">
        <v>63</v>
      </c>
      <c r="C199" s="1127"/>
      <c r="D199" s="1125"/>
      <c r="E199" s="1125" t="s">
        <v>18</v>
      </c>
      <c r="F199" s="1130" t="str">
        <f>VLOOKUP(E199,$N$13:$O$17,2,0)</f>
        <v>-</v>
      </c>
      <c r="G199" s="92"/>
      <c r="H199" s="90"/>
      <c r="I199" s="1125"/>
      <c r="J199" s="1133"/>
      <c r="K199" s="1133"/>
      <c r="L199" s="916"/>
    </row>
    <row r="200" spans="1:12" s="103" customFormat="1" ht="15.75" hidden="1" customHeight="1" outlineLevel="1">
      <c r="A200" s="916"/>
      <c r="B200" s="1123"/>
      <c r="C200" s="1127"/>
      <c r="D200" s="1125"/>
      <c r="E200" s="1125"/>
      <c r="F200" s="1130"/>
      <c r="G200" s="95"/>
      <c r="H200" s="90"/>
      <c r="I200" s="1125"/>
      <c r="J200" s="1134"/>
      <c r="K200" s="1134"/>
      <c r="L200" s="916"/>
    </row>
    <row r="201" spans="1:12" s="103" customFormat="1" ht="15.75" hidden="1" customHeight="1" outlineLevel="1">
      <c r="A201" s="916"/>
      <c r="B201" s="1124"/>
      <c r="C201" s="1128"/>
      <c r="D201" s="1126"/>
      <c r="E201" s="1126"/>
      <c r="F201" s="1132"/>
      <c r="G201" s="100"/>
      <c r="H201" s="98"/>
      <c r="I201" s="1126"/>
      <c r="J201" s="1135"/>
      <c r="K201" s="1135"/>
      <c r="L201" s="916"/>
    </row>
    <row r="202" spans="1:12" s="103" customFormat="1" ht="15.75" hidden="1" customHeight="1" outlineLevel="1">
      <c r="A202" s="916"/>
      <c r="B202" s="1123">
        <v>64</v>
      </c>
      <c r="C202" s="1127"/>
      <c r="D202" s="1125"/>
      <c r="E202" s="1125" t="s">
        <v>18</v>
      </c>
      <c r="F202" s="1130" t="str">
        <f>VLOOKUP(E202,$N$13:$O$17,2,0)</f>
        <v>-</v>
      </c>
      <c r="G202" s="92"/>
      <c r="H202" s="90"/>
      <c r="I202" s="1125"/>
      <c r="J202" s="1133"/>
      <c r="K202" s="1133"/>
      <c r="L202" s="916"/>
    </row>
    <row r="203" spans="1:12" s="103" customFormat="1" ht="15.75" hidden="1" customHeight="1" outlineLevel="1">
      <c r="A203" s="916"/>
      <c r="B203" s="1123"/>
      <c r="C203" s="1127"/>
      <c r="D203" s="1125"/>
      <c r="E203" s="1125"/>
      <c r="F203" s="1130"/>
      <c r="G203" s="95"/>
      <c r="H203" s="90"/>
      <c r="I203" s="1125"/>
      <c r="J203" s="1134"/>
      <c r="K203" s="1134"/>
      <c r="L203" s="916"/>
    </row>
    <row r="204" spans="1:12" s="103" customFormat="1" ht="15.75" hidden="1" customHeight="1" outlineLevel="1">
      <c r="A204" s="916"/>
      <c r="B204" s="1124"/>
      <c r="C204" s="1128"/>
      <c r="D204" s="1126"/>
      <c r="E204" s="1126"/>
      <c r="F204" s="1132"/>
      <c r="G204" s="100"/>
      <c r="H204" s="98"/>
      <c r="I204" s="1126"/>
      <c r="J204" s="1135"/>
      <c r="K204" s="1135"/>
      <c r="L204" s="916"/>
    </row>
    <row r="205" spans="1:12" s="103" customFormat="1" ht="15.75" hidden="1" customHeight="1" outlineLevel="1">
      <c r="A205" s="916"/>
      <c r="B205" s="1123">
        <v>65</v>
      </c>
      <c r="C205" s="1127"/>
      <c r="D205" s="1125"/>
      <c r="E205" s="1125" t="s">
        <v>18</v>
      </c>
      <c r="F205" s="1130" t="str">
        <f>VLOOKUP(E205,$N$13:$O$17,2,0)</f>
        <v>-</v>
      </c>
      <c r="G205" s="92"/>
      <c r="H205" s="90"/>
      <c r="I205" s="1125"/>
      <c r="J205" s="1133"/>
      <c r="K205" s="1133"/>
      <c r="L205" s="916"/>
    </row>
    <row r="206" spans="1:12" s="103" customFormat="1" ht="15.75" hidden="1" customHeight="1" outlineLevel="1">
      <c r="A206" s="916"/>
      <c r="B206" s="1123"/>
      <c r="C206" s="1127"/>
      <c r="D206" s="1125"/>
      <c r="E206" s="1125"/>
      <c r="F206" s="1130"/>
      <c r="G206" s="95"/>
      <c r="H206" s="90"/>
      <c r="I206" s="1125"/>
      <c r="J206" s="1134"/>
      <c r="K206" s="1134"/>
      <c r="L206" s="916"/>
    </row>
    <row r="207" spans="1:12" s="103" customFormat="1" ht="15.75" hidden="1" customHeight="1" outlineLevel="1">
      <c r="A207" s="916"/>
      <c r="B207" s="1124"/>
      <c r="C207" s="1128"/>
      <c r="D207" s="1126"/>
      <c r="E207" s="1126"/>
      <c r="F207" s="1132"/>
      <c r="G207" s="100"/>
      <c r="H207" s="98"/>
      <c r="I207" s="1126"/>
      <c r="J207" s="1135"/>
      <c r="K207" s="1135"/>
      <c r="L207" s="916"/>
    </row>
    <row r="208" spans="1:12" s="103" customFormat="1" ht="15.75" hidden="1" customHeight="1" outlineLevel="1">
      <c r="A208" s="916"/>
      <c r="B208" s="1123">
        <v>66</v>
      </c>
      <c r="C208" s="1127"/>
      <c r="D208" s="1125"/>
      <c r="E208" s="1125" t="s">
        <v>18</v>
      </c>
      <c r="F208" s="1130" t="str">
        <f>VLOOKUP(E208,$N$13:$O$17,2,0)</f>
        <v>-</v>
      </c>
      <c r="G208" s="92"/>
      <c r="H208" s="90"/>
      <c r="I208" s="1125"/>
      <c r="J208" s="1133"/>
      <c r="K208" s="1133"/>
      <c r="L208" s="916"/>
    </row>
    <row r="209" spans="1:12" s="103" customFormat="1" ht="15.75" hidden="1" customHeight="1" outlineLevel="1">
      <c r="A209" s="916"/>
      <c r="B209" s="1123"/>
      <c r="C209" s="1127"/>
      <c r="D209" s="1125"/>
      <c r="E209" s="1125"/>
      <c r="F209" s="1130"/>
      <c r="G209" s="95"/>
      <c r="H209" s="90"/>
      <c r="I209" s="1125"/>
      <c r="J209" s="1134"/>
      <c r="K209" s="1134"/>
      <c r="L209" s="916"/>
    </row>
    <row r="210" spans="1:12" s="103" customFormat="1" ht="15.75" hidden="1" customHeight="1" outlineLevel="1">
      <c r="A210" s="916"/>
      <c r="B210" s="1124"/>
      <c r="C210" s="1128"/>
      <c r="D210" s="1126"/>
      <c r="E210" s="1126"/>
      <c r="F210" s="1132"/>
      <c r="G210" s="100"/>
      <c r="H210" s="98"/>
      <c r="I210" s="1126"/>
      <c r="J210" s="1135"/>
      <c r="K210" s="1135"/>
      <c r="L210" s="916"/>
    </row>
    <row r="211" spans="1:12" s="103" customFormat="1" ht="15.75" hidden="1" customHeight="1" outlineLevel="1">
      <c r="A211" s="916"/>
      <c r="B211" s="1123">
        <v>67</v>
      </c>
      <c r="C211" s="1127"/>
      <c r="D211" s="1125"/>
      <c r="E211" s="1125" t="s">
        <v>18</v>
      </c>
      <c r="F211" s="1130" t="str">
        <f>VLOOKUP(E211,$N$13:$O$17,2,0)</f>
        <v>-</v>
      </c>
      <c r="G211" s="92"/>
      <c r="H211" s="90"/>
      <c r="I211" s="1125"/>
      <c r="J211" s="1133"/>
      <c r="K211" s="1133"/>
      <c r="L211" s="916"/>
    </row>
    <row r="212" spans="1:12" s="103" customFormat="1" ht="15.75" hidden="1" customHeight="1" outlineLevel="1">
      <c r="A212" s="916"/>
      <c r="B212" s="1123"/>
      <c r="C212" s="1127"/>
      <c r="D212" s="1125"/>
      <c r="E212" s="1125"/>
      <c r="F212" s="1130"/>
      <c r="G212" s="95"/>
      <c r="H212" s="90"/>
      <c r="I212" s="1125"/>
      <c r="J212" s="1134"/>
      <c r="K212" s="1134"/>
      <c r="L212" s="916"/>
    </row>
    <row r="213" spans="1:12" s="103" customFormat="1" ht="15.75" hidden="1" customHeight="1" outlineLevel="1">
      <c r="A213" s="916"/>
      <c r="B213" s="1124"/>
      <c r="C213" s="1128"/>
      <c r="D213" s="1126"/>
      <c r="E213" s="1126"/>
      <c r="F213" s="1132"/>
      <c r="G213" s="100"/>
      <c r="H213" s="98"/>
      <c r="I213" s="1126"/>
      <c r="J213" s="1135"/>
      <c r="K213" s="1135"/>
      <c r="L213" s="916"/>
    </row>
    <row r="214" spans="1:12" s="103" customFormat="1" ht="15.75" hidden="1" customHeight="1" outlineLevel="1">
      <c r="A214" s="916"/>
      <c r="B214" s="1123">
        <v>68</v>
      </c>
      <c r="C214" s="1127"/>
      <c r="D214" s="1125"/>
      <c r="E214" s="1125" t="s">
        <v>18</v>
      </c>
      <c r="F214" s="1130" t="str">
        <f>VLOOKUP(E214,$N$13:$O$17,2,0)</f>
        <v>-</v>
      </c>
      <c r="G214" s="92"/>
      <c r="H214" s="90"/>
      <c r="I214" s="1125"/>
      <c r="J214" s="1133"/>
      <c r="K214" s="1133"/>
      <c r="L214" s="916"/>
    </row>
    <row r="215" spans="1:12" s="103" customFormat="1" ht="15.75" hidden="1" customHeight="1" outlineLevel="1">
      <c r="A215" s="916"/>
      <c r="B215" s="1123"/>
      <c r="C215" s="1127"/>
      <c r="D215" s="1125"/>
      <c r="E215" s="1125"/>
      <c r="F215" s="1130"/>
      <c r="G215" s="95"/>
      <c r="H215" s="90"/>
      <c r="I215" s="1125"/>
      <c r="J215" s="1134"/>
      <c r="K215" s="1134"/>
      <c r="L215" s="916"/>
    </row>
    <row r="216" spans="1:12" s="103" customFormat="1" ht="15.75" hidden="1" customHeight="1" outlineLevel="1">
      <c r="A216" s="916"/>
      <c r="B216" s="1124"/>
      <c r="C216" s="1128"/>
      <c r="D216" s="1126"/>
      <c r="E216" s="1126"/>
      <c r="F216" s="1132"/>
      <c r="G216" s="100"/>
      <c r="H216" s="98"/>
      <c r="I216" s="1126"/>
      <c r="J216" s="1135"/>
      <c r="K216" s="1135"/>
      <c r="L216" s="916"/>
    </row>
    <row r="217" spans="1:12" s="103" customFormat="1" ht="15.75" hidden="1" customHeight="1" outlineLevel="1">
      <c r="A217" s="916"/>
      <c r="B217" s="1123">
        <v>69</v>
      </c>
      <c r="C217" s="1127"/>
      <c r="D217" s="1125"/>
      <c r="E217" s="1125" t="s">
        <v>18</v>
      </c>
      <c r="F217" s="1130" t="str">
        <f>VLOOKUP(E217,$N$13:$O$17,2,0)</f>
        <v>-</v>
      </c>
      <c r="G217" s="92"/>
      <c r="H217" s="90"/>
      <c r="I217" s="1125"/>
      <c r="J217" s="1133"/>
      <c r="K217" s="1133"/>
      <c r="L217" s="916"/>
    </row>
    <row r="218" spans="1:12" s="103" customFormat="1" ht="15.75" hidden="1" customHeight="1" outlineLevel="1">
      <c r="A218" s="916"/>
      <c r="B218" s="1123"/>
      <c r="C218" s="1127"/>
      <c r="D218" s="1125"/>
      <c r="E218" s="1125"/>
      <c r="F218" s="1130"/>
      <c r="G218" s="95"/>
      <c r="H218" s="90"/>
      <c r="I218" s="1125"/>
      <c r="J218" s="1134"/>
      <c r="K218" s="1134"/>
      <c r="L218" s="916"/>
    </row>
    <row r="219" spans="1:12" s="103" customFormat="1" ht="15.75" hidden="1" customHeight="1" outlineLevel="1">
      <c r="A219" s="916"/>
      <c r="B219" s="1124"/>
      <c r="C219" s="1128"/>
      <c r="D219" s="1126"/>
      <c r="E219" s="1126"/>
      <c r="F219" s="1132"/>
      <c r="G219" s="100"/>
      <c r="H219" s="98"/>
      <c r="I219" s="1126"/>
      <c r="J219" s="1135"/>
      <c r="K219" s="1135"/>
      <c r="L219" s="916"/>
    </row>
    <row r="220" spans="1:12" s="103" customFormat="1" ht="15.75" hidden="1" customHeight="1" outlineLevel="1">
      <c r="A220" s="916"/>
      <c r="B220" s="1123">
        <v>70</v>
      </c>
      <c r="C220" s="1127"/>
      <c r="D220" s="1125"/>
      <c r="E220" s="1125" t="s">
        <v>18</v>
      </c>
      <c r="F220" s="1130" t="str">
        <f>VLOOKUP(E220,$N$13:$O$17,2,0)</f>
        <v>-</v>
      </c>
      <c r="G220" s="92"/>
      <c r="H220" s="90"/>
      <c r="I220" s="1125"/>
      <c r="J220" s="1133"/>
      <c r="K220" s="1133"/>
      <c r="L220" s="916"/>
    </row>
    <row r="221" spans="1:12" s="103" customFormat="1" ht="15.75" hidden="1" customHeight="1" outlineLevel="1">
      <c r="A221" s="916"/>
      <c r="B221" s="1123"/>
      <c r="C221" s="1127"/>
      <c r="D221" s="1125"/>
      <c r="E221" s="1125"/>
      <c r="F221" s="1130"/>
      <c r="G221" s="95"/>
      <c r="H221" s="90"/>
      <c r="I221" s="1125"/>
      <c r="J221" s="1134"/>
      <c r="K221" s="1134"/>
      <c r="L221" s="916"/>
    </row>
    <row r="222" spans="1:12" s="103" customFormat="1" ht="15.75" hidden="1" customHeight="1" outlineLevel="1">
      <c r="A222" s="916"/>
      <c r="B222" s="1124"/>
      <c r="C222" s="1128"/>
      <c r="D222" s="1126"/>
      <c r="E222" s="1126"/>
      <c r="F222" s="1132"/>
      <c r="G222" s="100"/>
      <c r="H222" s="98"/>
      <c r="I222" s="1126"/>
      <c r="J222" s="1135"/>
      <c r="K222" s="1135"/>
      <c r="L222" s="916"/>
    </row>
    <row r="223" spans="1:12" s="103" customFormat="1" ht="15.75" hidden="1" customHeight="1" outlineLevel="1">
      <c r="A223" s="916"/>
      <c r="B223" s="1123">
        <v>71</v>
      </c>
      <c r="C223" s="1127"/>
      <c r="D223" s="1125"/>
      <c r="E223" s="1125" t="s">
        <v>18</v>
      </c>
      <c r="F223" s="1130" t="str">
        <f>VLOOKUP(E223,$N$13:$O$17,2,0)</f>
        <v>-</v>
      </c>
      <c r="G223" s="92"/>
      <c r="H223" s="90"/>
      <c r="I223" s="1125"/>
      <c r="J223" s="1133"/>
      <c r="K223" s="1133"/>
      <c r="L223" s="916"/>
    </row>
    <row r="224" spans="1:12" s="103" customFormat="1" ht="15.75" hidden="1" customHeight="1" outlineLevel="1">
      <c r="A224" s="916"/>
      <c r="B224" s="1123"/>
      <c r="C224" s="1127"/>
      <c r="D224" s="1125"/>
      <c r="E224" s="1125"/>
      <c r="F224" s="1130"/>
      <c r="G224" s="95"/>
      <c r="H224" s="90"/>
      <c r="I224" s="1125"/>
      <c r="J224" s="1134"/>
      <c r="K224" s="1134"/>
      <c r="L224" s="916"/>
    </row>
    <row r="225" spans="1:12" s="103" customFormat="1" ht="15.75" hidden="1" customHeight="1" outlineLevel="1">
      <c r="A225" s="916"/>
      <c r="B225" s="1124"/>
      <c r="C225" s="1128"/>
      <c r="D225" s="1126"/>
      <c r="E225" s="1126"/>
      <c r="F225" s="1132"/>
      <c r="G225" s="100"/>
      <c r="H225" s="98"/>
      <c r="I225" s="1126"/>
      <c r="J225" s="1135"/>
      <c r="K225" s="1135"/>
      <c r="L225" s="916"/>
    </row>
    <row r="226" spans="1:12" s="103" customFormat="1" ht="15.75" hidden="1" customHeight="1" outlineLevel="1">
      <c r="A226" s="916"/>
      <c r="B226" s="1123">
        <v>72</v>
      </c>
      <c r="C226" s="1127"/>
      <c r="D226" s="1125"/>
      <c r="E226" s="1125" t="s">
        <v>18</v>
      </c>
      <c r="F226" s="1130" t="str">
        <f>VLOOKUP(E226,$N$13:$O$17,2,0)</f>
        <v>-</v>
      </c>
      <c r="G226" s="92"/>
      <c r="H226" s="90"/>
      <c r="I226" s="1125"/>
      <c r="J226" s="1133"/>
      <c r="K226" s="1133"/>
      <c r="L226" s="916"/>
    </row>
    <row r="227" spans="1:12" s="103" customFormat="1" ht="15.75" hidden="1" customHeight="1" outlineLevel="1">
      <c r="A227" s="916"/>
      <c r="B227" s="1123"/>
      <c r="C227" s="1127"/>
      <c r="D227" s="1125"/>
      <c r="E227" s="1125"/>
      <c r="F227" s="1130"/>
      <c r="G227" s="95"/>
      <c r="H227" s="90"/>
      <c r="I227" s="1125"/>
      <c r="J227" s="1134"/>
      <c r="K227" s="1134"/>
      <c r="L227" s="916"/>
    </row>
    <row r="228" spans="1:12" s="103" customFormat="1" ht="15.75" hidden="1" customHeight="1" outlineLevel="1">
      <c r="A228" s="916"/>
      <c r="B228" s="1124"/>
      <c r="C228" s="1128"/>
      <c r="D228" s="1126"/>
      <c r="E228" s="1126"/>
      <c r="F228" s="1132"/>
      <c r="G228" s="100"/>
      <c r="H228" s="98"/>
      <c r="I228" s="1126"/>
      <c r="J228" s="1135"/>
      <c r="K228" s="1135"/>
      <c r="L228" s="916"/>
    </row>
    <row r="229" spans="1:12" s="103" customFormat="1" ht="15.75" hidden="1" customHeight="1" outlineLevel="1">
      <c r="A229" s="916"/>
      <c r="B229" s="1123">
        <v>73</v>
      </c>
      <c r="C229" s="1127"/>
      <c r="D229" s="1125"/>
      <c r="E229" s="1125" t="s">
        <v>18</v>
      </c>
      <c r="F229" s="1130" t="str">
        <f>VLOOKUP(E229,$N$13:$O$17,2,0)</f>
        <v>-</v>
      </c>
      <c r="G229" s="92"/>
      <c r="H229" s="90"/>
      <c r="I229" s="1125"/>
      <c r="J229" s="1133"/>
      <c r="K229" s="1133"/>
      <c r="L229" s="916"/>
    </row>
    <row r="230" spans="1:12" s="103" customFormat="1" ht="15.75" hidden="1" customHeight="1" outlineLevel="1">
      <c r="A230" s="916"/>
      <c r="B230" s="1123"/>
      <c r="C230" s="1127"/>
      <c r="D230" s="1125"/>
      <c r="E230" s="1125"/>
      <c r="F230" s="1130"/>
      <c r="G230" s="95"/>
      <c r="H230" s="90"/>
      <c r="I230" s="1125"/>
      <c r="J230" s="1134"/>
      <c r="K230" s="1134"/>
      <c r="L230" s="916"/>
    </row>
    <row r="231" spans="1:12" s="103" customFormat="1" ht="15.75" hidden="1" customHeight="1" outlineLevel="1">
      <c r="A231" s="916"/>
      <c r="B231" s="1124"/>
      <c r="C231" s="1128"/>
      <c r="D231" s="1126"/>
      <c r="E231" s="1126"/>
      <c r="F231" s="1132"/>
      <c r="G231" s="100"/>
      <c r="H231" s="98"/>
      <c r="I231" s="1126"/>
      <c r="J231" s="1135"/>
      <c r="K231" s="1135"/>
      <c r="L231" s="916"/>
    </row>
    <row r="232" spans="1:12" s="103" customFormat="1" ht="15.75" hidden="1" customHeight="1" outlineLevel="1">
      <c r="A232" s="916"/>
      <c r="B232" s="1123">
        <v>74</v>
      </c>
      <c r="C232" s="1127"/>
      <c r="D232" s="1125"/>
      <c r="E232" s="1125" t="s">
        <v>18</v>
      </c>
      <c r="F232" s="1130" t="str">
        <f>VLOOKUP(E232,$N$13:$O$17,2,0)</f>
        <v>-</v>
      </c>
      <c r="G232" s="92"/>
      <c r="H232" s="90"/>
      <c r="I232" s="1125"/>
      <c r="J232" s="1133"/>
      <c r="K232" s="1133"/>
      <c r="L232" s="916"/>
    </row>
    <row r="233" spans="1:12" s="103" customFormat="1" ht="15.75" hidden="1" customHeight="1" outlineLevel="1">
      <c r="A233" s="916"/>
      <c r="B233" s="1123"/>
      <c r="C233" s="1127"/>
      <c r="D233" s="1125"/>
      <c r="E233" s="1125"/>
      <c r="F233" s="1130"/>
      <c r="G233" s="95"/>
      <c r="H233" s="90"/>
      <c r="I233" s="1125"/>
      <c r="J233" s="1134"/>
      <c r="K233" s="1134"/>
      <c r="L233" s="916"/>
    </row>
    <row r="234" spans="1:12" s="103" customFormat="1" ht="15.75" hidden="1" customHeight="1" outlineLevel="1">
      <c r="A234" s="916"/>
      <c r="B234" s="1124"/>
      <c r="C234" s="1128"/>
      <c r="D234" s="1126"/>
      <c r="E234" s="1126"/>
      <c r="F234" s="1132"/>
      <c r="G234" s="100"/>
      <c r="H234" s="98"/>
      <c r="I234" s="1126"/>
      <c r="J234" s="1135"/>
      <c r="K234" s="1135"/>
      <c r="L234" s="916"/>
    </row>
    <row r="235" spans="1:12" s="103" customFormat="1" ht="15.75" hidden="1" customHeight="1" outlineLevel="1">
      <c r="A235" s="916"/>
      <c r="B235" s="1123">
        <v>75</v>
      </c>
      <c r="C235" s="1127"/>
      <c r="D235" s="1125"/>
      <c r="E235" s="1125" t="s">
        <v>18</v>
      </c>
      <c r="F235" s="1130" t="str">
        <f>VLOOKUP(E235,$N$13:$O$17,2,0)</f>
        <v>-</v>
      </c>
      <c r="G235" s="92"/>
      <c r="H235" s="90"/>
      <c r="I235" s="1125"/>
      <c r="J235" s="1133"/>
      <c r="K235" s="1133"/>
      <c r="L235" s="916"/>
    </row>
    <row r="236" spans="1:12" s="103" customFormat="1" ht="15.75" hidden="1" customHeight="1" outlineLevel="1">
      <c r="A236" s="916"/>
      <c r="B236" s="1123"/>
      <c r="C236" s="1127"/>
      <c r="D236" s="1125"/>
      <c r="E236" s="1125"/>
      <c r="F236" s="1130"/>
      <c r="G236" s="95"/>
      <c r="H236" s="90"/>
      <c r="I236" s="1125"/>
      <c r="J236" s="1134"/>
      <c r="K236" s="1134"/>
      <c r="L236" s="916"/>
    </row>
    <row r="237" spans="1:12" s="103" customFormat="1" ht="15.75" hidden="1" customHeight="1" outlineLevel="1">
      <c r="A237" s="916"/>
      <c r="B237" s="1124"/>
      <c r="C237" s="1128"/>
      <c r="D237" s="1126"/>
      <c r="E237" s="1126"/>
      <c r="F237" s="1132"/>
      <c r="G237" s="100"/>
      <c r="H237" s="98"/>
      <c r="I237" s="1126"/>
      <c r="J237" s="1135"/>
      <c r="K237" s="1135"/>
      <c r="L237" s="916"/>
    </row>
    <row r="238" spans="1:12" s="103" customFormat="1" ht="15.75" hidden="1" customHeight="1" outlineLevel="1">
      <c r="A238" s="916"/>
      <c r="B238" s="1123">
        <v>76</v>
      </c>
      <c r="C238" s="1127"/>
      <c r="D238" s="1125"/>
      <c r="E238" s="1125" t="s">
        <v>18</v>
      </c>
      <c r="F238" s="1130" t="str">
        <f>VLOOKUP(E238,$N$13:$O$17,2,0)</f>
        <v>-</v>
      </c>
      <c r="G238" s="92"/>
      <c r="H238" s="90"/>
      <c r="I238" s="1125"/>
      <c r="J238" s="1133"/>
      <c r="K238" s="1133"/>
      <c r="L238" s="916"/>
    </row>
    <row r="239" spans="1:12" s="103" customFormat="1" ht="15.75" hidden="1" customHeight="1" outlineLevel="1">
      <c r="A239" s="916"/>
      <c r="B239" s="1123"/>
      <c r="C239" s="1127"/>
      <c r="D239" s="1125"/>
      <c r="E239" s="1125"/>
      <c r="F239" s="1130"/>
      <c r="G239" s="95"/>
      <c r="H239" s="90"/>
      <c r="I239" s="1125"/>
      <c r="J239" s="1134"/>
      <c r="K239" s="1134"/>
      <c r="L239" s="916"/>
    </row>
    <row r="240" spans="1:12" s="103" customFormat="1" ht="15.75" hidden="1" customHeight="1" outlineLevel="1">
      <c r="A240" s="916"/>
      <c r="B240" s="1124"/>
      <c r="C240" s="1128"/>
      <c r="D240" s="1126"/>
      <c r="E240" s="1126"/>
      <c r="F240" s="1132"/>
      <c r="G240" s="100"/>
      <c r="H240" s="98"/>
      <c r="I240" s="1126"/>
      <c r="J240" s="1135"/>
      <c r="K240" s="1135"/>
      <c r="L240" s="916"/>
    </row>
    <row r="241" spans="1:12" s="103" customFormat="1" ht="15.75" hidden="1" customHeight="1" outlineLevel="1">
      <c r="A241" s="916"/>
      <c r="B241" s="1123">
        <v>77</v>
      </c>
      <c r="C241" s="1127"/>
      <c r="D241" s="1125"/>
      <c r="E241" s="1125" t="s">
        <v>18</v>
      </c>
      <c r="F241" s="1130" t="str">
        <f>VLOOKUP(E241,$N$13:$O$17,2,0)</f>
        <v>-</v>
      </c>
      <c r="G241" s="92"/>
      <c r="H241" s="90"/>
      <c r="I241" s="1125"/>
      <c r="J241" s="1133"/>
      <c r="K241" s="1133"/>
      <c r="L241" s="916"/>
    </row>
    <row r="242" spans="1:12" s="103" customFormat="1" ht="15.75" hidden="1" customHeight="1" outlineLevel="1">
      <c r="A242" s="916"/>
      <c r="B242" s="1123"/>
      <c r="C242" s="1127"/>
      <c r="D242" s="1125"/>
      <c r="E242" s="1125"/>
      <c r="F242" s="1130"/>
      <c r="G242" s="95"/>
      <c r="H242" s="90"/>
      <c r="I242" s="1125"/>
      <c r="J242" s="1134"/>
      <c r="K242" s="1134"/>
      <c r="L242" s="916"/>
    </row>
    <row r="243" spans="1:12" s="103" customFormat="1" ht="15.75" hidden="1" customHeight="1" outlineLevel="1">
      <c r="A243" s="916"/>
      <c r="B243" s="1124"/>
      <c r="C243" s="1128"/>
      <c r="D243" s="1126"/>
      <c r="E243" s="1126"/>
      <c r="F243" s="1132"/>
      <c r="G243" s="100"/>
      <c r="H243" s="98"/>
      <c r="I243" s="1126"/>
      <c r="J243" s="1135"/>
      <c r="K243" s="1135"/>
      <c r="L243" s="916"/>
    </row>
    <row r="244" spans="1:12" s="103" customFormat="1" ht="15.75" hidden="1" customHeight="1" outlineLevel="1">
      <c r="A244" s="916"/>
      <c r="B244" s="1123">
        <v>78</v>
      </c>
      <c r="C244" s="1127"/>
      <c r="D244" s="1125"/>
      <c r="E244" s="1125" t="s">
        <v>18</v>
      </c>
      <c r="F244" s="1130" t="str">
        <f>VLOOKUP(E244,$N$13:$O$17,2,0)</f>
        <v>-</v>
      </c>
      <c r="G244" s="92"/>
      <c r="H244" s="90"/>
      <c r="I244" s="1125"/>
      <c r="J244" s="1133"/>
      <c r="K244" s="1133"/>
      <c r="L244" s="916"/>
    </row>
    <row r="245" spans="1:12" s="103" customFormat="1" ht="15.75" hidden="1" customHeight="1" outlineLevel="1">
      <c r="A245" s="916"/>
      <c r="B245" s="1123"/>
      <c r="C245" s="1127"/>
      <c r="D245" s="1125"/>
      <c r="E245" s="1125"/>
      <c r="F245" s="1130"/>
      <c r="G245" s="95"/>
      <c r="H245" s="90"/>
      <c r="I245" s="1125"/>
      <c r="J245" s="1134"/>
      <c r="K245" s="1134"/>
      <c r="L245" s="916"/>
    </row>
    <row r="246" spans="1:12" s="103" customFormat="1" ht="15.75" hidden="1" customHeight="1" outlineLevel="1">
      <c r="A246" s="916"/>
      <c r="B246" s="1124"/>
      <c r="C246" s="1128"/>
      <c r="D246" s="1126"/>
      <c r="E246" s="1126"/>
      <c r="F246" s="1132"/>
      <c r="G246" s="100"/>
      <c r="H246" s="98"/>
      <c r="I246" s="1126"/>
      <c r="J246" s="1135"/>
      <c r="K246" s="1135"/>
      <c r="L246" s="916"/>
    </row>
    <row r="247" spans="1:12" s="103" customFormat="1" ht="15.75" hidden="1" customHeight="1" outlineLevel="1">
      <c r="A247" s="916"/>
      <c r="B247" s="1123">
        <v>79</v>
      </c>
      <c r="C247" s="1127"/>
      <c r="D247" s="1125"/>
      <c r="E247" s="1125" t="s">
        <v>18</v>
      </c>
      <c r="F247" s="1130" t="str">
        <f>VLOOKUP(E247,$N$13:$O$17,2,0)</f>
        <v>-</v>
      </c>
      <c r="G247" s="92"/>
      <c r="H247" s="90"/>
      <c r="I247" s="1125"/>
      <c r="J247" s="1133"/>
      <c r="K247" s="1133"/>
      <c r="L247" s="916"/>
    </row>
    <row r="248" spans="1:12" s="103" customFormat="1" ht="15.75" hidden="1" customHeight="1" outlineLevel="1">
      <c r="A248" s="916"/>
      <c r="B248" s="1123"/>
      <c r="C248" s="1127"/>
      <c r="D248" s="1125"/>
      <c r="E248" s="1125"/>
      <c r="F248" s="1130"/>
      <c r="G248" s="95"/>
      <c r="H248" s="90"/>
      <c r="I248" s="1125"/>
      <c r="J248" s="1134"/>
      <c r="K248" s="1134"/>
      <c r="L248" s="916"/>
    </row>
    <row r="249" spans="1:12" s="103" customFormat="1" ht="15.75" hidden="1" customHeight="1" outlineLevel="1">
      <c r="A249" s="916"/>
      <c r="B249" s="1124"/>
      <c r="C249" s="1128"/>
      <c r="D249" s="1126"/>
      <c r="E249" s="1126"/>
      <c r="F249" s="1132"/>
      <c r="G249" s="100"/>
      <c r="H249" s="98"/>
      <c r="I249" s="1126"/>
      <c r="J249" s="1135"/>
      <c r="K249" s="1135"/>
      <c r="L249" s="916"/>
    </row>
    <row r="250" spans="1:12" s="103" customFormat="1" ht="15.75" hidden="1" customHeight="1" outlineLevel="1">
      <c r="A250" s="916"/>
      <c r="B250" s="1123">
        <v>80</v>
      </c>
      <c r="C250" s="1127"/>
      <c r="D250" s="1125"/>
      <c r="E250" s="1125" t="s">
        <v>18</v>
      </c>
      <c r="F250" s="1130" t="str">
        <f>VLOOKUP(E250,$N$13:$O$17,2,0)</f>
        <v>-</v>
      </c>
      <c r="G250" s="92"/>
      <c r="H250" s="90"/>
      <c r="I250" s="1125"/>
      <c r="J250" s="1133"/>
      <c r="K250" s="1133"/>
      <c r="L250" s="916"/>
    </row>
    <row r="251" spans="1:12" s="103" customFormat="1" ht="15.75" hidden="1" customHeight="1" outlineLevel="1">
      <c r="A251" s="916"/>
      <c r="B251" s="1123"/>
      <c r="C251" s="1127"/>
      <c r="D251" s="1125"/>
      <c r="E251" s="1125"/>
      <c r="F251" s="1130"/>
      <c r="G251" s="95"/>
      <c r="H251" s="90"/>
      <c r="I251" s="1125"/>
      <c r="J251" s="1134"/>
      <c r="K251" s="1134"/>
      <c r="L251" s="916"/>
    </row>
    <row r="252" spans="1:12" s="103" customFormat="1" ht="15.75" hidden="1" customHeight="1" outlineLevel="1">
      <c r="A252" s="916"/>
      <c r="B252" s="1124"/>
      <c r="C252" s="1128"/>
      <c r="D252" s="1126"/>
      <c r="E252" s="1126"/>
      <c r="F252" s="1132"/>
      <c r="G252" s="100"/>
      <c r="H252" s="98"/>
      <c r="I252" s="1126"/>
      <c r="J252" s="1135"/>
      <c r="K252" s="1135"/>
      <c r="L252" s="916"/>
    </row>
    <row r="253" spans="1:12" s="103" customFormat="1" ht="15.75" hidden="1" customHeight="1" outlineLevel="1">
      <c r="A253" s="916"/>
      <c r="B253" s="1123">
        <v>81</v>
      </c>
      <c r="C253" s="1127"/>
      <c r="D253" s="1125"/>
      <c r="E253" s="1125" t="s">
        <v>18</v>
      </c>
      <c r="F253" s="1130" t="str">
        <f>VLOOKUP(E253,$N$13:$O$17,2,0)</f>
        <v>-</v>
      </c>
      <c r="G253" s="92"/>
      <c r="H253" s="90"/>
      <c r="I253" s="1125"/>
      <c r="J253" s="1133"/>
      <c r="K253" s="1133"/>
      <c r="L253" s="916"/>
    </row>
    <row r="254" spans="1:12" s="103" customFormat="1" ht="15.75" hidden="1" customHeight="1" outlineLevel="1">
      <c r="A254" s="916"/>
      <c r="B254" s="1123"/>
      <c r="C254" s="1127"/>
      <c r="D254" s="1125"/>
      <c r="E254" s="1125"/>
      <c r="F254" s="1130"/>
      <c r="G254" s="95"/>
      <c r="H254" s="90"/>
      <c r="I254" s="1125"/>
      <c r="J254" s="1134"/>
      <c r="K254" s="1134"/>
      <c r="L254" s="916"/>
    </row>
    <row r="255" spans="1:12" s="103" customFormat="1" ht="15.75" hidden="1" customHeight="1" outlineLevel="1">
      <c r="A255" s="916"/>
      <c r="B255" s="1124"/>
      <c r="C255" s="1128"/>
      <c r="D255" s="1126"/>
      <c r="E255" s="1126"/>
      <c r="F255" s="1132"/>
      <c r="G255" s="100"/>
      <c r="H255" s="98"/>
      <c r="I255" s="1126"/>
      <c r="J255" s="1135"/>
      <c r="K255" s="1135"/>
      <c r="L255" s="916"/>
    </row>
    <row r="256" spans="1:12" s="103" customFormat="1" ht="15.75" hidden="1" customHeight="1" outlineLevel="1">
      <c r="A256" s="916"/>
      <c r="B256" s="1123">
        <v>82</v>
      </c>
      <c r="C256" s="1127"/>
      <c r="D256" s="1125"/>
      <c r="E256" s="1125" t="s">
        <v>18</v>
      </c>
      <c r="F256" s="1130" t="str">
        <f>VLOOKUP(E256,$N$13:$O$17,2,0)</f>
        <v>-</v>
      </c>
      <c r="G256" s="92"/>
      <c r="H256" s="90"/>
      <c r="I256" s="1125"/>
      <c r="J256" s="1133"/>
      <c r="K256" s="1133"/>
      <c r="L256" s="916"/>
    </row>
    <row r="257" spans="1:12" s="103" customFormat="1" ht="15.75" hidden="1" customHeight="1" outlineLevel="1">
      <c r="A257" s="916"/>
      <c r="B257" s="1123"/>
      <c r="C257" s="1127"/>
      <c r="D257" s="1125"/>
      <c r="E257" s="1125"/>
      <c r="F257" s="1130"/>
      <c r="G257" s="95"/>
      <c r="H257" s="90"/>
      <c r="I257" s="1125"/>
      <c r="J257" s="1134"/>
      <c r="K257" s="1134"/>
      <c r="L257" s="916"/>
    </row>
    <row r="258" spans="1:12" s="103" customFormat="1" ht="15.75" hidden="1" customHeight="1" outlineLevel="1">
      <c r="A258" s="916"/>
      <c r="B258" s="1124"/>
      <c r="C258" s="1128"/>
      <c r="D258" s="1126"/>
      <c r="E258" s="1126"/>
      <c r="F258" s="1132"/>
      <c r="G258" s="100"/>
      <c r="H258" s="98"/>
      <c r="I258" s="1126"/>
      <c r="J258" s="1135"/>
      <c r="K258" s="1135"/>
      <c r="L258" s="916"/>
    </row>
    <row r="259" spans="1:12" s="103" customFormat="1" ht="15.75" hidden="1" customHeight="1" outlineLevel="1">
      <c r="A259" s="916"/>
      <c r="B259" s="1123">
        <v>83</v>
      </c>
      <c r="C259" s="1127"/>
      <c r="D259" s="1125"/>
      <c r="E259" s="1125" t="s">
        <v>18</v>
      </c>
      <c r="F259" s="1130" t="str">
        <f>VLOOKUP(E259,$N$13:$O$17,2,0)</f>
        <v>-</v>
      </c>
      <c r="G259" s="92"/>
      <c r="H259" s="90"/>
      <c r="I259" s="1125"/>
      <c r="J259" s="1133"/>
      <c r="K259" s="1133"/>
      <c r="L259" s="916"/>
    </row>
    <row r="260" spans="1:12" s="103" customFormat="1" ht="15.75" hidden="1" customHeight="1" outlineLevel="1">
      <c r="A260" s="916"/>
      <c r="B260" s="1123"/>
      <c r="C260" s="1127"/>
      <c r="D260" s="1125"/>
      <c r="E260" s="1125"/>
      <c r="F260" s="1130"/>
      <c r="G260" s="95"/>
      <c r="H260" s="90"/>
      <c r="I260" s="1125"/>
      <c r="J260" s="1134"/>
      <c r="K260" s="1134"/>
      <c r="L260" s="916"/>
    </row>
    <row r="261" spans="1:12" s="103" customFormat="1" ht="15.75" hidden="1" customHeight="1" outlineLevel="1">
      <c r="A261" s="916"/>
      <c r="B261" s="1124"/>
      <c r="C261" s="1128"/>
      <c r="D261" s="1126"/>
      <c r="E261" s="1126"/>
      <c r="F261" s="1132"/>
      <c r="G261" s="100"/>
      <c r="H261" s="98"/>
      <c r="I261" s="1126"/>
      <c r="J261" s="1135"/>
      <c r="K261" s="1135"/>
      <c r="L261" s="916"/>
    </row>
    <row r="262" spans="1:12" s="103" customFormat="1" ht="15.75" hidden="1" customHeight="1" outlineLevel="1">
      <c r="A262" s="916"/>
      <c r="B262" s="1123">
        <v>84</v>
      </c>
      <c r="C262" s="1127"/>
      <c r="D262" s="1125"/>
      <c r="E262" s="1125" t="s">
        <v>18</v>
      </c>
      <c r="F262" s="1130" t="str">
        <f>VLOOKUP(E262,$N$13:$O$17,2,0)</f>
        <v>-</v>
      </c>
      <c r="G262" s="92"/>
      <c r="H262" s="90"/>
      <c r="I262" s="1125"/>
      <c r="J262" s="1133"/>
      <c r="K262" s="1133"/>
      <c r="L262" s="916"/>
    </row>
    <row r="263" spans="1:12" s="103" customFormat="1" ht="15.75" hidden="1" customHeight="1" outlineLevel="1">
      <c r="A263" s="916"/>
      <c r="B263" s="1123"/>
      <c r="C263" s="1127"/>
      <c r="D263" s="1125"/>
      <c r="E263" s="1125"/>
      <c r="F263" s="1130"/>
      <c r="G263" s="95"/>
      <c r="H263" s="90"/>
      <c r="I263" s="1125"/>
      <c r="J263" s="1134"/>
      <c r="K263" s="1134"/>
      <c r="L263" s="916"/>
    </row>
    <row r="264" spans="1:12" s="103" customFormat="1" ht="15.75" hidden="1" customHeight="1" outlineLevel="1">
      <c r="A264" s="916"/>
      <c r="B264" s="1124"/>
      <c r="C264" s="1128"/>
      <c r="D264" s="1126"/>
      <c r="E264" s="1126"/>
      <c r="F264" s="1132"/>
      <c r="G264" s="100"/>
      <c r="H264" s="98"/>
      <c r="I264" s="1126"/>
      <c r="J264" s="1135"/>
      <c r="K264" s="1135"/>
      <c r="L264" s="916"/>
    </row>
    <row r="265" spans="1:12" s="103" customFormat="1" ht="15.75" hidden="1" customHeight="1" outlineLevel="1">
      <c r="A265" s="916"/>
      <c r="B265" s="1123">
        <v>85</v>
      </c>
      <c r="C265" s="1127"/>
      <c r="D265" s="1125"/>
      <c r="E265" s="1125" t="s">
        <v>18</v>
      </c>
      <c r="F265" s="1130" t="str">
        <f>VLOOKUP(E265,$N$13:$O$17,2,0)</f>
        <v>-</v>
      </c>
      <c r="G265" s="92"/>
      <c r="H265" s="90"/>
      <c r="I265" s="1125"/>
      <c r="J265" s="1133"/>
      <c r="K265" s="1133"/>
      <c r="L265" s="916"/>
    </row>
    <row r="266" spans="1:12" s="103" customFormat="1" ht="15.75" hidden="1" customHeight="1" outlineLevel="1">
      <c r="A266" s="916"/>
      <c r="B266" s="1123"/>
      <c r="C266" s="1127"/>
      <c r="D266" s="1125"/>
      <c r="E266" s="1125"/>
      <c r="F266" s="1130"/>
      <c r="G266" s="95"/>
      <c r="H266" s="90"/>
      <c r="I266" s="1125"/>
      <c r="J266" s="1134"/>
      <c r="K266" s="1134"/>
      <c r="L266" s="916"/>
    </row>
    <row r="267" spans="1:12" s="103" customFormat="1" ht="15.75" hidden="1" customHeight="1" outlineLevel="1">
      <c r="A267" s="916"/>
      <c r="B267" s="1124"/>
      <c r="C267" s="1128"/>
      <c r="D267" s="1126"/>
      <c r="E267" s="1126"/>
      <c r="F267" s="1132"/>
      <c r="G267" s="100"/>
      <c r="H267" s="98"/>
      <c r="I267" s="1126"/>
      <c r="J267" s="1135"/>
      <c r="K267" s="1135"/>
      <c r="L267" s="916"/>
    </row>
    <row r="268" spans="1:12" s="103" customFormat="1" ht="15.75" hidden="1" customHeight="1" outlineLevel="1">
      <c r="A268" s="916"/>
      <c r="B268" s="1123">
        <v>86</v>
      </c>
      <c r="C268" s="1127"/>
      <c r="D268" s="1125"/>
      <c r="E268" s="1125" t="s">
        <v>18</v>
      </c>
      <c r="F268" s="1130" t="str">
        <f>VLOOKUP(E268,$N$13:$O$17,2,0)</f>
        <v>-</v>
      </c>
      <c r="G268" s="92"/>
      <c r="H268" s="90"/>
      <c r="I268" s="1125"/>
      <c r="J268" s="1133"/>
      <c r="K268" s="1133"/>
      <c r="L268" s="916"/>
    </row>
    <row r="269" spans="1:12" s="103" customFormat="1" ht="15.75" hidden="1" customHeight="1" outlineLevel="1">
      <c r="A269" s="916"/>
      <c r="B269" s="1123"/>
      <c r="C269" s="1127"/>
      <c r="D269" s="1125"/>
      <c r="E269" s="1125"/>
      <c r="F269" s="1130"/>
      <c r="G269" s="95"/>
      <c r="H269" s="90"/>
      <c r="I269" s="1125"/>
      <c r="J269" s="1134"/>
      <c r="K269" s="1134"/>
      <c r="L269" s="916"/>
    </row>
    <row r="270" spans="1:12" s="103" customFormat="1" ht="15.75" hidden="1" customHeight="1" outlineLevel="1">
      <c r="A270" s="916"/>
      <c r="B270" s="1124"/>
      <c r="C270" s="1128"/>
      <c r="D270" s="1126"/>
      <c r="E270" s="1126"/>
      <c r="F270" s="1132"/>
      <c r="G270" s="100"/>
      <c r="H270" s="98"/>
      <c r="I270" s="1126"/>
      <c r="J270" s="1135"/>
      <c r="K270" s="1135"/>
      <c r="L270" s="916"/>
    </row>
    <row r="271" spans="1:12" s="103" customFormat="1" ht="15.75" hidden="1" customHeight="1" outlineLevel="1">
      <c r="A271" s="916"/>
      <c r="B271" s="1123">
        <v>87</v>
      </c>
      <c r="C271" s="1127"/>
      <c r="D271" s="1125"/>
      <c r="E271" s="1125" t="s">
        <v>18</v>
      </c>
      <c r="F271" s="1130" t="str">
        <f>VLOOKUP(E271,$N$13:$O$17,2,0)</f>
        <v>-</v>
      </c>
      <c r="G271" s="92"/>
      <c r="H271" s="90"/>
      <c r="I271" s="1125"/>
      <c r="J271" s="1133"/>
      <c r="K271" s="1133"/>
      <c r="L271" s="916"/>
    </row>
    <row r="272" spans="1:12" s="103" customFormat="1" ht="15.75" hidden="1" customHeight="1" outlineLevel="1">
      <c r="A272" s="916"/>
      <c r="B272" s="1123"/>
      <c r="C272" s="1127"/>
      <c r="D272" s="1125"/>
      <c r="E272" s="1125"/>
      <c r="F272" s="1130"/>
      <c r="G272" s="95"/>
      <c r="H272" s="90"/>
      <c r="I272" s="1125"/>
      <c r="J272" s="1134"/>
      <c r="K272" s="1134"/>
      <c r="L272" s="916"/>
    </row>
    <row r="273" spans="1:12" s="103" customFormat="1" ht="15.75" hidden="1" customHeight="1" outlineLevel="1">
      <c r="A273" s="916"/>
      <c r="B273" s="1124"/>
      <c r="C273" s="1128"/>
      <c r="D273" s="1126"/>
      <c r="E273" s="1126"/>
      <c r="F273" s="1132"/>
      <c r="G273" s="100"/>
      <c r="H273" s="98"/>
      <c r="I273" s="1126"/>
      <c r="J273" s="1135"/>
      <c r="K273" s="1135"/>
      <c r="L273" s="916"/>
    </row>
    <row r="274" spans="1:12" s="103" customFormat="1" ht="15.75" hidden="1" customHeight="1" outlineLevel="1">
      <c r="A274" s="916"/>
      <c r="B274" s="1123">
        <v>88</v>
      </c>
      <c r="C274" s="1127"/>
      <c r="D274" s="1125"/>
      <c r="E274" s="1125" t="s">
        <v>18</v>
      </c>
      <c r="F274" s="1130" t="str">
        <f>VLOOKUP(E274,$N$13:$O$17,2,0)</f>
        <v>-</v>
      </c>
      <c r="G274" s="92"/>
      <c r="H274" s="90"/>
      <c r="I274" s="1125"/>
      <c r="J274" s="1133"/>
      <c r="K274" s="1133"/>
      <c r="L274" s="916"/>
    </row>
    <row r="275" spans="1:12" s="103" customFormat="1" ht="15.75" hidden="1" customHeight="1" outlineLevel="1">
      <c r="A275" s="916"/>
      <c r="B275" s="1123"/>
      <c r="C275" s="1127"/>
      <c r="D275" s="1125"/>
      <c r="E275" s="1125"/>
      <c r="F275" s="1130"/>
      <c r="G275" s="95"/>
      <c r="H275" s="90"/>
      <c r="I275" s="1125"/>
      <c r="J275" s="1134"/>
      <c r="K275" s="1134"/>
      <c r="L275" s="916"/>
    </row>
    <row r="276" spans="1:12" s="103" customFormat="1" ht="15.75" hidden="1" customHeight="1" outlineLevel="1">
      <c r="A276" s="916"/>
      <c r="B276" s="1124"/>
      <c r="C276" s="1128"/>
      <c r="D276" s="1126"/>
      <c r="E276" s="1126"/>
      <c r="F276" s="1132"/>
      <c r="G276" s="100"/>
      <c r="H276" s="98"/>
      <c r="I276" s="1126"/>
      <c r="J276" s="1135"/>
      <c r="K276" s="1135"/>
      <c r="L276" s="916"/>
    </row>
    <row r="277" spans="1:12" s="103" customFormat="1" ht="15.75" hidden="1" customHeight="1" outlineLevel="1">
      <c r="A277" s="916"/>
      <c r="B277" s="1123">
        <v>89</v>
      </c>
      <c r="C277" s="1127"/>
      <c r="D277" s="1125"/>
      <c r="E277" s="1125" t="s">
        <v>18</v>
      </c>
      <c r="F277" s="1130" t="str">
        <f>VLOOKUP(E277,$N$13:$O$17,2,0)</f>
        <v>-</v>
      </c>
      <c r="G277" s="92"/>
      <c r="H277" s="90"/>
      <c r="I277" s="1125"/>
      <c r="J277" s="1133"/>
      <c r="K277" s="1133"/>
      <c r="L277" s="916"/>
    </row>
    <row r="278" spans="1:12" s="103" customFormat="1" ht="15.75" hidden="1" customHeight="1" outlineLevel="1">
      <c r="A278" s="916"/>
      <c r="B278" s="1123"/>
      <c r="C278" s="1127"/>
      <c r="D278" s="1125"/>
      <c r="E278" s="1125"/>
      <c r="F278" s="1130"/>
      <c r="G278" s="95"/>
      <c r="H278" s="90"/>
      <c r="I278" s="1125"/>
      <c r="J278" s="1134"/>
      <c r="K278" s="1134"/>
      <c r="L278" s="916"/>
    </row>
    <row r="279" spans="1:12" s="103" customFormat="1" ht="15.75" hidden="1" customHeight="1" outlineLevel="1">
      <c r="A279" s="916"/>
      <c r="B279" s="1124"/>
      <c r="C279" s="1128"/>
      <c r="D279" s="1126"/>
      <c r="E279" s="1126"/>
      <c r="F279" s="1132"/>
      <c r="G279" s="100"/>
      <c r="H279" s="98"/>
      <c r="I279" s="1126"/>
      <c r="J279" s="1135"/>
      <c r="K279" s="1135"/>
      <c r="L279" s="916"/>
    </row>
    <row r="280" spans="1:12" s="103" customFormat="1" ht="15.75" hidden="1" customHeight="1" outlineLevel="1">
      <c r="A280" s="916"/>
      <c r="B280" s="1123">
        <v>90</v>
      </c>
      <c r="C280" s="1127"/>
      <c r="D280" s="1125"/>
      <c r="E280" s="1125" t="s">
        <v>18</v>
      </c>
      <c r="F280" s="1130" t="str">
        <f>VLOOKUP(E280,$N$13:$O$17,2,0)</f>
        <v>-</v>
      </c>
      <c r="G280" s="92"/>
      <c r="H280" s="90"/>
      <c r="I280" s="1125"/>
      <c r="J280" s="1133"/>
      <c r="K280" s="1133"/>
      <c r="L280" s="916"/>
    </row>
    <row r="281" spans="1:12" s="103" customFormat="1" ht="15.75" hidden="1" customHeight="1" outlineLevel="1">
      <c r="A281" s="916"/>
      <c r="B281" s="1123"/>
      <c r="C281" s="1127"/>
      <c r="D281" s="1125"/>
      <c r="E281" s="1125"/>
      <c r="F281" s="1130"/>
      <c r="G281" s="95"/>
      <c r="H281" s="90"/>
      <c r="I281" s="1125"/>
      <c r="J281" s="1134"/>
      <c r="K281" s="1134"/>
      <c r="L281" s="916"/>
    </row>
    <row r="282" spans="1:12" s="103" customFormat="1" ht="15.75" hidden="1" customHeight="1" outlineLevel="1">
      <c r="A282" s="916"/>
      <c r="B282" s="1124"/>
      <c r="C282" s="1128"/>
      <c r="D282" s="1126"/>
      <c r="E282" s="1126"/>
      <c r="F282" s="1132"/>
      <c r="G282" s="100"/>
      <c r="H282" s="98"/>
      <c r="I282" s="1126"/>
      <c r="J282" s="1135"/>
      <c r="K282" s="1135"/>
      <c r="L282" s="916"/>
    </row>
    <row r="283" spans="1:12" s="103" customFormat="1" ht="15.75" hidden="1" customHeight="1" outlineLevel="1">
      <c r="A283" s="916"/>
      <c r="B283" s="1123">
        <v>91</v>
      </c>
      <c r="C283" s="1127"/>
      <c r="D283" s="1125"/>
      <c r="E283" s="1125" t="s">
        <v>18</v>
      </c>
      <c r="F283" s="1130" t="str">
        <f>VLOOKUP(E283,$N$13:$O$17,2,0)</f>
        <v>-</v>
      </c>
      <c r="G283" s="92"/>
      <c r="H283" s="90"/>
      <c r="I283" s="1125"/>
      <c r="J283" s="1133"/>
      <c r="K283" s="1133"/>
      <c r="L283" s="916"/>
    </row>
    <row r="284" spans="1:12" s="103" customFormat="1" ht="15.75" hidden="1" customHeight="1" outlineLevel="1">
      <c r="A284" s="916"/>
      <c r="B284" s="1123"/>
      <c r="C284" s="1127"/>
      <c r="D284" s="1125"/>
      <c r="E284" s="1125"/>
      <c r="F284" s="1130"/>
      <c r="G284" s="95"/>
      <c r="H284" s="90"/>
      <c r="I284" s="1125"/>
      <c r="J284" s="1134"/>
      <c r="K284" s="1134"/>
      <c r="L284" s="916"/>
    </row>
    <row r="285" spans="1:12" s="103" customFormat="1" ht="15.75" hidden="1" customHeight="1" outlineLevel="1">
      <c r="A285" s="916"/>
      <c r="B285" s="1124"/>
      <c r="C285" s="1128"/>
      <c r="D285" s="1126"/>
      <c r="E285" s="1126"/>
      <c r="F285" s="1132"/>
      <c r="G285" s="100"/>
      <c r="H285" s="98"/>
      <c r="I285" s="1126"/>
      <c r="J285" s="1135"/>
      <c r="K285" s="1135"/>
      <c r="L285" s="916"/>
    </row>
    <row r="286" spans="1:12" s="103" customFormat="1" ht="15.75" hidden="1" customHeight="1" outlineLevel="1">
      <c r="A286" s="916"/>
      <c r="B286" s="1123">
        <v>92</v>
      </c>
      <c r="C286" s="1127"/>
      <c r="D286" s="1125"/>
      <c r="E286" s="1125" t="s">
        <v>18</v>
      </c>
      <c r="F286" s="1130" t="str">
        <f>VLOOKUP(E286,$N$13:$O$17,2,0)</f>
        <v>-</v>
      </c>
      <c r="G286" s="92"/>
      <c r="H286" s="90"/>
      <c r="I286" s="1125"/>
      <c r="J286" s="1133"/>
      <c r="K286" s="1133"/>
      <c r="L286" s="916"/>
    </row>
    <row r="287" spans="1:12" s="103" customFormat="1" ht="15.75" hidden="1" customHeight="1" outlineLevel="1">
      <c r="A287" s="916"/>
      <c r="B287" s="1123"/>
      <c r="C287" s="1127"/>
      <c r="D287" s="1125"/>
      <c r="E287" s="1125"/>
      <c r="F287" s="1130"/>
      <c r="G287" s="95"/>
      <c r="H287" s="90"/>
      <c r="I287" s="1125"/>
      <c r="J287" s="1134"/>
      <c r="K287" s="1134"/>
      <c r="L287" s="916"/>
    </row>
    <row r="288" spans="1:12" s="103" customFormat="1" ht="15.75" hidden="1" customHeight="1" outlineLevel="1">
      <c r="A288" s="916"/>
      <c r="B288" s="1124"/>
      <c r="C288" s="1128"/>
      <c r="D288" s="1126"/>
      <c r="E288" s="1126"/>
      <c r="F288" s="1132"/>
      <c r="G288" s="100"/>
      <c r="H288" s="98"/>
      <c r="I288" s="1126"/>
      <c r="J288" s="1135"/>
      <c r="K288" s="1135"/>
      <c r="L288" s="916"/>
    </row>
    <row r="289" spans="1:12" s="103" customFormat="1" ht="15.75" hidden="1" customHeight="1" outlineLevel="1">
      <c r="A289" s="916"/>
      <c r="B289" s="1123">
        <v>93</v>
      </c>
      <c r="C289" s="1127"/>
      <c r="D289" s="1125"/>
      <c r="E289" s="1125" t="s">
        <v>18</v>
      </c>
      <c r="F289" s="1130" t="str">
        <f>VLOOKUP(E289,$N$13:$O$17,2,0)</f>
        <v>-</v>
      </c>
      <c r="G289" s="92"/>
      <c r="H289" s="90"/>
      <c r="I289" s="1125"/>
      <c r="J289" s="1133"/>
      <c r="K289" s="1133"/>
      <c r="L289" s="916"/>
    </row>
    <row r="290" spans="1:12" s="103" customFormat="1" ht="15.75" hidden="1" customHeight="1" outlineLevel="1">
      <c r="A290" s="916"/>
      <c r="B290" s="1123"/>
      <c r="C290" s="1127"/>
      <c r="D290" s="1125"/>
      <c r="E290" s="1125"/>
      <c r="F290" s="1130"/>
      <c r="G290" s="95"/>
      <c r="H290" s="90"/>
      <c r="I290" s="1125"/>
      <c r="J290" s="1134"/>
      <c r="K290" s="1134"/>
      <c r="L290" s="916"/>
    </row>
    <row r="291" spans="1:12" s="103" customFormat="1" ht="15.75" hidden="1" customHeight="1" outlineLevel="1">
      <c r="A291" s="916"/>
      <c r="B291" s="1124"/>
      <c r="C291" s="1128"/>
      <c r="D291" s="1126"/>
      <c r="E291" s="1126"/>
      <c r="F291" s="1132"/>
      <c r="G291" s="100"/>
      <c r="H291" s="98"/>
      <c r="I291" s="1126"/>
      <c r="J291" s="1135"/>
      <c r="K291" s="1135"/>
      <c r="L291" s="916"/>
    </row>
    <row r="292" spans="1:12" s="103" customFormat="1" ht="15.75" hidden="1" customHeight="1" outlineLevel="1">
      <c r="A292" s="916"/>
      <c r="B292" s="1123">
        <v>94</v>
      </c>
      <c r="C292" s="1127"/>
      <c r="D292" s="1125"/>
      <c r="E292" s="1125" t="s">
        <v>18</v>
      </c>
      <c r="F292" s="1130" t="str">
        <f>VLOOKUP(E292,$N$13:$O$17,2,0)</f>
        <v>-</v>
      </c>
      <c r="G292" s="92"/>
      <c r="H292" s="90"/>
      <c r="I292" s="1125"/>
      <c r="J292" s="1133"/>
      <c r="K292" s="1133"/>
      <c r="L292" s="916"/>
    </row>
    <row r="293" spans="1:12" s="103" customFormat="1" ht="15.75" hidden="1" customHeight="1" outlineLevel="1">
      <c r="A293" s="916"/>
      <c r="B293" s="1123"/>
      <c r="C293" s="1127"/>
      <c r="D293" s="1125"/>
      <c r="E293" s="1125"/>
      <c r="F293" s="1130"/>
      <c r="G293" s="95"/>
      <c r="H293" s="90"/>
      <c r="I293" s="1125"/>
      <c r="J293" s="1134"/>
      <c r="K293" s="1134"/>
      <c r="L293" s="916"/>
    </row>
    <row r="294" spans="1:12" s="103" customFormat="1" ht="15.75" hidden="1" customHeight="1" outlineLevel="1">
      <c r="A294" s="916"/>
      <c r="B294" s="1124"/>
      <c r="C294" s="1128"/>
      <c r="D294" s="1126"/>
      <c r="E294" s="1126"/>
      <c r="F294" s="1132"/>
      <c r="G294" s="100"/>
      <c r="H294" s="98"/>
      <c r="I294" s="1126"/>
      <c r="J294" s="1135"/>
      <c r="K294" s="1135"/>
      <c r="L294" s="916"/>
    </row>
    <row r="295" spans="1:12" s="103" customFormat="1" ht="15.75" hidden="1" customHeight="1" outlineLevel="1">
      <c r="A295" s="916"/>
      <c r="B295" s="1123">
        <v>95</v>
      </c>
      <c r="C295" s="1127"/>
      <c r="D295" s="1125"/>
      <c r="E295" s="1125" t="s">
        <v>18</v>
      </c>
      <c r="F295" s="1130" t="str">
        <f>VLOOKUP(E295,$N$13:$O$17,2,0)</f>
        <v>-</v>
      </c>
      <c r="G295" s="92"/>
      <c r="H295" s="90"/>
      <c r="I295" s="1125"/>
      <c r="J295" s="1133"/>
      <c r="K295" s="1133"/>
      <c r="L295" s="916"/>
    </row>
    <row r="296" spans="1:12" s="103" customFormat="1" ht="15.75" hidden="1" customHeight="1" outlineLevel="1">
      <c r="A296" s="916"/>
      <c r="B296" s="1123"/>
      <c r="C296" s="1127"/>
      <c r="D296" s="1125"/>
      <c r="E296" s="1125"/>
      <c r="F296" s="1130"/>
      <c r="G296" s="95"/>
      <c r="H296" s="90"/>
      <c r="I296" s="1125"/>
      <c r="J296" s="1134"/>
      <c r="K296" s="1134"/>
      <c r="L296" s="916"/>
    </row>
    <row r="297" spans="1:12" s="103" customFormat="1" ht="15.75" hidden="1" customHeight="1" outlineLevel="1">
      <c r="A297" s="916"/>
      <c r="B297" s="1124"/>
      <c r="C297" s="1128"/>
      <c r="D297" s="1126"/>
      <c r="E297" s="1126"/>
      <c r="F297" s="1132"/>
      <c r="G297" s="100"/>
      <c r="H297" s="98"/>
      <c r="I297" s="1126"/>
      <c r="J297" s="1135"/>
      <c r="K297" s="1135"/>
      <c r="L297" s="916"/>
    </row>
    <row r="298" spans="1:12" s="103" customFormat="1" ht="15.75" hidden="1" customHeight="1" outlineLevel="1">
      <c r="A298" s="916"/>
      <c r="B298" s="1123">
        <v>96</v>
      </c>
      <c r="C298" s="1127"/>
      <c r="D298" s="1125"/>
      <c r="E298" s="1125" t="s">
        <v>18</v>
      </c>
      <c r="F298" s="1130" t="str">
        <f>VLOOKUP(E298,$N$13:$O$17,2,0)</f>
        <v>-</v>
      </c>
      <c r="G298" s="92"/>
      <c r="H298" s="90"/>
      <c r="I298" s="1125"/>
      <c r="J298" s="1133"/>
      <c r="K298" s="1133"/>
      <c r="L298" s="916"/>
    </row>
    <row r="299" spans="1:12" s="103" customFormat="1" ht="15.75" hidden="1" customHeight="1" outlineLevel="1">
      <c r="A299" s="916"/>
      <c r="B299" s="1123"/>
      <c r="C299" s="1127"/>
      <c r="D299" s="1125"/>
      <c r="E299" s="1125"/>
      <c r="F299" s="1130"/>
      <c r="G299" s="95"/>
      <c r="H299" s="90"/>
      <c r="I299" s="1125"/>
      <c r="J299" s="1134"/>
      <c r="K299" s="1134"/>
      <c r="L299" s="916"/>
    </row>
    <row r="300" spans="1:12" s="103" customFormat="1" ht="15.75" hidden="1" customHeight="1" outlineLevel="1">
      <c r="A300" s="916"/>
      <c r="B300" s="1124"/>
      <c r="C300" s="1128"/>
      <c r="D300" s="1126"/>
      <c r="E300" s="1126"/>
      <c r="F300" s="1132"/>
      <c r="G300" s="100"/>
      <c r="H300" s="98"/>
      <c r="I300" s="1126"/>
      <c r="J300" s="1135"/>
      <c r="K300" s="1135"/>
      <c r="L300" s="916"/>
    </row>
    <row r="301" spans="1:12" s="103" customFormat="1" ht="15.75" hidden="1" customHeight="1" outlineLevel="1">
      <c r="A301" s="916"/>
      <c r="B301" s="1123">
        <v>97</v>
      </c>
      <c r="C301" s="1127"/>
      <c r="D301" s="1125"/>
      <c r="E301" s="1125" t="s">
        <v>18</v>
      </c>
      <c r="F301" s="1130" t="str">
        <f>VLOOKUP(E301,$N$13:$O$17,2,0)</f>
        <v>-</v>
      </c>
      <c r="G301" s="92"/>
      <c r="H301" s="90"/>
      <c r="I301" s="1125"/>
      <c r="J301" s="1133"/>
      <c r="K301" s="1133"/>
      <c r="L301" s="916"/>
    </row>
    <row r="302" spans="1:12" s="103" customFormat="1" ht="15.75" hidden="1" customHeight="1" outlineLevel="1">
      <c r="A302" s="916"/>
      <c r="B302" s="1123"/>
      <c r="C302" s="1127"/>
      <c r="D302" s="1125"/>
      <c r="E302" s="1125"/>
      <c r="F302" s="1130"/>
      <c r="G302" s="95"/>
      <c r="H302" s="90"/>
      <c r="I302" s="1125"/>
      <c r="J302" s="1134"/>
      <c r="K302" s="1134"/>
      <c r="L302" s="916"/>
    </row>
    <row r="303" spans="1:12" s="103" customFormat="1" ht="15.75" hidden="1" customHeight="1" outlineLevel="1">
      <c r="A303" s="916"/>
      <c r="B303" s="1124"/>
      <c r="C303" s="1128"/>
      <c r="D303" s="1126"/>
      <c r="E303" s="1126"/>
      <c r="F303" s="1132"/>
      <c r="G303" s="100"/>
      <c r="H303" s="98"/>
      <c r="I303" s="1126"/>
      <c r="J303" s="1135"/>
      <c r="K303" s="1135"/>
      <c r="L303" s="916"/>
    </row>
    <row r="304" spans="1:12" s="103" customFormat="1" ht="15.75" hidden="1" customHeight="1" outlineLevel="1">
      <c r="A304" s="916"/>
      <c r="B304" s="1123">
        <v>98</v>
      </c>
      <c r="C304" s="1127"/>
      <c r="D304" s="1125"/>
      <c r="E304" s="1125" t="s">
        <v>18</v>
      </c>
      <c r="F304" s="1130" t="str">
        <f>VLOOKUP(E304,$N$13:$O$17,2,0)</f>
        <v>-</v>
      </c>
      <c r="G304" s="92"/>
      <c r="H304" s="90"/>
      <c r="I304" s="1125"/>
      <c r="J304" s="1133"/>
      <c r="K304" s="1133"/>
      <c r="L304" s="916"/>
    </row>
    <row r="305" spans="1:12" s="103" customFormat="1" ht="15.75" hidden="1" customHeight="1" outlineLevel="1">
      <c r="A305" s="916"/>
      <c r="B305" s="1123"/>
      <c r="C305" s="1127"/>
      <c r="D305" s="1125"/>
      <c r="E305" s="1125"/>
      <c r="F305" s="1130"/>
      <c r="G305" s="95"/>
      <c r="H305" s="90"/>
      <c r="I305" s="1125"/>
      <c r="J305" s="1134"/>
      <c r="K305" s="1134"/>
      <c r="L305" s="916"/>
    </row>
    <row r="306" spans="1:12" s="103" customFormat="1" ht="15.75" hidden="1" customHeight="1" outlineLevel="1">
      <c r="A306" s="916"/>
      <c r="B306" s="1124"/>
      <c r="C306" s="1128"/>
      <c r="D306" s="1126"/>
      <c r="E306" s="1126"/>
      <c r="F306" s="1132"/>
      <c r="G306" s="100"/>
      <c r="H306" s="98"/>
      <c r="I306" s="1126"/>
      <c r="J306" s="1135"/>
      <c r="K306" s="1135"/>
      <c r="L306" s="916"/>
    </row>
    <row r="307" spans="1:12" s="103" customFormat="1" ht="15.75" hidden="1" customHeight="1" outlineLevel="1">
      <c r="A307" s="916"/>
      <c r="B307" s="1123">
        <v>99</v>
      </c>
      <c r="C307" s="1127"/>
      <c r="D307" s="1125"/>
      <c r="E307" s="1125" t="s">
        <v>18</v>
      </c>
      <c r="F307" s="1130" t="str">
        <f>VLOOKUP(E307,$N$13:$O$17,2,0)</f>
        <v>-</v>
      </c>
      <c r="G307" s="92"/>
      <c r="H307" s="90"/>
      <c r="I307" s="1125"/>
      <c r="J307" s="1133"/>
      <c r="K307" s="1133"/>
      <c r="L307" s="916"/>
    </row>
    <row r="308" spans="1:12" s="103" customFormat="1" ht="15.75" hidden="1" customHeight="1" outlineLevel="1">
      <c r="A308" s="916"/>
      <c r="B308" s="1123"/>
      <c r="C308" s="1127"/>
      <c r="D308" s="1125"/>
      <c r="E308" s="1125"/>
      <c r="F308" s="1130"/>
      <c r="G308" s="95"/>
      <c r="H308" s="90"/>
      <c r="I308" s="1125"/>
      <c r="J308" s="1134"/>
      <c r="K308" s="1134"/>
      <c r="L308" s="916"/>
    </row>
    <row r="309" spans="1:12" s="103" customFormat="1" ht="15.75" hidden="1" customHeight="1" outlineLevel="1">
      <c r="A309" s="916"/>
      <c r="B309" s="1124"/>
      <c r="C309" s="1128"/>
      <c r="D309" s="1126"/>
      <c r="E309" s="1126"/>
      <c r="F309" s="1132"/>
      <c r="G309" s="100"/>
      <c r="H309" s="98"/>
      <c r="I309" s="1126"/>
      <c r="J309" s="1135"/>
      <c r="K309" s="1135"/>
      <c r="L309" s="916"/>
    </row>
    <row r="310" spans="1:12" s="103" customFormat="1" ht="15.75" hidden="1" customHeight="1" outlineLevel="1">
      <c r="A310" s="916"/>
      <c r="B310" s="1123">
        <v>100</v>
      </c>
      <c r="C310" s="1127"/>
      <c r="D310" s="1125"/>
      <c r="E310" s="1125" t="s">
        <v>18</v>
      </c>
      <c r="F310" s="1130" t="str">
        <f>VLOOKUP(E310,$N$13:$O$17,2,0)</f>
        <v>-</v>
      </c>
      <c r="G310" s="92"/>
      <c r="H310" s="90"/>
      <c r="I310" s="1125"/>
      <c r="J310" s="1133"/>
      <c r="K310" s="1133"/>
      <c r="L310" s="916"/>
    </row>
    <row r="311" spans="1:12" s="103" customFormat="1" ht="15.75" hidden="1" customHeight="1" outlineLevel="1">
      <c r="A311" s="916"/>
      <c r="B311" s="1123"/>
      <c r="C311" s="1127"/>
      <c r="D311" s="1125"/>
      <c r="E311" s="1125"/>
      <c r="F311" s="1130"/>
      <c r="G311" s="95"/>
      <c r="H311" s="90"/>
      <c r="I311" s="1125"/>
      <c r="J311" s="1134"/>
      <c r="K311" s="1134"/>
      <c r="L311" s="916"/>
    </row>
    <row r="312" spans="1:12" s="103" customFormat="1" ht="15.75" hidden="1" customHeight="1" outlineLevel="1">
      <c r="A312" s="916"/>
      <c r="B312" s="1124"/>
      <c r="C312" s="1128"/>
      <c r="D312" s="1126"/>
      <c r="E312" s="1126"/>
      <c r="F312" s="1132"/>
      <c r="G312" s="100"/>
      <c r="H312" s="98"/>
      <c r="I312" s="1126"/>
      <c r="J312" s="1135"/>
      <c r="K312" s="1135"/>
      <c r="L312" s="916"/>
    </row>
    <row r="313" spans="1:12" s="103" customFormat="1" ht="15.75" hidden="1" customHeight="1" outlineLevel="1">
      <c r="A313" s="916"/>
      <c r="B313" s="1123">
        <v>101</v>
      </c>
      <c r="C313" s="1127"/>
      <c r="D313" s="1125"/>
      <c r="E313" s="1125" t="s">
        <v>18</v>
      </c>
      <c r="F313" s="1130" t="str">
        <f>VLOOKUP(E313,$N$13:$O$17,2,0)</f>
        <v>-</v>
      </c>
      <c r="G313" s="92"/>
      <c r="H313" s="90"/>
      <c r="I313" s="1125"/>
      <c r="J313" s="1133"/>
      <c r="K313" s="1133"/>
      <c r="L313" s="916"/>
    </row>
    <row r="314" spans="1:12" s="103" customFormat="1" ht="15.75" hidden="1" customHeight="1" outlineLevel="1">
      <c r="A314" s="916"/>
      <c r="B314" s="1123"/>
      <c r="C314" s="1127"/>
      <c r="D314" s="1125"/>
      <c r="E314" s="1125"/>
      <c r="F314" s="1130"/>
      <c r="G314" s="95"/>
      <c r="H314" s="90"/>
      <c r="I314" s="1125"/>
      <c r="J314" s="1134"/>
      <c r="K314" s="1134"/>
      <c r="L314" s="916"/>
    </row>
    <row r="315" spans="1:12" s="103" customFormat="1" ht="15.75" hidden="1" customHeight="1" outlineLevel="1">
      <c r="A315" s="916"/>
      <c r="B315" s="1124"/>
      <c r="C315" s="1128"/>
      <c r="D315" s="1126"/>
      <c r="E315" s="1126"/>
      <c r="F315" s="1132"/>
      <c r="G315" s="100"/>
      <c r="H315" s="98"/>
      <c r="I315" s="1126"/>
      <c r="J315" s="1135"/>
      <c r="K315" s="1135"/>
      <c r="L315" s="916"/>
    </row>
    <row r="316" spans="1:12" s="103" customFormat="1" ht="15.75" hidden="1" customHeight="1" outlineLevel="1">
      <c r="A316" s="916"/>
      <c r="B316" s="1123">
        <v>102</v>
      </c>
      <c r="C316" s="1127"/>
      <c r="D316" s="1125"/>
      <c r="E316" s="1125" t="s">
        <v>18</v>
      </c>
      <c r="F316" s="1130" t="str">
        <f>VLOOKUP(E316,$N$13:$O$17,2,0)</f>
        <v>-</v>
      </c>
      <c r="G316" s="92"/>
      <c r="H316" s="90"/>
      <c r="I316" s="1125"/>
      <c r="J316" s="1133"/>
      <c r="K316" s="1133"/>
      <c r="L316" s="916"/>
    </row>
    <row r="317" spans="1:12" s="103" customFormat="1" ht="15.75" hidden="1" customHeight="1" outlineLevel="1">
      <c r="A317" s="916"/>
      <c r="B317" s="1123"/>
      <c r="C317" s="1127"/>
      <c r="D317" s="1125"/>
      <c r="E317" s="1125"/>
      <c r="F317" s="1130"/>
      <c r="G317" s="95"/>
      <c r="H317" s="90"/>
      <c r="I317" s="1125"/>
      <c r="J317" s="1134"/>
      <c r="K317" s="1134"/>
      <c r="L317" s="916"/>
    </row>
    <row r="318" spans="1:12" s="103" customFormat="1" ht="15.75" hidden="1" customHeight="1" outlineLevel="1">
      <c r="A318" s="916"/>
      <c r="B318" s="1124"/>
      <c r="C318" s="1128"/>
      <c r="D318" s="1126"/>
      <c r="E318" s="1126"/>
      <c r="F318" s="1132"/>
      <c r="G318" s="100"/>
      <c r="H318" s="98"/>
      <c r="I318" s="1126"/>
      <c r="J318" s="1135"/>
      <c r="K318" s="1135"/>
      <c r="L318" s="916"/>
    </row>
    <row r="319" spans="1:12" s="103" customFormat="1" ht="15.75" hidden="1" customHeight="1" outlineLevel="1">
      <c r="A319" s="916"/>
      <c r="B319" s="1123">
        <v>103</v>
      </c>
      <c r="C319" s="1127"/>
      <c r="D319" s="1125"/>
      <c r="E319" s="1125" t="s">
        <v>18</v>
      </c>
      <c r="F319" s="1130" t="str">
        <f>VLOOKUP(E319,$N$13:$O$17,2,0)</f>
        <v>-</v>
      </c>
      <c r="G319" s="92"/>
      <c r="H319" s="90"/>
      <c r="I319" s="1125"/>
      <c r="J319" s="1133"/>
      <c r="K319" s="1133"/>
      <c r="L319" s="916"/>
    </row>
    <row r="320" spans="1:12" s="103" customFormat="1" ht="15.75" hidden="1" customHeight="1" outlineLevel="1">
      <c r="A320" s="916"/>
      <c r="B320" s="1123"/>
      <c r="C320" s="1127"/>
      <c r="D320" s="1125"/>
      <c r="E320" s="1125"/>
      <c r="F320" s="1130"/>
      <c r="G320" s="95"/>
      <c r="H320" s="90"/>
      <c r="I320" s="1125"/>
      <c r="J320" s="1134"/>
      <c r="K320" s="1134"/>
      <c r="L320" s="916"/>
    </row>
    <row r="321" spans="1:12" s="103" customFormat="1" ht="15.75" hidden="1" customHeight="1" outlineLevel="1">
      <c r="A321" s="916"/>
      <c r="B321" s="1124"/>
      <c r="C321" s="1128"/>
      <c r="D321" s="1126"/>
      <c r="E321" s="1126"/>
      <c r="F321" s="1132"/>
      <c r="G321" s="100"/>
      <c r="H321" s="98"/>
      <c r="I321" s="1126"/>
      <c r="J321" s="1135"/>
      <c r="K321" s="1135"/>
      <c r="L321" s="916"/>
    </row>
    <row r="322" spans="1:12" s="103" customFormat="1" ht="15.75" hidden="1" customHeight="1" outlineLevel="1">
      <c r="A322" s="916"/>
      <c r="B322" s="1123">
        <v>104</v>
      </c>
      <c r="C322" s="1127"/>
      <c r="D322" s="1125"/>
      <c r="E322" s="1125" t="s">
        <v>18</v>
      </c>
      <c r="F322" s="1130" t="str">
        <f>VLOOKUP(E322,$N$13:$O$17,2,0)</f>
        <v>-</v>
      </c>
      <c r="G322" s="92"/>
      <c r="H322" s="90"/>
      <c r="I322" s="1125"/>
      <c r="J322" s="1133"/>
      <c r="K322" s="1133"/>
      <c r="L322" s="916"/>
    </row>
    <row r="323" spans="1:12" s="103" customFormat="1" ht="15.75" hidden="1" customHeight="1" outlineLevel="1">
      <c r="A323" s="916"/>
      <c r="B323" s="1123"/>
      <c r="C323" s="1127"/>
      <c r="D323" s="1125"/>
      <c r="E323" s="1125"/>
      <c r="F323" s="1130"/>
      <c r="G323" s="95"/>
      <c r="H323" s="90"/>
      <c r="I323" s="1125"/>
      <c r="J323" s="1134"/>
      <c r="K323" s="1134"/>
      <c r="L323" s="916"/>
    </row>
    <row r="324" spans="1:12" s="103" customFormat="1" ht="15.75" hidden="1" customHeight="1" outlineLevel="1">
      <c r="A324" s="916"/>
      <c r="B324" s="1124"/>
      <c r="C324" s="1128"/>
      <c r="D324" s="1126"/>
      <c r="E324" s="1126"/>
      <c r="F324" s="1132"/>
      <c r="G324" s="100"/>
      <c r="H324" s="98"/>
      <c r="I324" s="1126"/>
      <c r="J324" s="1135"/>
      <c r="K324" s="1135"/>
      <c r="L324" s="916"/>
    </row>
    <row r="325" spans="1:12" s="103" customFormat="1" ht="15.75" hidden="1" customHeight="1" outlineLevel="1">
      <c r="A325" s="916"/>
      <c r="B325" s="1123">
        <v>105</v>
      </c>
      <c r="C325" s="1127"/>
      <c r="D325" s="1125"/>
      <c r="E325" s="1125" t="s">
        <v>18</v>
      </c>
      <c r="F325" s="1130" t="str">
        <f>VLOOKUP(E325,$N$13:$O$17,2,0)</f>
        <v>-</v>
      </c>
      <c r="G325" s="92"/>
      <c r="H325" s="90"/>
      <c r="I325" s="1125"/>
      <c r="J325" s="1133"/>
      <c r="K325" s="1133"/>
      <c r="L325" s="916"/>
    </row>
    <row r="326" spans="1:12" s="103" customFormat="1" ht="15.75" hidden="1" customHeight="1" outlineLevel="1">
      <c r="A326" s="916"/>
      <c r="B326" s="1123"/>
      <c r="C326" s="1127"/>
      <c r="D326" s="1125"/>
      <c r="E326" s="1125"/>
      <c r="F326" s="1130"/>
      <c r="G326" s="95"/>
      <c r="H326" s="90"/>
      <c r="I326" s="1125"/>
      <c r="J326" s="1134"/>
      <c r="K326" s="1134"/>
      <c r="L326" s="916"/>
    </row>
    <row r="327" spans="1:12" s="103" customFormat="1" ht="15.75" hidden="1" customHeight="1" outlineLevel="1">
      <c r="A327" s="916"/>
      <c r="B327" s="1124"/>
      <c r="C327" s="1128"/>
      <c r="D327" s="1126"/>
      <c r="E327" s="1126"/>
      <c r="F327" s="1132"/>
      <c r="G327" s="100"/>
      <c r="H327" s="98"/>
      <c r="I327" s="1126"/>
      <c r="J327" s="1135"/>
      <c r="K327" s="1135"/>
      <c r="L327" s="916"/>
    </row>
    <row r="328" spans="1:12" s="103" customFormat="1" ht="15.75" hidden="1" customHeight="1" outlineLevel="1">
      <c r="A328" s="916"/>
      <c r="B328" s="1123">
        <v>106</v>
      </c>
      <c r="C328" s="1127"/>
      <c r="D328" s="1125"/>
      <c r="E328" s="1125" t="s">
        <v>18</v>
      </c>
      <c r="F328" s="1130" t="str">
        <f>VLOOKUP(E328,$N$13:$O$17,2,0)</f>
        <v>-</v>
      </c>
      <c r="G328" s="92"/>
      <c r="H328" s="90"/>
      <c r="I328" s="1125"/>
      <c r="J328" s="1133"/>
      <c r="K328" s="1133"/>
      <c r="L328" s="916"/>
    </row>
    <row r="329" spans="1:12" s="103" customFormat="1" ht="15.75" hidden="1" customHeight="1" outlineLevel="1">
      <c r="A329" s="916"/>
      <c r="B329" s="1123"/>
      <c r="C329" s="1127"/>
      <c r="D329" s="1125"/>
      <c r="E329" s="1125"/>
      <c r="F329" s="1130"/>
      <c r="G329" s="95"/>
      <c r="H329" s="90"/>
      <c r="I329" s="1125"/>
      <c r="J329" s="1134"/>
      <c r="K329" s="1134"/>
      <c r="L329" s="916"/>
    </row>
    <row r="330" spans="1:12" s="103" customFormat="1" ht="15.75" hidden="1" customHeight="1" outlineLevel="1">
      <c r="A330" s="916"/>
      <c r="B330" s="1124"/>
      <c r="C330" s="1128"/>
      <c r="D330" s="1126"/>
      <c r="E330" s="1126"/>
      <c r="F330" s="1132"/>
      <c r="G330" s="100"/>
      <c r="H330" s="98"/>
      <c r="I330" s="1126"/>
      <c r="J330" s="1135"/>
      <c r="K330" s="1135"/>
      <c r="L330" s="916"/>
    </row>
    <row r="331" spans="1:12" s="103" customFormat="1" ht="15.75" hidden="1" customHeight="1" outlineLevel="1">
      <c r="A331" s="916"/>
      <c r="B331" s="1123">
        <v>107</v>
      </c>
      <c r="C331" s="1127"/>
      <c r="D331" s="1125"/>
      <c r="E331" s="1125" t="s">
        <v>18</v>
      </c>
      <c r="F331" s="1130" t="str">
        <f>VLOOKUP(E331,$N$13:$O$17,2,0)</f>
        <v>-</v>
      </c>
      <c r="G331" s="92"/>
      <c r="H331" s="90"/>
      <c r="I331" s="1125"/>
      <c r="J331" s="1133"/>
      <c r="K331" s="1133"/>
      <c r="L331" s="916"/>
    </row>
    <row r="332" spans="1:12" s="103" customFormat="1" ht="15.75" hidden="1" customHeight="1" outlineLevel="1">
      <c r="A332" s="916"/>
      <c r="B332" s="1123"/>
      <c r="C332" s="1127"/>
      <c r="D332" s="1125"/>
      <c r="E332" s="1125"/>
      <c r="F332" s="1130"/>
      <c r="G332" s="95"/>
      <c r="H332" s="90"/>
      <c r="I332" s="1125"/>
      <c r="J332" s="1134"/>
      <c r="K332" s="1134"/>
      <c r="L332" s="916"/>
    </row>
    <row r="333" spans="1:12" s="103" customFormat="1" ht="15.75" hidden="1" customHeight="1" outlineLevel="1">
      <c r="A333" s="916"/>
      <c r="B333" s="1124"/>
      <c r="C333" s="1128"/>
      <c r="D333" s="1126"/>
      <c r="E333" s="1126"/>
      <c r="F333" s="1132"/>
      <c r="G333" s="100"/>
      <c r="H333" s="98"/>
      <c r="I333" s="1126"/>
      <c r="J333" s="1135"/>
      <c r="K333" s="1135"/>
      <c r="L333" s="916"/>
    </row>
    <row r="334" spans="1:12" s="103" customFormat="1" ht="15.75" hidden="1" customHeight="1" outlineLevel="1">
      <c r="A334" s="916"/>
      <c r="B334" s="1123">
        <v>108</v>
      </c>
      <c r="C334" s="1127"/>
      <c r="D334" s="1125"/>
      <c r="E334" s="1125" t="s">
        <v>18</v>
      </c>
      <c r="F334" s="1130" t="str">
        <f>VLOOKUP(E334,$N$13:$O$17,2,0)</f>
        <v>-</v>
      </c>
      <c r="G334" s="92"/>
      <c r="H334" s="90"/>
      <c r="I334" s="1125"/>
      <c r="J334" s="1133"/>
      <c r="K334" s="1133"/>
      <c r="L334" s="916"/>
    </row>
    <row r="335" spans="1:12" s="103" customFormat="1" ht="15.75" hidden="1" customHeight="1" outlineLevel="1">
      <c r="A335" s="916"/>
      <c r="B335" s="1123"/>
      <c r="C335" s="1127"/>
      <c r="D335" s="1125"/>
      <c r="E335" s="1125"/>
      <c r="F335" s="1130"/>
      <c r="G335" s="95"/>
      <c r="H335" s="90"/>
      <c r="I335" s="1125"/>
      <c r="J335" s="1134"/>
      <c r="K335" s="1134"/>
      <c r="L335" s="916"/>
    </row>
    <row r="336" spans="1:12" s="103" customFormat="1" ht="15.75" hidden="1" customHeight="1" outlineLevel="1">
      <c r="A336" s="916"/>
      <c r="B336" s="1124"/>
      <c r="C336" s="1128"/>
      <c r="D336" s="1126"/>
      <c r="E336" s="1126"/>
      <c r="F336" s="1132"/>
      <c r="G336" s="100"/>
      <c r="H336" s="98"/>
      <c r="I336" s="1126"/>
      <c r="J336" s="1135"/>
      <c r="K336" s="1135"/>
      <c r="L336" s="916"/>
    </row>
    <row r="337" spans="1:12" s="103" customFormat="1" ht="15.75" hidden="1" customHeight="1" outlineLevel="1">
      <c r="A337" s="916"/>
      <c r="B337" s="1123">
        <v>109</v>
      </c>
      <c r="C337" s="1127"/>
      <c r="D337" s="1125"/>
      <c r="E337" s="1125" t="s">
        <v>18</v>
      </c>
      <c r="F337" s="1130" t="str">
        <f>VLOOKUP(E337,$N$13:$O$17,2,0)</f>
        <v>-</v>
      </c>
      <c r="G337" s="92"/>
      <c r="H337" s="90"/>
      <c r="I337" s="1125"/>
      <c r="J337" s="1133"/>
      <c r="K337" s="1133"/>
      <c r="L337" s="916"/>
    </row>
    <row r="338" spans="1:12" s="103" customFormat="1" ht="15.75" hidden="1" customHeight="1" outlineLevel="1">
      <c r="A338" s="916"/>
      <c r="B338" s="1123"/>
      <c r="C338" s="1127"/>
      <c r="D338" s="1125"/>
      <c r="E338" s="1125"/>
      <c r="F338" s="1130"/>
      <c r="G338" s="95"/>
      <c r="H338" s="90"/>
      <c r="I338" s="1125"/>
      <c r="J338" s="1134"/>
      <c r="K338" s="1134"/>
      <c r="L338" s="916"/>
    </row>
    <row r="339" spans="1:12" s="103" customFormat="1" ht="15.75" hidden="1" customHeight="1" outlineLevel="1">
      <c r="A339" s="916"/>
      <c r="B339" s="1124"/>
      <c r="C339" s="1128"/>
      <c r="D339" s="1126"/>
      <c r="E339" s="1126"/>
      <c r="F339" s="1132"/>
      <c r="G339" s="100"/>
      <c r="H339" s="98"/>
      <c r="I339" s="1126"/>
      <c r="J339" s="1135"/>
      <c r="K339" s="1135"/>
      <c r="L339" s="916"/>
    </row>
    <row r="340" spans="1:12" s="103" customFormat="1" ht="15.75" hidden="1" customHeight="1" outlineLevel="1">
      <c r="A340" s="916"/>
      <c r="B340" s="1123">
        <v>110</v>
      </c>
      <c r="C340" s="1127"/>
      <c r="D340" s="1125"/>
      <c r="E340" s="1125" t="s">
        <v>18</v>
      </c>
      <c r="F340" s="1130" t="str">
        <f>VLOOKUP(E340,$N$13:$O$17,2,0)</f>
        <v>-</v>
      </c>
      <c r="G340" s="92"/>
      <c r="H340" s="90"/>
      <c r="I340" s="1125"/>
      <c r="J340" s="1133"/>
      <c r="K340" s="1133"/>
      <c r="L340" s="916"/>
    </row>
    <row r="341" spans="1:12" s="103" customFormat="1" ht="15.75" hidden="1" customHeight="1" outlineLevel="1">
      <c r="A341" s="916"/>
      <c r="B341" s="1123"/>
      <c r="C341" s="1127"/>
      <c r="D341" s="1125"/>
      <c r="E341" s="1125"/>
      <c r="F341" s="1130"/>
      <c r="G341" s="95"/>
      <c r="H341" s="90"/>
      <c r="I341" s="1125"/>
      <c r="J341" s="1134"/>
      <c r="K341" s="1134"/>
      <c r="L341" s="916"/>
    </row>
    <row r="342" spans="1:12" s="103" customFormat="1" ht="15.75" hidden="1" customHeight="1" outlineLevel="1">
      <c r="A342" s="916"/>
      <c r="B342" s="1124"/>
      <c r="C342" s="1128"/>
      <c r="D342" s="1126"/>
      <c r="E342" s="1126"/>
      <c r="F342" s="1132"/>
      <c r="G342" s="100"/>
      <c r="H342" s="98"/>
      <c r="I342" s="1126"/>
      <c r="J342" s="1135"/>
      <c r="K342" s="1135"/>
      <c r="L342" s="916"/>
    </row>
    <row r="343" spans="1:12" s="103" customFormat="1" ht="15.75" hidden="1" customHeight="1" outlineLevel="1">
      <c r="A343" s="916"/>
      <c r="B343" s="1123">
        <v>111</v>
      </c>
      <c r="C343" s="1127"/>
      <c r="D343" s="1125"/>
      <c r="E343" s="1125" t="s">
        <v>18</v>
      </c>
      <c r="F343" s="1130" t="str">
        <f>VLOOKUP(E343,$N$13:$O$17,2,0)</f>
        <v>-</v>
      </c>
      <c r="G343" s="92"/>
      <c r="H343" s="90"/>
      <c r="I343" s="1125"/>
      <c r="J343" s="1133"/>
      <c r="K343" s="1133"/>
      <c r="L343" s="916"/>
    </row>
    <row r="344" spans="1:12" s="103" customFormat="1" ht="15.75" hidden="1" customHeight="1" outlineLevel="1">
      <c r="A344" s="916"/>
      <c r="B344" s="1123"/>
      <c r="C344" s="1127"/>
      <c r="D344" s="1125"/>
      <c r="E344" s="1125"/>
      <c r="F344" s="1130"/>
      <c r="G344" s="95"/>
      <c r="H344" s="90"/>
      <c r="I344" s="1125"/>
      <c r="J344" s="1134"/>
      <c r="K344" s="1134"/>
      <c r="L344" s="916"/>
    </row>
    <row r="345" spans="1:12" s="103" customFormat="1" ht="15.75" hidden="1" customHeight="1" outlineLevel="1">
      <c r="A345" s="916"/>
      <c r="B345" s="1124"/>
      <c r="C345" s="1128"/>
      <c r="D345" s="1126"/>
      <c r="E345" s="1126"/>
      <c r="F345" s="1132"/>
      <c r="G345" s="100"/>
      <c r="H345" s="98"/>
      <c r="I345" s="1126"/>
      <c r="J345" s="1135"/>
      <c r="K345" s="1135"/>
      <c r="L345" s="916"/>
    </row>
    <row r="346" spans="1:12" s="103" customFormat="1" ht="15.75" hidden="1" customHeight="1" outlineLevel="1">
      <c r="A346" s="916"/>
      <c r="B346" s="1123">
        <v>112</v>
      </c>
      <c r="C346" s="1127"/>
      <c r="D346" s="1125"/>
      <c r="E346" s="1125" t="s">
        <v>18</v>
      </c>
      <c r="F346" s="1130" t="str">
        <f>VLOOKUP(E346,$N$13:$O$17,2,0)</f>
        <v>-</v>
      </c>
      <c r="G346" s="92"/>
      <c r="H346" s="90"/>
      <c r="I346" s="1125"/>
      <c r="J346" s="1133"/>
      <c r="K346" s="1133"/>
      <c r="L346" s="916"/>
    </row>
    <row r="347" spans="1:12" s="103" customFormat="1" ht="15.75" hidden="1" customHeight="1" outlineLevel="1">
      <c r="A347" s="916"/>
      <c r="B347" s="1123"/>
      <c r="C347" s="1127"/>
      <c r="D347" s="1125"/>
      <c r="E347" s="1125"/>
      <c r="F347" s="1130"/>
      <c r="G347" s="95"/>
      <c r="H347" s="90"/>
      <c r="I347" s="1125"/>
      <c r="J347" s="1134"/>
      <c r="K347" s="1134"/>
      <c r="L347" s="916"/>
    </row>
    <row r="348" spans="1:12" s="103" customFormat="1" ht="15.75" hidden="1" customHeight="1" outlineLevel="1">
      <c r="A348" s="916"/>
      <c r="B348" s="1124"/>
      <c r="C348" s="1128"/>
      <c r="D348" s="1126"/>
      <c r="E348" s="1126"/>
      <c r="F348" s="1132"/>
      <c r="G348" s="100"/>
      <c r="H348" s="98"/>
      <c r="I348" s="1126"/>
      <c r="J348" s="1135"/>
      <c r="K348" s="1135"/>
      <c r="L348" s="916"/>
    </row>
    <row r="349" spans="1:12" s="103" customFormat="1" ht="15.75" hidden="1" customHeight="1" outlineLevel="1">
      <c r="A349" s="916"/>
      <c r="B349" s="1123">
        <v>113</v>
      </c>
      <c r="C349" s="1127"/>
      <c r="D349" s="1125"/>
      <c r="E349" s="1125" t="s">
        <v>18</v>
      </c>
      <c r="F349" s="1130" t="str">
        <f>VLOOKUP(E349,$N$13:$O$17,2,0)</f>
        <v>-</v>
      </c>
      <c r="G349" s="92"/>
      <c r="H349" s="90"/>
      <c r="I349" s="1125"/>
      <c r="J349" s="1133"/>
      <c r="K349" s="1133"/>
      <c r="L349" s="916"/>
    </row>
    <row r="350" spans="1:12" s="103" customFormat="1" ht="15.75" hidden="1" customHeight="1" outlineLevel="1">
      <c r="A350" s="916"/>
      <c r="B350" s="1123"/>
      <c r="C350" s="1127"/>
      <c r="D350" s="1125"/>
      <c r="E350" s="1125"/>
      <c r="F350" s="1130"/>
      <c r="G350" s="95"/>
      <c r="H350" s="90"/>
      <c r="I350" s="1125"/>
      <c r="J350" s="1134"/>
      <c r="K350" s="1134"/>
      <c r="L350" s="916"/>
    </row>
    <row r="351" spans="1:12" s="103" customFormat="1" ht="15.75" hidden="1" customHeight="1" outlineLevel="1">
      <c r="A351" s="916"/>
      <c r="B351" s="1124"/>
      <c r="C351" s="1128"/>
      <c r="D351" s="1126"/>
      <c r="E351" s="1126"/>
      <c r="F351" s="1132"/>
      <c r="G351" s="100"/>
      <c r="H351" s="98"/>
      <c r="I351" s="1126"/>
      <c r="J351" s="1135"/>
      <c r="K351" s="1135"/>
      <c r="L351" s="916"/>
    </row>
    <row r="352" spans="1:12" s="103" customFormat="1" ht="15.75" hidden="1" customHeight="1" outlineLevel="1">
      <c r="A352" s="916"/>
      <c r="B352" s="1123">
        <v>114</v>
      </c>
      <c r="C352" s="1127"/>
      <c r="D352" s="1125"/>
      <c r="E352" s="1125" t="s">
        <v>18</v>
      </c>
      <c r="F352" s="1130" t="str">
        <f>VLOOKUP(E352,$N$13:$O$17,2,0)</f>
        <v>-</v>
      </c>
      <c r="G352" s="92"/>
      <c r="H352" s="90"/>
      <c r="I352" s="1125"/>
      <c r="J352" s="1133"/>
      <c r="K352" s="1133"/>
      <c r="L352" s="916"/>
    </row>
    <row r="353" spans="1:12" s="103" customFormat="1" ht="15.75" hidden="1" customHeight="1" outlineLevel="1">
      <c r="A353" s="916"/>
      <c r="B353" s="1123"/>
      <c r="C353" s="1127"/>
      <c r="D353" s="1125"/>
      <c r="E353" s="1125"/>
      <c r="F353" s="1130"/>
      <c r="G353" s="95"/>
      <c r="H353" s="90"/>
      <c r="I353" s="1125"/>
      <c r="J353" s="1134"/>
      <c r="K353" s="1134"/>
      <c r="L353" s="916"/>
    </row>
    <row r="354" spans="1:12" s="103" customFormat="1" ht="15.75" hidden="1" customHeight="1" outlineLevel="1">
      <c r="A354" s="916"/>
      <c r="B354" s="1124"/>
      <c r="C354" s="1128"/>
      <c r="D354" s="1126"/>
      <c r="E354" s="1126"/>
      <c r="F354" s="1132"/>
      <c r="G354" s="100"/>
      <c r="H354" s="98"/>
      <c r="I354" s="1126"/>
      <c r="J354" s="1135"/>
      <c r="K354" s="1135"/>
      <c r="L354" s="916"/>
    </row>
    <row r="355" spans="1:12" s="103" customFormat="1" ht="15.75" hidden="1" customHeight="1" outlineLevel="1">
      <c r="A355" s="916"/>
      <c r="B355" s="1123">
        <v>115</v>
      </c>
      <c r="C355" s="1127"/>
      <c r="D355" s="1125"/>
      <c r="E355" s="1125" t="s">
        <v>18</v>
      </c>
      <c r="F355" s="1130" t="str">
        <f>VLOOKUP(E355,$N$13:$O$17,2,0)</f>
        <v>-</v>
      </c>
      <c r="G355" s="92"/>
      <c r="H355" s="90"/>
      <c r="I355" s="1125"/>
      <c r="J355" s="1133"/>
      <c r="K355" s="1133"/>
      <c r="L355" s="916"/>
    </row>
    <row r="356" spans="1:12" s="103" customFormat="1" ht="15.75" hidden="1" customHeight="1" outlineLevel="1">
      <c r="A356" s="916"/>
      <c r="B356" s="1123"/>
      <c r="C356" s="1127"/>
      <c r="D356" s="1125"/>
      <c r="E356" s="1125"/>
      <c r="F356" s="1130"/>
      <c r="G356" s="95"/>
      <c r="H356" s="90"/>
      <c r="I356" s="1125"/>
      <c r="J356" s="1134"/>
      <c r="K356" s="1134"/>
      <c r="L356" s="916"/>
    </row>
    <row r="357" spans="1:12" s="103" customFormat="1" ht="15.75" hidden="1" customHeight="1" outlineLevel="1">
      <c r="A357" s="916"/>
      <c r="B357" s="1124"/>
      <c r="C357" s="1128"/>
      <c r="D357" s="1126"/>
      <c r="E357" s="1126"/>
      <c r="F357" s="1132"/>
      <c r="G357" s="100"/>
      <c r="H357" s="98"/>
      <c r="I357" s="1126"/>
      <c r="J357" s="1135"/>
      <c r="K357" s="1135"/>
      <c r="L357" s="916"/>
    </row>
    <row r="358" spans="1:12" s="103" customFormat="1" ht="15.75" hidden="1" customHeight="1" outlineLevel="1">
      <c r="A358" s="916"/>
      <c r="B358" s="1123">
        <v>116</v>
      </c>
      <c r="C358" s="1127"/>
      <c r="D358" s="1125"/>
      <c r="E358" s="1125" t="s">
        <v>18</v>
      </c>
      <c r="F358" s="1130" t="str">
        <f>VLOOKUP(E358,$N$13:$O$17,2,0)</f>
        <v>-</v>
      </c>
      <c r="G358" s="92"/>
      <c r="H358" s="90"/>
      <c r="I358" s="1125"/>
      <c r="J358" s="1133"/>
      <c r="K358" s="1133"/>
      <c r="L358" s="916"/>
    </row>
    <row r="359" spans="1:12" s="103" customFormat="1" ht="15.75" hidden="1" customHeight="1" outlineLevel="1">
      <c r="A359" s="916"/>
      <c r="B359" s="1123"/>
      <c r="C359" s="1127"/>
      <c r="D359" s="1125"/>
      <c r="E359" s="1125"/>
      <c r="F359" s="1130"/>
      <c r="G359" s="95"/>
      <c r="H359" s="90"/>
      <c r="I359" s="1125"/>
      <c r="J359" s="1134"/>
      <c r="K359" s="1134"/>
      <c r="L359" s="916"/>
    </row>
    <row r="360" spans="1:12" s="103" customFormat="1" ht="15.75" hidden="1" customHeight="1" outlineLevel="1">
      <c r="A360" s="916"/>
      <c r="B360" s="1124"/>
      <c r="C360" s="1128"/>
      <c r="D360" s="1126"/>
      <c r="E360" s="1126"/>
      <c r="F360" s="1132"/>
      <c r="G360" s="100"/>
      <c r="H360" s="98"/>
      <c r="I360" s="1126"/>
      <c r="J360" s="1135"/>
      <c r="K360" s="1135"/>
      <c r="L360" s="916"/>
    </row>
    <row r="361" spans="1:12" s="103" customFormat="1" ht="15.75" hidden="1" customHeight="1" outlineLevel="1">
      <c r="A361" s="916"/>
      <c r="B361" s="1123">
        <v>117</v>
      </c>
      <c r="C361" s="1127"/>
      <c r="D361" s="1125"/>
      <c r="E361" s="1125" t="s">
        <v>18</v>
      </c>
      <c r="F361" s="1130" t="str">
        <f>VLOOKUP(E361,$N$13:$O$17,2,0)</f>
        <v>-</v>
      </c>
      <c r="G361" s="92"/>
      <c r="H361" s="90"/>
      <c r="I361" s="1125"/>
      <c r="J361" s="1133"/>
      <c r="K361" s="1133"/>
      <c r="L361" s="916"/>
    </row>
    <row r="362" spans="1:12" s="103" customFormat="1" ht="15.75" hidden="1" customHeight="1" outlineLevel="1">
      <c r="A362" s="916"/>
      <c r="B362" s="1123"/>
      <c r="C362" s="1127"/>
      <c r="D362" s="1125"/>
      <c r="E362" s="1125"/>
      <c r="F362" s="1130"/>
      <c r="G362" s="95"/>
      <c r="H362" s="90"/>
      <c r="I362" s="1125"/>
      <c r="J362" s="1134"/>
      <c r="K362" s="1134"/>
      <c r="L362" s="916"/>
    </row>
    <row r="363" spans="1:12" s="103" customFormat="1" ht="15.75" hidden="1" customHeight="1" outlineLevel="1">
      <c r="A363" s="916"/>
      <c r="B363" s="1124"/>
      <c r="C363" s="1128"/>
      <c r="D363" s="1126"/>
      <c r="E363" s="1126"/>
      <c r="F363" s="1132"/>
      <c r="G363" s="100"/>
      <c r="H363" s="98"/>
      <c r="I363" s="1126"/>
      <c r="J363" s="1135"/>
      <c r="K363" s="1135"/>
      <c r="L363" s="916"/>
    </row>
    <row r="364" spans="1:12" s="103" customFormat="1" ht="15.75" hidden="1" customHeight="1" outlineLevel="1">
      <c r="A364" s="916"/>
      <c r="B364" s="1123">
        <v>118</v>
      </c>
      <c r="C364" s="1127"/>
      <c r="D364" s="1125"/>
      <c r="E364" s="1125" t="s">
        <v>18</v>
      </c>
      <c r="F364" s="1130" t="str">
        <f>VLOOKUP(E364,$N$13:$O$17,2,0)</f>
        <v>-</v>
      </c>
      <c r="G364" s="92"/>
      <c r="H364" s="90"/>
      <c r="I364" s="1125"/>
      <c r="J364" s="1133"/>
      <c r="K364" s="1133"/>
      <c r="L364" s="916"/>
    </row>
    <row r="365" spans="1:12" s="103" customFormat="1" ht="15.75" hidden="1" customHeight="1" outlineLevel="1">
      <c r="A365" s="916"/>
      <c r="B365" s="1123"/>
      <c r="C365" s="1127"/>
      <c r="D365" s="1125"/>
      <c r="E365" s="1125"/>
      <c r="F365" s="1130"/>
      <c r="G365" s="95"/>
      <c r="H365" s="90"/>
      <c r="I365" s="1125"/>
      <c r="J365" s="1134"/>
      <c r="K365" s="1134"/>
      <c r="L365" s="916"/>
    </row>
    <row r="366" spans="1:12" s="103" customFormat="1" ht="15.75" hidden="1" customHeight="1" outlineLevel="1">
      <c r="A366" s="916"/>
      <c r="B366" s="1124"/>
      <c r="C366" s="1128"/>
      <c r="D366" s="1126"/>
      <c r="E366" s="1126"/>
      <c r="F366" s="1132"/>
      <c r="G366" s="100"/>
      <c r="H366" s="98"/>
      <c r="I366" s="1126"/>
      <c r="J366" s="1135"/>
      <c r="K366" s="1135"/>
      <c r="L366" s="916"/>
    </row>
    <row r="367" spans="1:12" s="103" customFormat="1" ht="15.75" hidden="1" customHeight="1" outlineLevel="1">
      <c r="A367" s="916"/>
      <c r="B367" s="1123">
        <v>119</v>
      </c>
      <c r="C367" s="1127"/>
      <c r="D367" s="1125"/>
      <c r="E367" s="1125" t="s">
        <v>18</v>
      </c>
      <c r="F367" s="1130" t="str">
        <f>VLOOKUP(E367,$N$13:$O$17,2,0)</f>
        <v>-</v>
      </c>
      <c r="G367" s="92"/>
      <c r="H367" s="90"/>
      <c r="I367" s="1125"/>
      <c r="J367" s="1133"/>
      <c r="K367" s="1133"/>
      <c r="L367" s="916"/>
    </row>
    <row r="368" spans="1:12" s="103" customFormat="1" ht="15.75" hidden="1" customHeight="1" outlineLevel="1">
      <c r="A368" s="916"/>
      <c r="B368" s="1123"/>
      <c r="C368" s="1127"/>
      <c r="D368" s="1125"/>
      <c r="E368" s="1125"/>
      <c r="F368" s="1130"/>
      <c r="G368" s="95"/>
      <c r="H368" s="90"/>
      <c r="I368" s="1125"/>
      <c r="J368" s="1134"/>
      <c r="K368" s="1134"/>
      <c r="L368" s="916"/>
    </row>
    <row r="369" spans="1:12" s="103" customFormat="1" ht="15.75" hidden="1" customHeight="1" outlineLevel="1">
      <c r="A369" s="916"/>
      <c r="B369" s="1124"/>
      <c r="C369" s="1128"/>
      <c r="D369" s="1126"/>
      <c r="E369" s="1126"/>
      <c r="F369" s="1132"/>
      <c r="G369" s="100"/>
      <c r="H369" s="98"/>
      <c r="I369" s="1126"/>
      <c r="J369" s="1135"/>
      <c r="K369" s="1135"/>
      <c r="L369" s="916"/>
    </row>
    <row r="370" spans="1:12" s="103" customFormat="1" ht="15.75" hidden="1" customHeight="1" outlineLevel="1">
      <c r="A370" s="916"/>
      <c r="B370" s="1123">
        <v>120</v>
      </c>
      <c r="C370" s="1127"/>
      <c r="D370" s="1125"/>
      <c r="E370" s="1125" t="s">
        <v>18</v>
      </c>
      <c r="F370" s="1130" t="str">
        <f>VLOOKUP(E370,$N$13:$O$17,2,0)</f>
        <v>-</v>
      </c>
      <c r="G370" s="92"/>
      <c r="H370" s="90"/>
      <c r="I370" s="1125"/>
      <c r="J370" s="1133"/>
      <c r="K370" s="1133"/>
      <c r="L370" s="916"/>
    </row>
    <row r="371" spans="1:12" s="103" customFormat="1" ht="15.75" hidden="1" customHeight="1" outlineLevel="1">
      <c r="A371" s="916"/>
      <c r="B371" s="1123"/>
      <c r="C371" s="1127"/>
      <c r="D371" s="1125"/>
      <c r="E371" s="1125"/>
      <c r="F371" s="1130"/>
      <c r="G371" s="95"/>
      <c r="H371" s="90"/>
      <c r="I371" s="1125"/>
      <c r="J371" s="1134"/>
      <c r="K371" s="1134"/>
      <c r="L371" s="916"/>
    </row>
    <row r="372" spans="1:12" s="103" customFormat="1" ht="15.75" hidden="1" customHeight="1" outlineLevel="1">
      <c r="A372" s="916"/>
      <c r="B372" s="1124"/>
      <c r="C372" s="1128"/>
      <c r="D372" s="1126"/>
      <c r="E372" s="1126"/>
      <c r="F372" s="1132"/>
      <c r="G372" s="100"/>
      <c r="H372" s="98"/>
      <c r="I372" s="1126"/>
      <c r="J372" s="1135"/>
      <c r="K372" s="1135"/>
      <c r="L372" s="916"/>
    </row>
    <row r="373" spans="1:12" s="103" customFormat="1" ht="15.75" hidden="1" customHeight="1" outlineLevel="1">
      <c r="A373" s="916"/>
      <c r="B373" s="1123">
        <v>121</v>
      </c>
      <c r="C373" s="1127"/>
      <c r="D373" s="1125"/>
      <c r="E373" s="1125" t="s">
        <v>18</v>
      </c>
      <c r="F373" s="1130" t="str">
        <f>VLOOKUP(E373,$N$13:$O$17,2,0)</f>
        <v>-</v>
      </c>
      <c r="G373" s="92"/>
      <c r="H373" s="90"/>
      <c r="I373" s="1125"/>
      <c r="J373" s="1133"/>
      <c r="K373" s="1133"/>
      <c r="L373" s="916"/>
    </row>
    <row r="374" spans="1:12" s="103" customFormat="1" ht="15.75" hidden="1" customHeight="1" outlineLevel="1">
      <c r="A374" s="916"/>
      <c r="B374" s="1123"/>
      <c r="C374" s="1127"/>
      <c r="D374" s="1125"/>
      <c r="E374" s="1125"/>
      <c r="F374" s="1130"/>
      <c r="G374" s="95"/>
      <c r="H374" s="90"/>
      <c r="I374" s="1125"/>
      <c r="J374" s="1134"/>
      <c r="K374" s="1134"/>
      <c r="L374" s="916"/>
    </row>
    <row r="375" spans="1:12" s="103" customFormat="1" ht="15.75" hidden="1" customHeight="1" outlineLevel="1">
      <c r="A375" s="916"/>
      <c r="B375" s="1124"/>
      <c r="C375" s="1128"/>
      <c r="D375" s="1126"/>
      <c r="E375" s="1126"/>
      <c r="F375" s="1132"/>
      <c r="G375" s="100"/>
      <c r="H375" s="98"/>
      <c r="I375" s="1126"/>
      <c r="J375" s="1135"/>
      <c r="K375" s="1135"/>
      <c r="L375" s="916"/>
    </row>
    <row r="376" spans="1:12" s="103" customFormat="1" ht="15.75" hidden="1" customHeight="1" outlineLevel="1">
      <c r="A376" s="916"/>
      <c r="B376" s="1123">
        <v>122</v>
      </c>
      <c r="C376" s="1127"/>
      <c r="D376" s="1125"/>
      <c r="E376" s="1125" t="s">
        <v>18</v>
      </c>
      <c r="F376" s="1130" t="str">
        <f>VLOOKUP(E376,$N$13:$O$17,2,0)</f>
        <v>-</v>
      </c>
      <c r="G376" s="92"/>
      <c r="H376" s="90"/>
      <c r="I376" s="1125"/>
      <c r="J376" s="1133"/>
      <c r="K376" s="1133"/>
      <c r="L376" s="916"/>
    </row>
    <row r="377" spans="1:12" s="103" customFormat="1" ht="15.75" hidden="1" customHeight="1" outlineLevel="1">
      <c r="A377" s="916"/>
      <c r="B377" s="1123"/>
      <c r="C377" s="1127"/>
      <c r="D377" s="1125"/>
      <c r="E377" s="1125"/>
      <c r="F377" s="1130"/>
      <c r="G377" s="95"/>
      <c r="H377" s="90"/>
      <c r="I377" s="1125"/>
      <c r="J377" s="1134"/>
      <c r="K377" s="1134"/>
      <c r="L377" s="916"/>
    </row>
    <row r="378" spans="1:12" s="103" customFormat="1" ht="15.75" hidden="1" customHeight="1" outlineLevel="1">
      <c r="A378" s="916"/>
      <c r="B378" s="1124"/>
      <c r="C378" s="1128"/>
      <c r="D378" s="1126"/>
      <c r="E378" s="1126"/>
      <c r="F378" s="1132"/>
      <c r="G378" s="100"/>
      <c r="H378" s="98"/>
      <c r="I378" s="1126"/>
      <c r="J378" s="1135"/>
      <c r="K378" s="1135"/>
      <c r="L378" s="916"/>
    </row>
    <row r="379" spans="1:12" s="103" customFormat="1" ht="15.75" hidden="1" customHeight="1" outlineLevel="1">
      <c r="A379" s="916"/>
      <c r="B379" s="1123">
        <v>123</v>
      </c>
      <c r="C379" s="1127"/>
      <c r="D379" s="1125"/>
      <c r="E379" s="1125" t="s">
        <v>18</v>
      </c>
      <c r="F379" s="1130" t="str">
        <f>VLOOKUP(E379,$N$13:$O$17,2,0)</f>
        <v>-</v>
      </c>
      <c r="G379" s="92"/>
      <c r="H379" s="90"/>
      <c r="I379" s="1125"/>
      <c r="J379" s="1133"/>
      <c r="K379" s="1133"/>
      <c r="L379" s="916"/>
    </row>
    <row r="380" spans="1:12" s="103" customFormat="1" ht="15.75" hidden="1" customHeight="1" outlineLevel="1">
      <c r="A380" s="916"/>
      <c r="B380" s="1123"/>
      <c r="C380" s="1127"/>
      <c r="D380" s="1125"/>
      <c r="E380" s="1125"/>
      <c r="F380" s="1130"/>
      <c r="G380" s="95"/>
      <c r="H380" s="90"/>
      <c r="I380" s="1125"/>
      <c r="J380" s="1134"/>
      <c r="K380" s="1134"/>
      <c r="L380" s="916"/>
    </row>
    <row r="381" spans="1:12" s="103" customFormat="1" ht="15.75" hidden="1" customHeight="1" outlineLevel="1">
      <c r="A381" s="916"/>
      <c r="B381" s="1124"/>
      <c r="C381" s="1128"/>
      <c r="D381" s="1126"/>
      <c r="E381" s="1126"/>
      <c r="F381" s="1132"/>
      <c r="G381" s="100"/>
      <c r="H381" s="98"/>
      <c r="I381" s="1126"/>
      <c r="J381" s="1135"/>
      <c r="K381" s="1135"/>
      <c r="L381" s="916"/>
    </row>
    <row r="382" spans="1:12" s="103" customFormat="1" ht="15.75" hidden="1" customHeight="1" outlineLevel="1">
      <c r="A382" s="916"/>
      <c r="B382" s="1123">
        <v>124</v>
      </c>
      <c r="C382" s="1127"/>
      <c r="D382" s="1125"/>
      <c r="E382" s="1125" t="s">
        <v>18</v>
      </c>
      <c r="F382" s="1130" t="str">
        <f>VLOOKUP(E382,$N$13:$O$17,2,0)</f>
        <v>-</v>
      </c>
      <c r="G382" s="92"/>
      <c r="H382" s="90"/>
      <c r="I382" s="1125"/>
      <c r="J382" s="1133"/>
      <c r="K382" s="1133"/>
      <c r="L382" s="916"/>
    </row>
    <row r="383" spans="1:12" s="103" customFormat="1" ht="15.75" hidden="1" customHeight="1" outlineLevel="1">
      <c r="A383" s="916"/>
      <c r="B383" s="1123"/>
      <c r="C383" s="1127"/>
      <c r="D383" s="1125"/>
      <c r="E383" s="1125"/>
      <c r="F383" s="1130"/>
      <c r="G383" s="95"/>
      <c r="H383" s="90"/>
      <c r="I383" s="1125"/>
      <c r="J383" s="1134"/>
      <c r="K383" s="1134"/>
      <c r="L383" s="916"/>
    </row>
    <row r="384" spans="1:12" s="103" customFormat="1" ht="15.75" hidden="1" customHeight="1" outlineLevel="1">
      <c r="A384" s="916"/>
      <c r="B384" s="1124"/>
      <c r="C384" s="1128"/>
      <c r="D384" s="1126"/>
      <c r="E384" s="1126"/>
      <c r="F384" s="1132"/>
      <c r="G384" s="100"/>
      <c r="H384" s="98"/>
      <c r="I384" s="1126"/>
      <c r="J384" s="1135"/>
      <c r="K384" s="1135"/>
      <c r="L384" s="916"/>
    </row>
    <row r="385" spans="1:12" s="103" customFormat="1" ht="15.75" hidden="1" customHeight="1" outlineLevel="1">
      <c r="A385" s="916"/>
      <c r="B385" s="1123">
        <v>125</v>
      </c>
      <c r="C385" s="1127"/>
      <c r="D385" s="1125"/>
      <c r="E385" s="1125" t="s">
        <v>18</v>
      </c>
      <c r="F385" s="1130" t="str">
        <f>VLOOKUP(E385,$N$13:$O$17,2,0)</f>
        <v>-</v>
      </c>
      <c r="G385" s="92"/>
      <c r="H385" s="90"/>
      <c r="I385" s="1125"/>
      <c r="J385" s="1133"/>
      <c r="K385" s="1133"/>
      <c r="L385" s="916"/>
    </row>
    <row r="386" spans="1:12" s="103" customFormat="1" ht="15.75" hidden="1" customHeight="1" outlineLevel="1">
      <c r="A386" s="916"/>
      <c r="B386" s="1123"/>
      <c r="C386" s="1127"/>
      <c r="D386" s="1125"/>
      <c r="E386" s="1125"/>
      <c r="F386" s="1130"/>
      <c r="G386" s="95"/>
      <c r="H386" s="90"/>
      <c r="I386" s="1125"/>
      <c r="J386" s="1134"/>
      <c r="K386" s="1134"/>
      <c r="L386" s="916"/>
    </row>
    <row r="387" spans="1:12" s="103" customFormat="1" ht="15.75" hidden="1" customHeight="1" outlineLevel="1">
      <c r="A387" s="916"/>
      <c r="B387" s="1124"/>
      <c r="C387" s="1128"/>
      <c r="D387" s="1126"/>
      <c r="E387" s="1126"/>
      <c r="F387" s="1132"/>
      <c r="G387" s="100"/>
      <c r="H387" s="98"/>
      <c r="I387" s="1126"/>
      <c r="J387" s="1135"/>
      <c r="K387" s="1135"/>
      <c r="L387" s="916"/>
    </row>
    <row r="388" spans="1:12" s="103" customFormat="1" ht="15.75" hidden="1" customHeight="1" outlineLevel="1">
      <c r="A388" s="916"/>
      <c r="B388" s="1123">
        <v>126</v>
      </c>
      <c r="C388" s="1127"/>
      <c r="D388" s="1125"/>
      <c r="E388" s="1125" t="s">
        <v>18</v>
      </c>
      <c r="F388" s="1130" t="str">
        <f>VLOOKUP(E388,$N$13:$O$17,2,0)</f>
        <v>-</v>
      </c>
      <c r="G388" s="92"/>
      <c r="H388" s="90"/>
      <c r="I388" s="1125"/>
      <c r="J388" s="1133"/>
      <c r="K388" s="1133"/>
      <c r="L388" s="916"/>
    </row>
    <row r="389" spans="1:12" s="103" customFormat="1" ht="15.75" hidden="1" customHeight="1" outlineLevel="1">
      <c r="A389" s="916"/>
      <c r="B389" s="1123"/>
      <c r="C389" s="1127"/>
      <c r="D389" s="1125"/>
      <c r="E389" s="1125"/>
      <c r="F389" s="1130"/>
      <c r="G389" s="95"/>
      <c r="H389" s="90"/>
      <c r="I389" s="1125"/>
      <c r="J389" s="1134"/>
      <c r="K389" s="1134"/>
      <c r="L389" s="916"/>
    </row>
    <row r="390" spans="1:12" s="103" customFormat="1" ht="15.75" hidden="1" customHeight="1" outlineLevel="1">
      <c r="A390" s="916"/>
      <c r="B390" s="1124"/>
      <c r="C390" s="1128"/>
      <c r="D390" s="1126"/>
      <c r="E390" s="1126"/>
      <c r="F390" s="1132"/>
      <c r="G390" s="100"/>
      <c r="H390" s="98"/>
      <c r="I390" s="1126"/>
      <c r="J390" s="1135"/>
      <c r="K390" s="1135"/>
      <c r="L390" s="916"/>
    </row>
    <row r="391" spans="1:12" s="103" customFormat="1" ht="15.75" hidden="1" customHeight="1" outlineLevel="1">
      <c r="A391" s="916"/>
      <c r="B391" s="1123">
        <v>127</v>
      </c>
      <c r="C391" s="1127"/>
      <c r="D391" s="1125"/>
      <c r="E391" s="1125" t="s">
        <v>18</v>
      </c>
      <c r="F391" s="1130" t="str">
        <f>VLOOKUP(E391,$N$13:$O$17,2,0)</f>
        <v>-</v>
      </c>
      <c r="G391" s="92"/>
      <c r="H391" s="90"/>
      <c r="I391" s="1125"/>
      <c r="J391" s="1133"/>
      <c r="K391" s="1133"/>
      <c r="L391" s="916"/>
    </row>
    <row r="392" spans="1:12" s="103" customFormat="1" ht="15.75" hidden="1" customHeight="1" outlineLevel="1">
      <c r="A392" s="916"/>
      <c r="B392" s="1123"/>
      <c r="C392" s="1127"/>
      <c r="D392" s="1125"/>
      <c r="E392" s="1125"/>
      <c r="F392" s="1130"/>
      <c r="G392" s="95"/>
      <c r="H392" s="90"/>
      <c r="I392" s="1125"/>
      <c r="J392" s="1134"/>
      <c r="K392" s="1134"/>
      <c r="L392" s="916"/>
    </row>
    <row r="393" spans="1:12" s="103" customFormat="1" ht="15.75" hidden="1" customHeight="1" outlineLevel="1">
      <c r="A393" s="916"/>
      <c r="B393" s="1124"/>
      <c r="C393" s="1128"/>
      <c r="D393" s="1126"/>
      <c r="E393" s="1126"/>
      <c r="F393" s="1132"/>
      <c r="G393" s="100"/>
      <c r="H393" s="98"/>
      <c r="I393" s="1126"/>
      <c r="J393" s="1135"/>
      <c r="K393" s="1135"/>
      <c r="L393" s="916"/>
    </row>
    <row r="394" spans="1:12" s="103" customFormat="1" ht="15.75" hidden="1" customHeight="1" outlineLevel="1">
      <c r="A394" s="916"/>
      <c r="B394" s="1123">
        <v>128</v>
      </c>
      <c r="C394" s="1127"/>
      <c r="D394" s="1125"/>
      <c r="E394" s="1125" t="s">
        <v>18</v>
      </c>
      <c r="F394" s="1130" t="str">
        <f>VLOOKUP(E394,$N$13:$O$17,2,0)</f>
        <v>-</v>
      </c>
      <c r="G394" s="92"/>
      <c r="H394" s="90"/>
      <c r="I394" s="1125"/>
      <c r="J394" s="1133"/>
      <c r="K394" s="1133"/>
      <c r="L394" s="916"/>
    </row>
    <row r="395" spans="1:12" s="103" customFormat="1" ht="15.75" hidden="1" customHeight="1" outlineLevel="1">
      <c r="A395" s="916"/>
      <c r="B395" s="1123"/>
      <c r="C395" s="1127"/>
      <c r="D395" s="1125"/>
      <c r="E395" s="1125"/>
      <c r="F395" s="1130"/>
      <c r="G395" s="95"/>
      <c r="H395" s="90"/>
      <c r="I395" s="1125"/>
      <c r="J395" s="1134"/>
      <c r="K395" s="1134"/>
      <c r="L395" s="916"/>
    </row>
    <row r="396" spans="1:12" s="103" customFormat="1" ht="15.75" hidden="1" customHeight="1" outlineLevel="1">
      <c r="A396" s="916"/>
      <c r="B396" s="1124"/>
      <c r="C396" s="1128"/>
      <c r="D396" s="1126"/>
      <c r="E396" s="1126"/>
      <c r="F396" s="1132"/>
      <c r="G396" s="100"/>
      <c r="H396" s="98"/>
      <c r="I396" s="1126"/>
      <c r="J396" s="1135"/>
      <c r="K396" s="1135"/>
      <c r="L396" s="916"/>
    </row>
    <row r="397" spans="1:12" s="103" customFormat="1" ht="15.75" hidden="1" customHeight="1" outlineLevel="1">
      <c r="A397" s="916"/>
      <c r="B397" s="1123">
        <v>129</v>
      </c>
      <c r="C397" s="1127"/>
      <c r="D397" s="1125"/>
      <c r="E397" s="1125" t="s">
        <v>18</v>
      </c>
      <c r="F397" s="1130" t="str">
        <f>VLOOKUP(E397,$N$13:$O$17,2,0)</f>
        <v>-</v>
      </c>
      <c r="G397" s="92"/>
      <c r="H397" s="90"/>
      <c r="I397" s="1125"/>
      <c r="J397" s="1133"/>
      <c r="K397" s="1133"/>
      <c r="L397" s="916"/>
    </row>
    <row r="398" spans="1:12" s="103" customFormat="1" ht="15.75" hidden="1" customHeight="1" outlineLevel="1">
      <c r="A398" s="916"/>
      <c r="B398" s="1123"/>
      <c r="C398" s="1127"/>
      <c r="D398" s="1125"/>
      <c r="E398" s="1125"/>
      <c r="F398" s="1130"/>
      <c r="G398" s="95"/>
      <c r="H398" s="90"/>
      <c r="I398" s="1125"/>
      <c r="J398" s="1134"/>
      <c r="K398" s="1134"/>
      <c r="L398" s="916"/>
    </row>
    <row r="399" spans="1:12" s="103" customFormat="1" ht="15.75" hidden="1" customHeight="1" outlineLevel="1">
      <c r="A399" s="916"/>
      <c r="B399" s="1124"/>
      <c r="C399" s="1128"/>
      <c r="D399" s="1126"/>
      <c r="E399" s="1126"/>
      <c r="F399" s="1132"/>
      <c r="G399" s="100"/>
      <c r="H399" s="98"/>
      <c r="I399" s="1126"/>
      <c r="J399" s="1135"/>
      <c r="K399" s="1135"/>
      <c r="L399" s="916"/>
    </row>
    <row r="400" spans="1:12" s="103" customFormat="1" ht="15.75" hidden="1" customHeight="1" outlineLevel="1">
      <c r="A400" s="916"/>
      <c r="B400" s="1123">
        <v>130</v>
      </c>
      <c r="C400" s="1127"/>
      <c r="D400" s="1125"/>
      <c r="E400" s="1125" t="s">
        <v>18</v>
      </c>
      <c r="F400" s="1130" t="str">
        <f>VLOOKUP(E400,$N$13:$O$17,2,0)</f>
        <v>-</v>
      </c>
      <c r="G400" s="92"/>
      <c r="H400" s="90"/>
      <c r="I400" s="1125"/>
      <c r="J400" s="1133"/>
      <c r="K400" s="1133"/>
      <c r="L400" s="916"/>
    </row>
    <row r="401" spans="1:12" s="103" customFormat="1" ht="15.75" hidden="1" customHeight="1" outlineLevel="1">
      <c r="A401" s="916"/>
      <c r="B401" s="1123"/>
      <c r="C401" s="1127"/>
      <c r="D401" s="1125"/>
      <c r="E401" s="1125"/>
      <c r="F401" s="1130"/>
      <c r="G401" s="95"/>
      <c r="H401" s="90"/>
      <c r="I401" s="1125"/>
      <c r="J401" s="1134"/>
      <c r="K401" s="1134"/>
      <c r="L401" s="916"/>
    </row>
    <row r="402" spans="1:12" s="103" customFormat="1" ht="15.75" hidden="1" customHeight="1" outlineLevel="1">
      <c r="A402" s="916"/>
      <c r="B402" s="1124"/>
      <c r="C402" s="1128"/>
      <c r="D402" s="1126"/>
      <c r="E402" s="1126"/>
      <c r="F402" s="1132"/>
      <c r="G402" s="100"/>
      <c r="H402" s="98"/>
      <c r="I402" s="1126"/>
      <c r="J402" s="1135"/>
      <c r="K402" s="1135"/>
      <c r="L402" s="916"/>
    </row>
    <row r="403" spans="1:12" s="103" customFormat="1" ht="15.75" hidden="1" customHeight="1" outlineLevel="1">
      <c r="A403" s="916"/>
      <c r="B403" s="1123">
        <v>131</v>
      </c>
      <c r="C403" s="1127"/>
      <c r="D403" s="1125"/>
      <c r="E403" s="1125" t="s">
        <v>18</v>
      </c>
      <c r="F403" s="1130" t="str">
        <f>VLOOKUP(E403,$N$13:$O$17,2,0)</f>
        <v>-</v>
      </c>
      <c r="G403" s="92"/>
      <c r="H403" s="90"/>
      <c r="I403" s="1125"/>
      <c r="J403" s="1133"/>
      <c r="K403" s="1133"/>
      <c r="L403" s="916"/>
    </row>
    <row r="404" spans="1:12" s="103" customFormat="1" ht="15.75" hidden="1" customHeight="1" outlineLevel="1">
      <c r="A404" s="916"/>
      <c r="B404" s="1123"/>
      <c r="C404" s="1127"/>
      <c r="D404" s="1125"/>
      <c r="E404" s="1125"/>
      <c r="F404" s="1130"/>
      <c r="G404" s="95"/>
      <c r="H404" s="90"/>
      <c r="I404" s="1125"/>
      <c r="J404" s="1134"/>
      <c r="K404" s="1134"/>
      <c r="L404" s="916"/>
    </row>
    <row r="405" spans="1:12" s="103" customFormat="1" ht="15.75" hidden="1" customHeight="1" outlineLevel="1">
      <c r="A405" s="916"/>
      <c r="B405" s="1124"/>
      <c r="C405" s="1128"/>
      <c r="D405" s="1126"/>
      <c r="E405" s="1126"/>
      <c r="F405" s="1132"/>
      <c r="G405" s="100"/>
      <c r="H405" s="98"/>
      <c r="I405" s="1126"/>
      <c r="J405" s="1135"/>
      <c r="K405" s="1135"/>
      <c r="L405" s="916"/>
    </row>
    <row r="406" spans="1:12" s="103" customFormat="1" ht="15.75" hidden="1" customHeight="1" outlineLevel="1">
      <c r="A406" s="916"/>
      <c r="B406" s="1123">
        <v>132</v>
      </c>
      <c r="C406" s="1127"/>
      <c r="D406" s="1125"/>
      <c r="E406" s="1125" t="s">
        <v>18</v>
      </c>
      <c r="F406" s="1130" t="str">
        <f>VLOOKUP(E406,$N$13:$O$17,2,0)</f>
        <v>-</v>
      </c>
      <c r="G406" s="92"/>
      <c r="H406" s="90"/>
      <c r="I406" s="1125"/>
      <c r="J406" s="1133"/>
      <c r="K406" s="1133"/>
      <c r="L406" s="916"/>
    </row>
    <row r="407" spans="1:12" s="103" customFormat="1" ht="15.75" hidden="1" customHeight="1" outlineLevel="1">
      <c r="A407" s="916"/>
      <c r="B407" s="1123"/>
      <c r="C407" s="1127"/>
      <c r="D407" s="1125"/>
      <c r="E407" s="1125"/>
      <c r="F407" s="1130"/>
      <c r="G407" s="95"/>
      <c r="H407" s="90"/>
      <c r="I407" s="1125"/>
      <c r="J407" s="1134"/>
      <c r="K407" s="1134"/>
      <c r="L407" s="916"/>
    </row>
    <row r="408" spans="1:12" s="103" customFormat="1" ht="15.75" hidden="1" customHeight="1" outlineLevel="1">
      <c r="A408" s="916"/>
      <c r="B408" s="1124"/>
      <c r="C408" s="1128"/>
      <c r="D408" s="1126"/>
      <c r="E408" s="1126"/>
      <c r="F408" s="1132"/>
      <c r="G408" s="100"/>
      <c r="H408" s="98"/>
      <c r="I408" s="1126"/>
      <c r="J408" s="1135"/>
      <c r="K408" s="1135"/>
      <c r="L408" s="916"/>
    </row>
    <row r="409" spans="1:12" s="103" customFormat="1" ht="15.75" hidden="1" customHeight="1" outlineLevel="1">
      <c r="A409" s="916"/>
      <c r="B409" s="1123">
        <v>133</v>
      </c>
      <c r="C409" s="1127"/>
      <c r="D409" s="1125"/>
      <c r="E409" s="1125" t="s">
        <v>18</v>
      </c>
      <c r="F409" s="1130" t="str">
        <f>VLOOKUP(E409,$N$13:$O$17,2,0)</f>
        <v>-</v>
      </c>
      <c r="G409" s="92"/>
      <c r="H409" s="90"/>
      <c r="I409" s="1125"/>
      <c r="J409" s="1133"/>
      <c r="K409" s="1133"/>
      <c r="L409" s="916"/>
    </row>
    <row r="410" spans="1:12" s="103" customFormat="1" ht="15.75" hidden="1" customHeight="1" outlineLevel="1">
      <c r="A410" s="916"/>
      <c r="B410" s="1123"/>
      <c r="C410" s="1127"/>
      <c r="D410" s="1125"/>
      <c r="E410" s="1125"/>
      <c r="F410" s="1130"/>
      <c r="G410" s="95"/>
      <c r="H410" s="90"/>
      <c r="I410" s="1125"/>
      <c r="J410" s="1134"/>
      <c r="K410" s="1134"/>
      <c r="L410" s="916"/>
    </row>
    <row r="411" spans="1:12" s="103" customFormat="1" ht="15.75" hidden="1" customHeight="1" outlineLevel="1">
      <c r="A411" s="916"/>
      <c r="B411" s="1124"/>
      <c r="C411" s="1128"/>
      <c r="D411" s="1126"/>
      <c r="E411" s="1126"/>
      <c r="F411" s="1132"/>
      <c r="G411" s="100"/>
      <c r="H411" s="98"/>
      <c r="I411" s="1126"/>
      <c r="J411" s="1135"/>
      <c r="K411" s="1135"/>
      <c r="L411" s="916"/>
    </row>
    <row r="412" spans="1:12" s="103" customFormat="1" ht="15.75" hidden="1" customHeight="1" outlineLevel="1">
      <c r="A412" s="916"/>
      <c r="B412" s="1123">
        <v>134</v>
      </c>
      <c r="C412" s="1127"/>
      <c r="D412" s="1125"/>
      <c r="E412" s="1125" t="s">
        <v>18</v>
      </c>
      <c r="F412" s="1130" t="str">
        <f>VLOOKUP(E412,$N$13:$O$17,2,0)</f>
        <v>-</v>
      </c>
      <c r="G412" s="92"/>
      <c r="H412" s="90"/>
      <c r="I412" s="1125"/>
      <c r="J412" s="1133"/>
      <c r="K412" s="1133"/>
      <c r="L412" s="916"/>
    </row>
    <row r="413" spans="1:12" s="103" customFormat="1" ht="15.75" hidden="1" customHeight="1" outlineLevel="1">
      <c r="A413" s="916"/>
      <c r="B413" s="1123"/>
      <c r="C413" s="1127"/>
      <c r="D413" s="1125"/>
      <c r="E413" s="1125"/>
      <c r="F413" s="1130"/>
      <c r="G413" s="95"/>
      <c r="H413" s="90"/>
      <c r="I413" s="1125"/>
      <c r="J413" s="1134"/>
      <c r="K413" s="1134"/>
      <c r="L413" s="916"/>
    </row>
    <row r="414" spans="1:12" s="103" customFormat="1" ht="15.75" hidden="1" customHeight="1" outlineLevel="1">
      <c r="A414" s="916"/>
      <c r="B414" s="1124"/>
      <c r="C414" s="1128"/>
      <c r="D414" s="1126"/>
      <c r="E414" s="1126"/>
      <c r="F414" s="1132"/>
      <c r="G414" s="100"/>
      <c r="H414" s="98"/>
      <c r="I414" s="1126"/>
      <c r="J414" s="1135"/>
      <c r="K414" s="1135"/>
      <c r="L414" s="916"/>
    </row>
    <row r="415" spans="1:12" s="103" customFormat="1" ht="15.75" hidden="1" customHeight="1" outlineLevel="1">
      <c r="A415" s="916"/>
      <c r="B415" s="1123">
        <v>135</v>
      </c>
      <c r="C415" s="1127"/>
      <c r="D415" s="1125"/>
      <c r="E415" s="1125" t="s">
        <v>18</v>
      </c>
      <c r="F415" s="1130" t="str">
        <f>VLOOKUP(E415,$N$13:$O$17,2,0)</f>
        <v>-</v>
      </c>
      <c r="G415" s="92"/>
      <c r="H415" s="90"/>
      <c r="I415" s="1125"/>
      <c r="J415" s="1133"/>
      <c r="K415" s="1133"/>
      <c r="L415" s="916"/>
    </row>
    <row r="416" spans="1:12" s="103" customFormat="1" ht="15.75" hidden="1" customHeight="1" outlineLevel="1">
      <c r="A416" s="916"/>
      <c r="B416" s="1123"/>
      <c r="C416" s="1127"/>
      <c r="D416" s="1125"/>
      <c r="E416" s="1125"/>
      <c r="F416" s="1130"/>
      <c r="G416" s="95"/>
      <c r="H416" s="90"/>
      <c r="I416" s="1125"/>
      <c r="J416" s="1134"/>
      <c r="K416" s="1134"/>
      <c r="L416" s="916"/>
    </row>
    <row r="417" spans="1:12" s="103" customFormat="1" ht="15.75" hidden="1" customHeight="1" outlineLevel="1">
      <c r="A417" s="916"/>
      <c r="B417" s="1124"/>
      <c r="C417" s="1128"/>
      <c r="D417" s="1126"/>
      <c r="E417" s="1126"/>
      <c r="F417" s="1132"/>
      <c r="G417" s="100"/>
      <c r="H417" s="98"/>
      <c r="I417" s="1126"/>
      <c r="J417" s="1135"/>
      <c r="K417" s="1135"/>
      <c r="L417" s="916"/>
    </row>
    <row r="418" spans="1:12" s="103" customFormat="1" ht="15.75" hidden="1" customHeight="1" outlineLevel="1">
      <c r="A418" s="916"/>
      <c r="B418" s="1123">
        <v>136</v>
      </c>
      <c r="C418" s="1127"/>
      <c r="D418" s="1125"/>
      <c r="E418" s="1125" t="s">
        <v>18</v>
      </c>
      <c r="F418" s="1130" t="str">
        <f>VLOOKUP(E418,$N$13:$O$17,2,0)</f>
        <v>-</v>
      </c>
      <c r="G418" s="92"/>
      <c r="H418" s="90"/>
      <c r="I418" s="1125"/>
      <c r="J418" s="1133"/>
      <c r="K418" s="1133"/>
      <c r="L418" s="916"/>
    </row>
    <row r="419" spans="1:12" s="103" customFormat="1" ht="15.75" hidden="1" customHeight="1" outlineLevel="1">
      <c r="A419" s="916"/>
      <c r="B419" s="1123"/>
      <c r="C419" s="1127"/>
      <c r="D419" s="1125"/>
      <c r="E419" s="1125"/>
      <c r="F419" s="1130"/>
      <c r="G419" s="95"/>
      <c r="H419" s="90"/>
      <c r="I419" s="1125"/>
      <c r="J419" s="1134"/>
      <c r="K419" s="1134"/>
      <c r="L419" s="916"/>
    </row>
    <row r="420" spans="1:12" s="103" customFormat="1" ht="15.75" hidden="1" customHeight="1" outlineLevel="1">
      <c r="A420" s="916"/>
      <c r="B420" s="1124"/>
      <c r="C420" s="1128"/>
      <c r="D420" s="1126"/>
      <c r="E420" s="1126"/>
      <c r="F420" s="1132"/>
      <c r="G420" s="100"/>
      <c r="H420" s="98"/>
      <c r="I420" s="1126"/>
      <c r="J420" s="1135"/>
      <c r="K420" s="1135"/>
      <c r="L420" s="916"/>
    </row>
    <row r="421" spans="1:12" s="103" customFormat="1" ht="15.75" hidden="1" customHeight="1" outlineLevel="1">
      <c r="A421" s="916"/>
      <c r="B421" s="1123">
        <v>137</v>
      </c>
      <c r="C421" s="1127"/>
      <c r="D421" s="1125"/>
      <c r="E421" s="1125" t="s">
        <v>18</v>
      </c>
      <c r="F421" s="1130" t="str">
        <f>VLOOKUP(E421,$N$13:$O$17,2,0)</f>
        <v>-</v>
      </c>
      <c r="G421" s="92"/>
      <c r="H421" s="90"/>
      <c r="I421" s="1125"/>
      <c r="J421" s="1133"/>
      <c r="K421" s="1133"/>
      <c r="L421" s="916"/>
    </row>
    <row r="422" spans="1:12" s="103" customFormat="1" ht="15.75" hidden="1" customHeight="1" outlineLevel="1">
      <c r="A422" s="916"/>
      <c r="B422" s="1123"/>
      <c r="C422" s="1127"/>
      <c r="D422" s="1125"/>
      <c r="E422" s="1125"/>
      <c r="F422" s="1130"/>
      <c r="G422" s="95"/>
      <c r="H422" s="90"/>
      <c r="I422" s="1125"/>
      <c r="J422" s="1134"/>
      <c r="K422" s="1134"/>
      <c r="L422" s="916"/>
    </row>
    <row r="423" spans="1:12" s="103" customFormat="1" ht="15.75" hidden="1" customHeight="1" outlineLevel="1">
      <c r="A423" s="916"/>
      <c r="B423" s="1124"/>
      <c r="C423" s="1128"/>
      <c r="D423" s="1126"/>
      <c r="E423" s="1126"/>
      <c r="F423" s="1132"/>
      <c r="G423" s="100"/>
      <c r="H423" s="98"/>
      <c r="I423" s="1126"/>
      <c r="J423" s="1135"/>
      <c r="K423" s="1135"/>
      <c r="L423" s="916"/>
    </row>
    <row r="424" spans="1:12" s="103" customFormat="1" ht="15.75" hidden="1" customHeight="1" outlineLevel="1">
      <c r="A424" s="916"/>
      <c r="B424" s="1123">
        <v>138</v>
      </c>
      <c r="C424" s="1127"/>
      <c r="D424" s="1125"/>
      <c r="E424" s="1125" t="s">
        <v>18</v>
      </c>
      <c r="F424" s="1130" t="str">
        <f>VLOOKUP(E424,$N$13:$O$17,2,0)</f>
        <v>-</v>
      </c>
      <c r="G424" s="92"/>
      <c r="H424" s="90"/>
      <c r="I424" s="1125"/>
      <c r="J424" s="1133"/>
      <c r="K424" s="1133"/>
      <c r="L424" s="916"/>
    </row>
    <row r="425" spans="1:12" s="103" customFormat="1" ht="15.75" hidden="1" customHeight="1" outlineLevel="1">
      <c r="A425" s="916"/>
      <c r="B425" s="1123"/>
      <c r="C425" s="1127"/>
      <c r="D425" s="1125"/>
      <c r="E425" s="1125"/>
      <c r="F425" s="1130"/>
      <c r="G425" s="95"/>
      <c r="H425" s="90"/>
      <c r="I425" s="1125"/>
      <c r="J425" s="1134"/>
      <c r="K425" s="1134"/>
      <c r="L425" s="916"/>
    </row>
    <row r="426" spans="1:12" s="103" customFormat="1" ht="15.75" hidden="1" customHeight="1" outlineLevel="1">
      <c r="A426" s="916"/>
      <c r="B426" s="1124"/>
      <c r="C426" s="1128"/>
      <c r="D426" s="1126"/>
      <c r="E426" s="1126"/>
      <c r="F426" s="1132"/>
      <c r="G426" s="100"/>
      <c r="H426" s="98"/>
      <c r="I426" s="1126"/>
      <c r="J426" s="1135"/>
      <c r="K426" s="1135"/>
      <c r="L426" s="916"/>
    </row>
    <row r="427" spans="1:12" s="103" customFormat="1" ht="15.75" hidden="1" customHeight="1" outlineLevel="1">
      <c r="A427" s="916"/>
      <c r="B427" s="1123">
        <v>139</v>
      </c>
      <c r="C427" s="1127"/>
      <c r="D427" s="1125"/>
      <c r="E427" s="1125" t="s">
        <v>18</v>
      </c>
      <c r="F427" s="1130" t="str">
        <f>VLOOKUP(E427,$N$13:$O$17,2,0)</f>
        <v>-</v>
      </c>
      <c r="G427" s="92"/>
      <c r="H427" s="90"/>
      <c r="I427" s="1125"/>
      <c r="J427" s="1133"/>
      <c r="K427" s="1133"/>
      <c r="L427" s="916"/>
    </row>
    <row r="428" spans="1:12" s="103" customFormat="1" ht="15.75" hidden="1" customHeight="1" outlineLevel="1">
      <c r="A428" s="916"/>
      <c r="B428" s="1123"/>
      <c r="C428" s="1127"/>
      <c r="D428" s="1125"/>
      <c r="E428" s="1125"/>
      <c r="F428" s="1130"/>
      <c r="G428" s="95"/>
      <c r="H428" s="90"/>
      <c r="I428" s="1125"/>
      <c r="J428" s="1134"/>
      <c r="K428" s="1134"/>
      <c r="L428" s="916"/>
    </row>
    <row r="429" spans="1:12" s="103" customFormat="1" ht="15.75" hidden="1" customHeight="1" outlineLevel="1">
      <c r="A429" s="916"/>
      <c r="B429" s="1124"/>
      <c r="C429" s="1128"/>
      <c r="D429" s="1126"/>
      <c r="E429" s="1126"/>
      <c r="F429" s="1132"/>
      <c r="G429" s="100"/>
      <c r="H429" s="98"/>
      <c r="I429" s="1126"/>
      <c r="J429" s="1135"/>
      <c r="K429" s="1135"/>
      <c r="L429" s="916"/>
    </row>
    <row r="430" spans="1:12" s="103" customFormat="1" ht="15.75" hidden="1" customHeight="1" outlineLevel="1">
      <c r="A430" s="916"/>
      <c r="B430" s="1123">
        <v>140</v>
      </c>
      <c r="C430" s="1127"/>
      <c r="D430" s="1125"/>
      <c r="E430" s="1125" t="s">
        <v>18</v>
      </c>
      <c r="F430" s="1130" t="str">
        <f>VLOOKUP(E430,$N$13:$O$17,2,0)</f>
        <v>-</v>
      </c>
      <c r="G430" s="92"/>
      <c r="H430" s="90"/>
      <c r="I430" s="1125"/>
      <c r="J430" s="1133"/>
      <c r="K430" s="1133"/>
      <c r="L430" s="916"/>
    </row>
    <row r="431" spans="1:12" s="103" customFormat="1" ht="15.75" hidden="1" customHeight="1" outlineLevel="1">
      <c r="A431" s="916"/>
      <c r="B431" s="1123"/>
      <c r="C431" s="1127"/>
      <c r="D431" s="1125"/>
      <c r="E431" s="1125"/>
      <c r="F431" s="1130"/>
      <c r="G431" s="95"/>
      <c r="H431" s="90"/>
      <c r="I431" s="1125"/>
      <c r="J431" s="1134"/>
      <c r="K431" s="1134"/>
      <c r="L431" s="916"/>
    </row>
    <row r="432" spans="1:12" s="103" customFormat="1" ht="15.75" hidden="1" customHeight="1" outlineLevel="1">
      <c r="A432" s="916"/>
      <c r="B432" s="1124"/>
      <c r="C432" s="1128"/>
      <c r="D432" s="1126"/>
      <c r="E432" s="1126"/>
      <c r="F432" s="1132"/>
      <c r="G432" s="100"/>
      <c r="H432" s="98"/>
      <c r="I432" s="1126"/>
      <c r="J432" s="1135"/>
      <c r="K432" s="1135"/>
      <c r="L432" s="916"/>
    </row>
    <row r="433" spans="1:12" s="103" customFormat="1" ht="15.75" hidden="1" customHeight="1" outlineLevel="1">
      <c r="A433" s="916"/>
      <c r="B433" s="1123">
        <v>141</v>
      </c>
      <c r="C433" s="1127"/>
      <c r="D433" s="1125"/>
      <c r="E433" s="1125" t="s">
        <v>18</v>
      </c>
      <c r="F433" s="1130" t="str">
        <f>VLOOKUP(E433,$N$13:$O$17,2,0)</f>
        <v>-</v>
      </c>
      <c r="G433" s="92"/>
      <c r="H433" s="90"/>
      <c r="I433" s="1125"/>
      <c r="J433" s="1133"/>
      <c r="K433" s="1133"/>
      <c r="L433" s="916"/>
    </row>
    <row r="434" spans="1:12" s="103" customFormat="1" ht="15.75" hidden="1" customHeight="1" outlineLevel="1">
      <c r="A434" s="916"/>
      <c r="B434" s="1123"/>
      <c r="C434" s="1127"/>
      <c r="D434" s="1125"/>
      <c r="E434" s="1125"/>
      <c r="F434" s="1130"/>
      <c r="G434" s="95"/>
      <c r="H434" s="90"/>
      <c r="I434" s="1125"/>
      <c r="J434" s="1134"/>
      <c r="K434" s="1134"/>
      <c r="L434" s="916"/>
    </row>
    <row r="435" spans="1:12" s="103" customFormat="1" ht="15.75" hidden="1" customHeight="1" outlineLevel="1">
      <c r="A435" s="916"/>
      <c r="B435" s="1124"/>
      <c r="C435" s="1128"/>
      <c r="D435" s="1126"/>
      <c r="E435" s="1126"/>
      <c r="F435" s="1132"/>
      <c r="G435" s="100"/>
      <c r="H435" s="98"/>
      <c r="I435" s="1126"/>
      <c r="J435" s="1135"/>
      <c r="K435" s="1135"/>
      <c r="L435" s="916"/>
    </row>
    <row r="436" spans="1:12" s="103" customFormat="1" ht="15.75" hidden="1" customHeight="1" outlineLevel="1">
      <c r="A436" s="916"/>
      <c r="B436" s="1123">
        <v>142</v>
      </c>
      <c r="C436" s="1127"/>
      <c r="D436" s="1125"/>
      <c r="E436" s="1125" t="s">
        <v>18</v>
      </c>
      <c r="F436" s="1130" t="str">
        <f>VLOOKUP(E436,$N$13:$O$17,2,0)</f>
        <v>-</v>
      </c>
      <c r="G436" s="92"/>
      <c r="H436" s="90"/>
      <c r="I436" s="1125"/>
      <c r="J436" s="1133"/>
      <c r="K436" s="1133"/>
      <c r="L436" s="916"/>
    </row>
    <row r="437" spans="1:12" s="103" customFormat="1" ht="15.75" hidden="1" customHeight="1" outlineLevel="1">
      <c r="A437" s="916"/>
      <c r="B437" s="1123"/>
      <c r="C437" s="1127"/>
      <c r="D437" s="1125"/>
      <c r="E437" s="1125"/>
      <c r="F437" s="1130"/>
      <c r="G437" s="95"/>
      <c r="H437" s="90"/>
      <c r="I437" s="1125"/>
      <c r="J437" s="1134"/>
      <c r="K437" s="1134"/>
      <c r="L437" s="916"/>
    </row>
    <row r="438" spans="1:12" s="103" customFormat="1" ht="15.75" hidden="1" customHeight="1" outlineLevel="1">
      <c r="A438" s="916"/>
      <c r="B438" s="1124"/>
      <c r="C438" s="1128"/>
      <c r="D438" s="1126"/>
      <c r="E438" s="1126"/>
      <c r="F438" s="1132"/>
      <c r="G438" s="100"/>
      <c r="H438" s="98"/>
      <c r="I438" s="1126"/>
      <c r="J438" s="1135"/>
      <c r="K438" s="1135"/>
      <c r="L438" s="916"/>
    </row>
    <row r="439" spans="1:12" s="103" customFormat="1" ht="15.75" hidden="1" customHeight="1" outlineLevel="1">
      <c r="A439" s="916"/>
      <c r="B439" s="1123">
        <v>143</v>
      </c>
      <c r="C439" s="1127"/>
      <c r="D439" s="1125"/>
      <c r="E439" s="1125" t="s">
        <v>18</v>
      </c>
      <c r="F439" s="1130" t="str">
        <f>VLOOKUP(E439,$N$13:$O$17,2,0)</f>
        <v>-</v>
      </c>
      <c r="G439" s="92"/>
      <c r="H439" s="90"/>
      <c r="I439" s="1125"/>
      <c r="J439" s="1133"/>
      <c r="K439" s="1133"/>
      <c r="L439" s="916"/>
    </row>
    <row r="440" spans="1:12" s="103" customFormat="1" ht="15.75" hidden="1" customHeight="1" outlineLevel="1">
      <c r="A440" s="916"/>
      <c r="B440" s="1123"/>
      <c r="C440" s="1127"/>
      <c r="D440" s="1125"/>
      <c r="E440" s="1125"/>
      <c r="F440" s="1130"/>
      <c r="G440" s="95"/>
      <c r="H440" s="90"/>
      <c r="I440" s="1125"/>
      <c r="J440" s="1134"/>
      <c r="K440" s="1134"/>
      <c r="L440" s="916"/>
    </row>
    <row r="441" spans="1:12" s="103" customFormat="1" ht="15.75" hidden="1" customHeight="1" outlineLevel="1">
      <c r="A441" s="916"/>
      <c r="B441" s="1124"/>
      <c r="C441" s="1128"/>
      <c r="D441" s="1126"/>
      <c r="E441" s="1126"/>
      <c r="F441" s="1132"/>
      <c r="G441" s="100"/>
      <c r="H441" s="98"/>
      <c r="I441" s="1126"/>
      <c r="J441" s="1135"/>
      <c r="K441" s="1135"/>
      <c r="L441" s="916"/>
    </row>
    <row r="442" spans="1:12" s="103" customFormat="1" ht="15.75" hidden="1" customHeight="1" outlineLevel="1">
      <c r="A442" s="916"/>
      <c r="B442" s="1123">
        <v>144</v>
      </c>
      <c r="C442" s="1127"/>
      <c r="D442" s="1125"/>
      <c r="E442" s="1125" t="s">
        <v>18</v>
      </c>
      <c r="F442" s="1130" t="str">
        <f>VLOOKUP(E442,$N$13:$O$17,2,0)</f>
        <v>-</v>
      </c>
      <c r="G442" s="92"/>
      <c r="H442" s="90"/>
      <c r="I442" s="1125"/>
      <c r="J442" s="1133"/>
      <c r="K442" s="1133"/>
      <c r="L442" s="916"/>
    </row>
    <row r="443" spans="1:12" s="103" customFormat="1" ht="15.75" hidden="1" customHeight="1" outlineLevel="1">
      <c r="A443" s="916"/>
      <c r="B443" s="1123"/>
      <c r="C443" s="1127"/>
      <c r="D443" s="1125"/>
      <c r="E443" s="1125"/>
      <c r="F443" s="1130"/>
      <c r="G443" s="95"/>
      <c r="H443" s="90"/>
      <c r="I443" s="1125"/>
      <c r="J443" s="1134"/>
      <c r="K443" s="1134"/>
      <c r="L443" s="916"/>
    </row>
    <row r="444" spans="1:12" s="103" customFormat="1" ht="15.75" hidden="1" customHeight="1" outlineLevel="1">
      <c r="A444" s="916"/>
      <c r="B444" s="1124"/>
      <c r="C444" s="1128"/>
      <c r="D444" s="1126"/>
      <c r="E444" s="1126"/>
      <c r="F444" s="1132"/>
      <c r="G444" s="100"/>
      <c r="H444" s="98"/>
      <c r="I444" s="1126"/>
      <c r="J444" s="1135"/>
      <c r="K444" s="1135"/>
      <c r="L444" s="916"/>
    </row>
    <row r="445" spans="1:12" s="103" customFormat="1" ht="15.75" hidden="1" customHeight="1" outlineLevel="1">
      <c r="A445" s="916"/>
      <c r="B445" s="1123">
        <v>145</v>
      </c>
      <c r="C445" s="1127"/>
      <c r="D445" s="1125"/>
      <c r="E445" s="1125" t="s">
        <v>18</v>
      </c>
      <c r="F445" s="1130" t="str">
        <f>VLOOKUP(E445,$N$13:$O$17,2,0)</f>
        <v>-</v>
      </c>
      <c r="G445" s="92"/>
      <c r="H445" s="90"/>
      <c r="I445" s="1125"/>
      <c r="J445" s="1133"/>
      <c r="K445" s="1133"/>
      <c r="L445" s="916"/>
    </row>
    <row r="446" spans="1:12" s="103" customFormat="1" ht="15.75" hidden="1" customHeight="1" outlineLevel="1">
      <c r="A446" s="916"/>
      <c r="B446" s="1123"/>
      <c r="C446" s="1127"/>
      <c r="D446" s="1125"/>
      <c r="E446" s="1125"/>
      <c r="F446" s="1130"/>
      <c r="G446" s="95"/>
      <c r="H446" s="90"/>
      <c r="I446" s="1125"/>
      <c r="J446" s="1134"/>
      <c r="K446" s="1134"/>
      <c r="L446" s="916"/>
    </row>
    <row r="447" spans="1:12" s="103" customFormat="1" ht="15.75" hidden="1" customHeight="1" outlineLevel="1">
      <c r="A447" s="916"/>
      <c r="B447" s="1124"/>
      <c r="C447" s="1128"/>
      <c r="D447" s="1126"/>
      <c r="E447" s="1126"/>
      <c r="F447" s="1132"/>
      <c r="G447" s="100"/>
      <c r="H447" s="98"/>
      <c r="I447" s="1126"/>
      <c r="J447" s="1135"/>
      <c r="K447" s="1135"/>
      <c r="L447" s="916"/>
    </row>
    <row r="448" spans="1:12" s="103" customFormat="1" ht="15.75" hidden="1" customHeight="1" outlineLevel="1">
      <c r="A448" s="916"/>
      <c r="B448" s="1123">
        <v>146</v>
      </c>
      <c r="C448" s="1127"/>
      <c r="D448" s="1125"/>
      <c r="E448" s="1125" t="s">
        <v>18</v>
      </c>
      <c r="F448" s="1130" t="str">
        <f>VLOOKUP(E448,$N$13:$O$17,2,0)</f>
        <v>-</v>
      </c>
      <c r="G448" s="92"/>
      <c r="H448" s="90"/>
      <c r="I448" s="1125"/>
      <c r="J448" s="1133"/>
      <c r="K448" s="1133"/>
      <c r="L448" s="916"/>
    </row>
    <row r="449" spans="1:12" s="103" customFormat="1" ht="15.75" hidden="1" customHeight="1" outlineLevel="1">
      <c r="A449" s="916"/>
      <c r="B449" s="1123"/>
      <c r="C449" s="1127"/>
      <c r="D449" s="1125"/>
      <c r="E449" s="1125"/>
      <c r="F449" s="1130"/>
      <c r="G449" s="95"/>
      <c r="H449" s="90"/>
      <c r="I449" s="1125"/>
      <c r="J449" s="1134"/>
      <c r="K449" s="1134"/>
      <c r="L449" s="916"/>
    </row>
    <row r="450" spans="1:12" s="103" customFormat="1" ht="15.75" hidden="1" customHeight="1" outlineLevel="1">
      <c r="A450" s="916"/>
      <c r="B450" s="1124"/>
      <c r="C450" s="1128"/>
      <c r="D450" s="1126"/>
      <c r="E450" s="1126"/>
      <c r="F450" s="1132"/>
      <c r="G450" s="100"/>
      <c r="H450" s="98"/>
      <c r="I450" s="1126"/>
      <c r="J450" s="1135"/>
      <c r="K450" s="1135"/>
      <c r="L450" s="916"/>
    </row>
    <row r="451" spans="1:12" s="103" customFormat="1" ht="15.75" hidden="1" customHeight="1" outlineLevel="1">
      <c r="A451" s="916"/>
      <c r="B451" s="1123">
        <v>147</v>
      </c>
      <c r="C451" s="1127"/>
      <c r="D451" s="1125"/>
      <c r="E451" s="1125" t="s">
        <v>18</v>
      </c>
      <c r="F451" s="1130" t="str">
        <f>VLOOKUP(E451,$N$13:$O$17,2,0)</f>
        <v>-</v>
      </c>
      <c r="G451" s="92"/>
      <c r="H451" s="90"/>
      <c r="I451" s="1125"/>
      <c r="J451" s="1133"/>
      <c r="K451" s="1133"/>
      <c r="L451" s="916"/>
    </row>
    <row r="452" spans="1:12" s="103" customFormat="1" ht="15.75" hidden="1" customHeight="1" outlineLevel="1">
      <c r="A452" s="916"/>
      <c r="B452" s="1123"/>
      <c r="C452" s="1127"/>
      <c r="D452" s="1125"/>
      <c r="E452" s="1125"/>
      <c r="F452" s="1130"/>
      <c r="G452" s="95"/>
      <c r="H452" s="90"/>
      <c r="I452" s="1125"/>
      <c r="J452" s="1134"/>
      <c r="K452" s="1134"/>
      <c r="L452" s="916"/>
    </row>
    <row r="453" spans="1:12" s="103" customFormat="1" ht="15.75" hidden="1" customHeight="1" outlineLevel="1">
      <c r="A453" s="916"/>
      <c r="B453" s="1124"/>
      <c r="C453" s="1128"/>
      <c r="D453" s="1126"/>
      <c r="E453" s="1126"/>
      <c r="F453" s="1132"/>
      <c r="G453" s="100"/>
      <c r="H453" s="98"/>
      <c r="I453" s="1126"/>
      <c r="J453" s="1135"/>
      <c r="K453" s="1135"/>
      <c r="L453" s="916"/>
    </row>
    <row r="454" spans="1:12" s="103" customFormat="1" ht="15.75" hidden="1" customHeight="1" outlineLevel="1">
      <c r="A454" s="916"/>
      <c r="B454" s="1123">
        <v>148</v>
      </c>
      <c r="C454" s="1127"/>
      <c r="D454" s="1125"/>
      <c r="E454" s="1125" t="s">
        <v>18</v>
      </c>
      <c r="F454" s="1130" t="str">
        <f>VLOOKUP(E454,$N$13:$O$17,2,0)</f>
        <v>-</v>
      </c>
      <c r="G454" s="92"/>
      <c r="H454" s="90"/>
      <c r="I454" s="1125"/>
      <c r="J454" s="1133"/>
      <c r="K454" s="1133"/>
      <c r="L454" s="916"/>
    </row>
    <row r="455" spans="1:12" s="103" customFormat="1" ht="15.75" hidden="1" customHeight="1" outlineLevel="1">
      <c r="A455" s="916"/>
      <c r="B455" s="1123"/>
      <c r="C455" s="1127"/>
      <c r="D455" s="1125"/>
      <c r="E455" s="1125"/>
      <c r="F455" s="1130"/>
      <c r="G455" s="95"/>
      <c r="H455" s="90"/>
      <c r="I455" s="1125"/>
      <c r="J455" s="1134"/>
      <c r="K455" s="1134"/>
      <c r="L455" s="916"/>
    </row>
    <row r="456" spans="1:12" s="103" customFormat="1" ht="15.75" hidden="1" customHeight="1" outlineLevel="1">
      <c r="A456" s="916"/>
      <c r="B456" s="1124"/>
      <c r="C456" s="1128"/>
      <c r="D456" s="1126"/>
      <c r="E456" s="1126"/>
      <c r="F456" s="1132"/>
      <c r="G456" s="100"/>
      <c r="H456" s="98"/>
      <c r="I456" s="1126"/>
      <c r="J456" s="1135"/>
      <c r="K456" s="1135"/>
      <c r="L456" s="916"/>
    </row>
    <row r="457" spans="1:12" s="103" customFormat="1" ht="15.75" hidden="1" customHeight="1" outlineLevel="1">
      <c r="A457" s="916"/>
      <c r="B457" s="1123">
        <v>149</v>
      </c>
      <c r="C457" s="1127"/>
      <c r="D457" s="1125"/>
      <c r="E457" s="1125" t="s">
        <v>18</v>
      </c>
      <c r="F457" s="1130" t="str">
        <f>VLOOKUP(E457,$N$13:$O$17,2,0)</f>
        <v>-</v>
      </c>
      <c r="G457" s="92"/>
      <c r="H457" s="90"/>
      <c r="I457" s="1125"/>
      <c r="J457" s="1133"/>
      <c r="K457" s="1133"/>
      <c r="L457" s="916"/>
    </row>
    <row r="458" spans="1:12" s="103" customFormat="1" ht="15.75" hidden="1" customHeight="1" outlineLevel="1">
      <c r="A458" s="916"/>
      <c r="B458" s="1123"/>
      <c r="C458" s="1127"/>
      <c r="D458" s="1125"/>
      <c r="E458" s="1125"/>
      <c r="F458" s="1130"/>
      <c r="G458" s="95"/>
      <c r="H458" s="90"/>
      <c r="I458" s="1125"/>
      <c r="J458" s="1134"/>
      <c r="K458" s="1134"/>
      <c r="L458" s="916"/>
    </row>
    <row r="459" spans="1:12" s="103" customFormat="1" ht="15.75" hidden="1" customHeight="1" outlineLevel="1">
      <c r="A459" s="916"/>
      <c r="B459" s="1124"/>
      <c r="C459" s="1128"/>
      <c r="D459" s="1126"/>
      <c r="E459" s="1126"/>
      <c r="F459" s="1132"/>
      <c r="G459" s="100"/>
      <c r="H459" s="98"/>
      <c r="I459" s="1126"/>
      <c r="J459" s="1135"/>
      <c r="K459" s="1135"/>
      <c r="L459" s="916"/>
    </row>
    <row r="460" spans="1:12" s="103" customFormat="1" ht="15.75" hidden="1" customHeight="1" outlineLevel="1">
      <c r="A460" s="916"/>
      <c r="B460" s="1123">
        <v>150</v>
      </c>
      <c r="C460" s="1127"/>
      <c r="D460" s="1125"/>
      <c r="E460" s="1125" t="s">
        <v>18</v>
      </c>
      <c r="F460" s="1130" t="str">
        <f>VLOOKUP(E460,$N$13:$O$17,2,0)</f>
        <v>-</v>
      </c>
      <c r="G460" s="92"/>
      <c r="H460" s="90"/>
      <c r="I460" s="1125"/>
      <c r="J460" s="1133"/>
      <c r="K460" s="1133"/>
      <c r="L460" s="916"/>
    </row>
    <row r="461" spans="1:12" s="103" customFormat="1" ht="15.75" hidden="1" customHeight="1" outlineLevel="1">
      <c r="A461" s="916"/>
      <c r="B461" s="1123"/>
      <c r="C461" s="1127"/>
      <c r="D461" s="1125"/>
      <c r="E461" s="1125"/>
      <c r="F461" s="1130"/>
      <c r="G461" s="95"/>
      <c r="H461" s="90"/>
      <c r="I461" s="1125"/>
      <c r="J461" s="1134"/>
      <c r="K461" s="1134"/>
      <c r="L461" s="916"/>
    </row>
    <row r="462" spans="1:12" s="103" customFormat="1" ht="15.75" hidden="1" customHeight="1" outlineLevel="1">
      <c r="A462" s="916"/>
      <c r="B462" s="1124"/>
      <c r="C462" s="1128"/>
      <c r="D462" s="1126"/>
      <c r="E462" s="1126"/>
      <c r="F462" s="1132"/>
      <c r="G462" s="100"/>
      <c r="H462" s="98"/>
      <c r="I462" s="1126"/>
      <c r="J462" s="1135"/>
      <c r="K462" s="1135"/>
      <c r="L462" s="916"/>
    </row>
    <row r="463" spans="1:12" s="103" customFormat="1" ht="15.75" hidden="1" customHeight="1" outlineLevel="1">
      <c r="A463" s="916"/>
      <c r="B463" s="1123">
        <v>151</v>
      </c>
      <c r="C463" s="1127"/>
      <c r="D463" s="1125"/>
      <c r="E463" s="1125" t="s">
        <v>18</v>
      </c>
      <c r="F463" s="1130" t="str">
        <f>VLOOKUP(E463,$N$13:$O$17,2,0)</f>
        <v>-</v>
      </c>
      <c r="G463" s="92"/>
      <c r="H463" s="90"/>
      <c r="I463" s="1125"/>
      <c r="J463" s="1133"/>
      <c r="K463" s="1133"/>
      <c r="L463" s="916"/>
    </row>
    <row r="464" spans="1:12" s="103" customFormat="1" ht="15.75" hidden="1" customHeight="1" outlineLevel="1">
      <c r="A464" s="916"/>
      <c r="B464" s="1123"/>
      <c r="C464" s="1127"/>
      <c r="D464" s="1125"/>
      <c r="E464" s="1125"/>
      <c r="F464" s="1130"/>
      <c r="G464" s="95"/>
      <c r="H464" s="90"/>
      <c r="I464" s="1125"/>
      <c r="J464" s="1134"/>
      <c r="K464" s="1134"/>
      <c r="L464" s="916"/>
    </row>
    <row r="465" spans="1:12" s="103" customFormat="1" ht="15.75" hidden="1" customHeight="1" outlineLevel="1">
      <c r="A465" s="916"/>
      <c r="B465" s="1124"/>
      <c r="C465" s="1128"/>
      <c r="D465" s="1126"/>
      <c r="E465" s="1126"/>
      <c r="F465" s="1132"/>
      <c r="G465" s="100"/>
      <c r="H465" s="98"/>
      <c r="I465" s="1126"/>
      <c r="J465" s="1135"/>
      <c r="K465" s="1135"/>
      <c r="L465" s="916"/>
    </row>
    <row r="466" spans="1:12" s="103" customFormat="1" ht="15.75" hidden="1" customHeight="1" outlineLevel="1">
      <c r="A466" s="916"/>
      <c r="B466" s="1123">
        <v>152</v>
      </c>
      <c r="C466" s="1127"/>
      <c r="D466" s="1125"/>
      <c r="E466" s="1125" t="s">
        <v>18</v>
      </c>
      <c r="F466" s="1130" t="str">
        <f>VLOOKUP(E466,$N$13:$O$17,2,0)</f>
        <v>-</v>
      </c>
      <c r="G466" s="92"/>
      <c r="H466" s="90"/>
      <c r="I466" s="1125"/>
      <c r="J466" s="1133"/>
      <c r="K466" s="1133"/>
      <c r="L466" s="916"/>
    </row>
    <row r="467" spans="1:12" s="103" customFormat="1" ht="15.75" hidden="1" customHeight="1" outlineLevel="1">
      <c r="A467" s="916"/>
      <c r="B467" s="1123"/>
      <c r="C467" s="1127"/>
      <c r="D467" s="1125"/>
      <c r="E467" s="1125"/>
      <c r="F467" s="1130"/>
      <c r="G467" s="95"/>
      <c r="H467" s="90"/>
      <c r="I467" s="1125"/>
      <c r="J467" s="1134"/>
      <c r="K467" s="1134"/>
      <c r="L467" s="916"/>
    </row>
    <row r="468" spans="1:12" s="103" customFormat="1" ht="15.75" hidden="1" customHeight="1" outlineLevel="1">
      <c r="A468" s="916"/>
      <c r="B468" s="1124"/>
      <c r="C468" s="1128"/>
      <c r="D468" s="1126"/>
      <c r="E468" s="1126"/>
      <c r="F468" s="1132"/>
      <c r="G468" s="100"/>
      <c r="H468" s="98"/>
      <c r="I468" s="1126"/>
      <c r="J468" s="1135"/>
      <c r="K468" s="1135"/>
      <c r="L468" s="916"/>
    </row>
    <row r="469" spans="1:12" s="103" customFormat="1" ht="15.75" hidden="1" customHeight="1" outlineLevel="1">
      <c r="A469" s="916"/>
      <c r="B469" s="1123">
        <v>153</v>
      </c>
      <c r="C469" s="1127"/>
      <c r="D469" s="1125"/>
      <c r="E469" s="1125" t="s">
        <v>18</v>
      </c>
      <c r="F469" s="1130" t="str">
        <f>VLOOKUP(E469,$N$13:$O$17,2,0)</f>
        <v>-</v>
      </c>
      <c r="G469" s="92"/>
      <c r="H469" s="90"/>
      <c r="I469" s="1125"/>
      <c r="J469" s="1133"/>
      <c r="K469" s="1133"/>
      <c r="L469" s="916"/>
    </row>
    <row r="470" spans="1:12" s="103" customFormat="1" ht="15.75" hidden="1" customHeight="1" outlineLevel="1">
      <c r="A470" s="916"/>
      <c r="B470" s="1123"/>
      <c r="C470" s="1127"/>
      <c r="D470" s="1125"/>
      <c r="E470" s="1125"/>
      <c r="F470" s="1130"/>
      <c r="G470" s="95"/>
      <c r="H470" s="90"/>
      <c r="I470" s="1125"/>
      <c r="J470" s="1134"/>
      <c r="K470" s="1134"/>
      <c r="L470" s="916"/>
    </row>
    <row r="471" spans="1:12" s="103" customFormat="1" ht="15.75" hidden="1" customHeight="1" outlineLevel="1">
      <c r="A471" s="916"/>
      <c r="B471" s="1124"/>
      <c r="C471" s="1128"/>
      <c r="D471" s="1126"/>
      <c r="E471" s="1126"/>
      <c r="F471" s="1132"/>
      <c r="G471" s="100"/>
      <c r="H471" s="98"/>
      <c r="I471" s="1126"/>
      <c r="J471" s="1135"/>
      <c r="K471" s="1135"/>
      <c r="L471" s="916"/>
    </row>
    <row r="472" spans="1:12" s="103" customFormat="1" ht="15.75" hidden="1" customHeight="1" outlineLevel="1">
      <c r="A472" s="916"/>
      <c r="B472" s="1123">
        <v>154</v>
      </c>
      <c r="C472" s="1127"/>
      <c r="D472" s="1125"/>
      <c r="E472" s="1125" t="s">
        <v>18</v>
      </c>
      <c r="F472" s="1130" t="str">
        <f>VLOOKUP(E472,$N$13:$O$17,2,0)</f>
        <v>-</v>
      </c>
      <c r="G472" s="92"/>
      <c r="H472" s="90"/>
      <c r="I472" s="1125"/>
      <c r="J472" s="1133"/>
      <c r="K472" s="1133"/>
      <c r="L472" s="916"/>
    </row>
    <row r="473" spans="1:12" s="103" customFormat="1" ht="15.75" hidden="1" customHeight="1" outlineLevel="1">
      <c r="A473" s="916"/>
      <c r="B473" s="1123"/>
      <c r="C473" s="1127"/>
      <c r="D473" s="1125"/>
      <c r="E473" s="1125"/>
      <c r="F473" s="1130"/>
      <c r="G473" s="95"/>
      <c r="H473" s="90"/>
      <c r="I473" s="1125"/>
      <c r="J473" s="1134"/>
      <c r="K473" s="1134"/>
      <c r="L473" s="916"/>
    </row>
    <row r="474" spans="1:12" s="103" customFormat="1" ht="15.75" hidden="1" customHeight="1" outlineLevel="1">
      <c r="A474" s="916"/>
      <c r="B474" s="1124"/>
      <c r="C474" s="1128"/>
      <c r="D474" s="1126"/>
      <c r="E474" s="1126"/>
      <c r="F474" s="1132"/>
      <c r="G474" s="100"/>
      <c r="H474" s="98"/>
      <c r="I474" s="1126"/>
      <c r="J474" s="1135"/>
      <c r="K474" s="1135"/>
      <c r="L474" s="916"/>
    </row>
    <row r="475" spans="1:12" s="103" customFormat="1" ht="15.75" hidden="1" customHeight="1" outlineLevel="1">
      <c r="A475" s="916"/>
      <c r="B475" s="1123">
        <v>155</v>
      </c>
      <c r="C475" s="1127"/>
      <c r="D475" s="1125"/>
      <c r="E475" s="1125" t="s">
        <v>18</v>
      </c>
      <c r="F475" s="1130" t="str">
        <f>VLOOKUP(E475,$N$13:$O$17,2,0)</f>
        <v>-</v>
      </c>
      <c r="G475" s="92"/>
      <c r="H475" s="90"/>
      <c r="I475" s="1125"/>
      <c r="J475" s="1133"/>
      <c r="K475" s="1133"/>
      <c r="L475" s="916"/>
    </row>
    <row r="476" spans="1:12" s="103" customFormat="1" ht="15.75" hidden="1" customHeight="1" outlineLevel="1">
      <c r="A476" s="916"/>
      <c r="B476" s="1123"/>
      <c r="C476" s="1127"/>
      <c r="D476" s="1125"/>
      <c r="E476" s="1125"/>
      <c r="F476" s="1130"/>
      <c r="G476" s="95"/>
      <c r="H476" s="90"/>
      <c r="I476" s="1125"/>
      <c r="J476" s="1134"/>
      <c r="K476" s="1134"/>
      <c r="L476" s="916"/>
    </row>
    <row r="477" spans="1:12" s="103" customFormat="1" ht="15.75" hidden="1" customHeight="1" outlineLevel="1">
      <c r="A477" s="916"/>
      <c r="B477" s="1124"/>
      <c r="C477" s="1128"/>
      <c r="D477" s="1126"/>
      <c r="E477" s="1126"/>
      <c r="F477" s="1132"/>
      <c r="G477" s="100"/>
      <c r="H477" s="98"/>
      <c r="I477" s="1126"/>
      <c r="J477" s="1135"/>
      <c r="K477" s="1135"/>
      <c r="L477" s="916"/>
    </row>
    <row r="478" spans="1:12" s="103" customFormat="1" ht="15.75" hidden="1" customHeight="1" outlineLevel="1">
      <c r="A478" s="916"/>
      <c r="B478" s="1123">
        <v>156</v>
      </c>
      <c r="C478" s="1127"/>
      <c r="D478" s="1125"/>
      <c r="E478" s="1125" t="s">
        <v>18</v>
      </c>
      <c r="F478" s="1130" t="str">
        <f>VLOOKUP(E478,$N$13:$O$17,2,0)</f>
        <v>-</v>
      </c>
      <c r="G478" s="92"/>
      <c r="H478" s="90"/>
      <c r="I478" s="1125"/>
      <c r="J478" s="1133"/>
      <c r="K478" s="1133"/>
      <c r="L478" s="916"/>
    </row>
    <row r="479" spans="1:12" s="103" customFormat="1" ht="15.75" hidden="1" customHeight="1" outlineLevel="1">
      <c r="A479" s="916"/>
      <c r="B479" s="1123"/>
      <c r="C479" s="1127"/>
      <c r="D479" s="1125"/>
      <c r="E479" s="1125"/>
      <c r="F479" s="1130"/>
      <c r="G479" s="95"/>
      <c r="H479" s="90"/>
      <c r="I479" s="1125"/>
      <c r="J479" s="1134"/>
      <c r="K479" s="1134"/>
      <c r="L479" s="916"/>
    </row>
    <row r="480" spans="1:12" s="103" customFormat="1" ht="15.75" hidden="1" customHeight="1" outlineLevel="1">
      <c r="A480" s="916"/>
      <c r="B480" s="1124"/>
      <c r="C480" s="1128"/>
      <c r="D480" s="1126"/>
      <c r="E480" s="1126"/>
      <c r="F480" s="1132"/>
      <c r="G480" s="100"/>
      <c r="H480" s="98"/>
      <c r="I480" s="1126"/>
      <c r="J480" s="1135"/>
      <c r="K480" s="1135"/>
      <c r="L480" s="916"/>
    </row>
    <row r="481" spans="1:12" s="103" customFormat="1" ht="15.75" hidden="1" customHeight="1" outlineLevel="1">
      <c r="A481" s="916"/>
      <c r="B481" s="1123">
        <v>157</v>
      </c>
      <c r="C481" s="1127"/>
      <c r="D481" s="1125"/>
      <c r="E481" s="1125" t="s">
        <v>18</v>
      </c>
      <c r="F481" s="1130" t="str">
        <f>VLOOKUP(E481,$N$13:$O$17,2,0)</f>
        <v>-</v>
      </c>
      <c r="G481" s="92"/>
      <c r="H481" s="90"/>
      <c r="I481" s="1125"/>
      <c r="J481" s="1133"/>
      <c r="K481" s="1133"/>
      <c r="L481" s="916"/>
    </row>
    <row r="482" spans="1:12" s="103" customFormat="1" ht="15.75" hidden="1" customHeight="1" outlineLevel="1">
      <c r="A482" s="916"/>
      <c r="B482" s="1123"/>
      <c r="C482" s="1127"/>
      <c r="D482" s="1125"/>
      <c r="E482" s="1125"/>
      <c r="F482" s="1130"/>
      <c r="G482" s="95"/>
      <c r="H482" s="90"/>
      <c r="I482" s="1125"/>
      <c r="J482" s="1134"/>
      <c r="K482" s="1134"/>
      <c r="L482" s="916"/>
    </row>
    <row r="483" spans="1:12" s="103" customFormat="1" ht="15.75" hidden="1" customHeight="1" outlineLevel="1">
      <c r="A483" s="916"/>
      <c r="B483" s="1124"/>
      <c r="C483" s="1128"/>
      <c r="D483" s="1126"/>
      <c r="E483" s="1126"/>
      <c r="F483" s="1132"/>
      <c r="G483" s="100"/>
      <c r="H483" s="98"/>
      <c r="I483" s="1126"/>
      <c r="J483" s="1135"/>
      <c r="K483" s="1135"/>
      <c r="L483" s="916"/>
    </row>
    <row r="484" spans="1:12" s="103" customFormat="1" ht="15.75" hidden="1" customHeight="1" outlineLevel="1">
      <c r="A484" s="916"/>
      <c r="B484" s="1123">
        <v>158</v>
      </c>
      <c r="C484" s="1127"/>
      <c r="D484" s="1125"/>
      <c r="E484" s="1125" t="s">
        <v>18</v>
      </c>
      <c r="F484" s="1130" t="str">
        <f>VLOOKUP(E484,$N$13:$O$17,2,0)</f>
        <v>-</v>
      </c>
      <c r="G484" s="92"/>
      <c r="H484" s="90"/>
      <c r="I484" s="1125"/>
      <c r="J484" s="1133"/>
      <c r="K484" s="1133"/>
      <c r="L484" s="916"/>
    </row>
    <row r="485" spans="1:12" s="103" customFormat="1" ht="15.75" hidden="1" customHeight="1" outlineLevel="1">
      <c r="A485" s="916"/>
      <c r="B485" s="1123"/>
      <c r="C485" s="1127"/>
      <c r="D485" s="1125"/>
      <c r="E485" s="1125"/>
      <c r="F485" s="1130"/>
      <c r="G485" s="95"/>
      <c r="H485" s="90"/>
      <c r="I485" s="1125"/>
      <c r="J485" s="1134"/>
      <c r="K485" s="1134"/>
      <c r="L485" s="916"/>
    </row>
    <row r="486" spans="1:12" s="103" customFormat="1" ht="15.75" hidden="1" customHeight="1" outlineLevel="1">
      <c r="A486" s="916"/>
      <c r="B486" s="1124"/>
      <c r="C486" s="1128"/>
      <c r="D486" s="1126"/>
      <c r="E486" s="1126"/>
      <c r="F486" s="1132"/>
      <c r="G486" s="100"/>
      <c r="H486" s="98"/>
      <c r="I486" s="1126"/>
      <c r="J486" s="1135"/>
      <c r="K486" s="1135"/>
      <c r="L486" s="916"/>
    </row>
    <row r="487" spans="1:12" s="103" customFormat="1" ht="15.75" hidden="1" customHeight="1" outlineLevel="1">
      <c r="A487" s="916"/>
      <c r="B487" s="1123">
        <v>159</v>
      </c>
      <c r="C487" s="1127"/>
      <c r="D487" s="1125"/>
      <c r="E487" s="1125" t="s">
        <v>18</v>
      </c>
      <c r="F487" s="1130" t="str">
        <f>VLOOKUP(E487,$N$13:$O$17,2,0)</f>
        <v>-</v>
      </c>
      <c r="G487" s="92"/>
      <c r="H487" s="90"/>
      <c r="I487" s="1125"/>
      <c r="J487" s="1133"/>
      <c r="K487" s="1133"/>
      <c r="L487" s="916"/>
    </row>
    <row r="488" spans="1:12" s="103" customFormat="1" ht="15.75" hidden="1" customHeight="1" outlineLevel="1">
      <c r="A488" s="916"/>
      <c r="B488" s="1123"/>
      <c r="C488" s="1127"/>
      <c r="D488" s="1125"/>
      <c r="E488" s="1125"/>
      <c r="F488" s="1130"/>
      <c r="G488" s="95"/>
      <c r="H488" s="90"/>
      <c r="I488" s="1125"/>
      <c r="J488" s="1134"/>
      <c r="K488" s="1134"/>
      <c r="L488" s="916"/>
    </row>
    <row r="489" spans="1:12" s="103" customFormat="1" ht="15.75" hidden="1" customHeight="1" outlineLevel="1">
      <c r="A489" s="916"/>
      <c r="B489" s="1124"/>
      <c r="C489" s="1128"/>
      <c r="D489" s="1126"/>
      <c r="E489" s="1126"/>
      <c r="F489" s="1132"/>
      <c r="G489" s="100"/>
      <c r="H489" s="98"/>
      <c r="I489" s="1126"/>
      <c r="J489" s="1135"/>
      <c r="K489" s="1135"/>
      <c r="L489" s="916"/>
    </row>
    <row r="490" spans="1:12" s="103" customFormat="1" ht="15.75" hidden="1" customHeight="1" outlineLevel="1">
      <c r="A490" s="916"/>
      <c r="B490" s="1123">
        <v>160</v>
      </c>
      <c r="C490" s="1127"/>
      <c r="D490" s="1125"/>
      <c r="E490" s="1125" t="s">
        <v>18</v>
      </c>
      <c r="F490" s="1130" t="str">
        <f>VLOOKUP(E490,$N$13:$O$17,2,0)</f>
        <v>-</v>
      </c>
      <c r="G490" s="92"/>
      <c r="H490" s="90"/>
      <c r="I490" s="1125"/>
      <c r="J490" s="1133"/>
      <c r="K490" s="1133"/>
      <c r="L490" s="916"/>
    </row>
    <row r="491" spans="1:12" s="103" customFormat="1" ht="15.75" hidden="1" customHeight="1" outlineLevel="1">
      <c r="A491" s="916"/>
      <c r="B491" s="1123"/>
      <c r="C491" s="1127"/>
      <c r="D491" s="1125"/>
      <c r="E491" s="1125"/>
      <c r="F491" s="1130"/>
      <c r="G491" s="95"/>
      <c r="H491" s="90"/>
      <c r="I491" s="1125"/>
      <c r="J491" s="1134"/>
      <c r="K491" s="1134"/>
      <c r="L491" s="916"/>
    </row>
    <row r="492" spans="1:12" s="103" customFormat="1" ht="15.75" hidden="1" customHeight="1" outlineLevel="1">
      <c r="A492" s="916"/>
      <c r="B492" s="1124"/>
      <c r="C492" s="1128"/>
      <c r="D492" s="1126"/>
      <c r="E492" s="1126"/>
      <c r="F492" s="1132"/>
      <c r="G492" s="100"/>
      <c r="H492" s="98"/>
      <c r="I492" s="1126"/>
      <c r="J492" s="1135"/>
      <c r="K492" s="1135"/>
      <c r="L492" s="916"/>
    </row>
    <row r="493" spans="1:12" s="103" customFormat="1" ht="15.75" hidden="1" customHeight="1" outlineLevel="1">
      <c r="A493" s="916"/>
      <c r="B493" s="1123">
        <v>161</v>
      </c>
      <c r="C493" s="1127"/>
      <c r="D493" s="1125"/>
      <c r="E493" s="1125" t="s">
        <v>18</v>
      </c>
      <c r="F493" s="1130" t="str">
        <f>VLOOKUP(E493,$N$13:$O$17,2,0)</f>
        <v>-</v>
      </c>
      <c r="G493" s="92"/>
      <c r="H493" s="90"/>
      <c r="I493" s="1125"/>
      <c r="J493" s="1133"/>
      <c r="K493" s="1133"/>
      <c r="L493" s="916"/>
    </row>
    <row r="494" spans="1:12" s="103" customFormat="1" ht="15.75" hidden="1" customHeight="1" outlineLevel="1">
      <c r="A494" s="916"/>
      <c r="B494" s="1123"/>
      <c r="C494" s="1127"/>
      <c r="D494" s="1125"/>
      <c r="E494" s="1125"/>
      <c r="F494" s="1130"/>
      <c r="G494" s="95"/>
      <c r="H494" s="90"/>
      <c r="I494" s="1125"/>
      <c r="J494" s="1134"/>
      <c r="K494" s="1134"/>
      <c r="L494" s="916"/>
    </row>
    <row r="495" spans="1:12" s="103" customFormat="1" ht="15.75" hidden="1" customHeight="1" outlineLevel="1">
      <c r="A495" s="916"/>
      <c r="B495" s="1124"/>
      <c r="C495" s="1128"/>
      <c r="D495" s="1126"/>
      <c r="E495" s="1126"/>
      <c r="F495" s="1132"/>
      <c r="G495" s="100"/>
      <c r="H495" s="98"/>
      <c r="I495" s="1126"/>
      <c r="J495" s="1135"/>
      <c r="K495" s="1135"/>
      <c r="L495" s="916"/>
    </row>
    <row r="496" spans="1:12" s="103" customFormat="1" ht="15.75" hidden="1" customHeight="1" outlineLevel="1">
      <c r="A496" s="916"/>
      <c r="B496" s="1123">
        <v>162</v>
      </c>
      <c r="C496" s="1127"/>
      <c r="D496" s="1125"/>
      <c r="E496" s="1125" t="s">
        <v>18</v>
      </c>
      <c r="F496" s="1130" t="str">
        <f>VLOOKUP(E496,$N$13:$O$17,2,0)</f>
        <v>-</v>
      </c>
      <c r="G496" s="92"/>
      <c r="H496" s="90"/>
      <c r="I496" s="1125"/>
      <c r="J496" s="1133"/>
      <c r="K496" s="1133"/>
      <c r="L496" s="916"/>
    </row>
    <row r="497" spans="1:12" s="103" customFormat="1" ht="15.75" hidden="1" customHeight="1" outlineLevel="1">
      <c r="A497" s="916"/>
      <c r="B497" s="1123"/>
      <c r="C497" s="1127"/>
      <c r="D497" s="1125"/>
      <c r="E497" s="1125"/>
      <c r="F497" s="1130"/>
      <c r="G497" s="95"/>
      <c r="H497" s="90"/>
      <c r="I497" s="1125"/>
      <c r="J497" s="1134"/>
      <c r="K497" s="1134"/>
      <c r="L497" s="916"/>
    </row>
    <row r="498" spans="1:12" s="103" customFormat="1" ht="15.75" hidden="1" customHeight="1" outlineLevel="1">
      <c r="A498" s="916"/>
      <c r="B498" s="1124"/>
      <c r="C498" s="1128"/>
      <c r="D498" s="1126"/>
      <c r="E498" s="1126"/>
      <c r="F498" s="1132"/>
      <c r="G498" s="100"/>
      <c r="H498" s="98"/>
      <c r="I498" s="1126"/>
      <c r="J498" s="1135"/>
      <c r="K498" s="1135"/>
      <c r="L498" s="916"/>
    </row>
    <row r="499" spans="1:12" s="103" customFormat="1" ht="15.75" hidden="1" customHeight="1" outlineLevel="1">
      <c r="A499" s="916"/>
      <c r="B499" s="1123">
        <v>163</v>
      </c>
      <c r="C499" s="1127"/>
      <c r="D499" s="1125"/>
      <c r="E499" s="1125" t="s">
        <v>18</v>
      </c>
      <c r="F499" s="1130" t="str">
        <f>VLOOKUP(E499,$N$13:$O$17,2,0)</f>
        <v>-</v>
      </c>
      <c r="G499" s="92"/>
      <c r="H499" s="90"/>
      <c r="I499" s="1125"/>
      <c r="J499" s="1133"/>
      <c r="K499" s="1133"/>
      <c r="L499" s="916"/>
    </row>
    <row r="500" spans="1:12" s="103" customFormat="1" ht="15.75" hidden="1" customHeight="1" outlineLevel="1">
      <c r="A500" s="916"/>
      <c r="B500" s="1123"/>
      <c r="C500" s="1127"/>
      <c r="D500" s="1125"/>
      <c r="E500" s="1125"/>
      <c r="F500" s="1130"/>
      <c r="G500" s="95"/>
      <c r="H500" s="90"/>
      <c r="I500" s="1125"/>
      <c r="J500" s="1134"/>
      <c r="K500" s="1134"/>
      <c r="L500" s="916"/>
    </row>
    <row r="501" spans="1:12" s="103" customFormat="1" ht="15.75" hidden="1" customHeight="1" outlineLevel="1">
      <c r="A501" s="916"/>
      <c r="B501" s="1124"/>
      <c r="C501" s="1128"/>
      <c r="D501" s="1126"/>
      <c r="E501" s="1126"/>
      <c r="F501" s="1132"/>
      <c r="G501" s="100"/>
      <c r="H501" s="98"/>
      <c r="I501" s="1126"/>
      <c r="J501" s="1135"/>
      <c r="K501" s="1135"/>
      <c r="L501" s="916"/>
    </row>
    <row r="502" spans="1:12" s="103" customFormat="1" ht="15.75" hidden="1" customHeight="1" outlineLevel="1">
      <c r="A502" s="916"/>
      <c r="B502" s="1123">
        <v>164</v>
      </c>
      <c r="C502" s="1127"/>
      <c r="D502" s="1125"/>
      <c r="E502" s="1125" t="s">
        <v>18</v>
      </c>
      <c r="F502" s="1130" t="str">
        <f>VLOOKUP(E502,$N$13:$O$17,2,0)</f>
        <v>-</v>
      </c>
      <c r="G502" s="92"/>
      <c r="H502" s="90"/>
      <c r="I502" s="1125"/>
      <c r="J502" s="1133"/>
      <c r="K502" s="1133"/>
      <c r="L502" s="916"/>
    </row>
    <row r="503" spans="1:12" s="103" customFormat="1" ht="15.75" hidden="1" customHeight="1" outlineLevel="1">
      <c r="A503" s="916"/>
      <c r="B503" s="1123"/>
      <c r="C503" s="1127"/>
      <c r="D503" s="1125"/>
      <c r="E503" s="1125"/>
      <c r="F503" s="1130"/>
      <c r="G503" s="95"/>
      <c r="H503" s="90"/>
      <c r="I503" s="1125"/>
      <c r="J503" s="1134"/>
      <c r="K503" s="1134"/>
      <c r="L503" s="916"/>
    </row>
    <row r="504" spans="1:12" s="103" customFormat="1" ht="15.75" hidden="1" customHeight="1" outlineLevel="1">
      <c r="A504" s="916"/>
      <c r="B504" s="1124"/>
      <c r="C504" s="1128"/>
      <c r="D504" s="1126"/>
      <c r="E504" s="1126"/>
      <c r="F504" s="1132"/>
      <c r="G504" s="100"/>
      <c r="H504" s="98"/>
      <c r="I504" s="1126"/>
      <c r="J504" s="1135"/>
      <c r="K504" s="1135"/>
      <c r="L504" s="916"/>
    </row>
    <row r="505" spans="1:12" s="103" customFormat="1" ht="15.75" hidden="1" customHeight="1" outlineLevel="1">
      <c r="A505" s="916"/>
      <c r="B505" s="1123">
        <v>165</v>
      </c>
      <c r="C505" s="1127"/>
      <c r="D505" s="1125"/>
      <c r="E505" s="1125" t="s">
        <v>18</v>
      </c>
      <c r="F505" s="1130" t="str">
        <f>VLOOKUP(E505,$N$13:$O$17,2,0)</f>
        <v>-</v>
      </c>
      <c r="G505" s="92"/>
      <c r="H505" s="90"/>
      <c r="I505" s="1125"/>
      <c r="J505" s="1133"/>
      <c r="K505" s="1133"/>
      <c r="L505" s="916"/>
    </row>
    <row r="506" spans="1:12" s="103" customFormat="1" ht="15.75" hidden="1" customHeight="1" outlineLevel="1">
      <c r="A506" s="916"/>
      <c r="B506" s="1123"/>
      <c r="C506" s="1127"/>
      <c r="D506" s="1125"/>
      <c r="E506" s="1125"/>
      <c r="F506" s="1130"/>
      <c r="G506" s="95"/>
      <c r="H506" s="90"/>
      <c r="I506" s="1125"/>
      <c r="J506" s="1134"/>
      <c r="K506" s="1134"/>
      <c r="L506" s="916"/>
    </row>
    <row r="507" spans="1:12" s="103" customFormat="1" ht="15.75" hidden="1" customHeight="1" outlineLevel="1">
      <c r="A507" s="916"/>
      <c r="B507" s="1124"/>
      <c r="C507" s="1128"/>
      <c r="D507" s="1126"/>
      <c r="E507" s="1126"/>
      <c r="F507" s="1132"/>
      <c r="G507" s="100"/>
      <c r="H507" s="98"/>
      <c r="I507" s="1126"/>
      <c r="J507" s="1135"/>
      <c r="K507" s="1135"/>
      <c r="L507" s="916"/>
    </row>
    <row r="508" spans="1:12" s="103" customFormat="1" ht="15.75" hidden="1" customHeight="1" outlineLevel="1">
      <c r="A508" s="916"/>
      <c r="B508" s="1123">
        <v>166</v>
      </c>
      <c r="C508" s="1127"/>
      <c r="D508" s="1125"/>
      <c r="E508" s="1125" t="s">
        <v>18</v>
      </c>
      <c r="F508" s="1130" t="str">
        <f>VLOOKUP(E508,$N$13:$O$17,2,0)</f>
        <v>-</v>
      </c>
      <c r="G508" s="92"/>
      <c r="H508" s="90"/>
      <c r="I508" s="1125"/>
      <c r="J508" s="1133"/>
      <c r="K508" s="1133"/>
      <c r="L508" s="916"/>
    </row>
    <row r="509" spans="1:12" s="103" customFormat="1" ht="15.75" hidden="1" customHeight="1" outlineLevel="1">
      <c r="A509" s="916"/>
      <c r="B509" s="1123"/>
      <c r="C509" s="1127"/>
      <c r="D509" s="1125"/>
      <c r="E509" s="1125"/>
      <c r="F509" s="1130"/>
      <c r="G509" s="95"/>
      <c r="H509" s="90"/>
      <c r="I509" s="1125"/>
      <c r="J509" s="1134"/>
      <c r="K509" s="1134"/>
      <c r="L509" s="916"/>
    </row>
    <row r="510" spans="1:12" s="103" customFormat="1" ht="15.75" hidden="1" customHeight="1" outlineLevel="1">
      <c r="A510" s="916"/>
      <c r="B510" s="1124"/>
      <c r="C510" s="1128"/>
      <c r="D510" s="1126"/>
      <c r="E510" s="1126"/>
      <c r="F510" s="1132"/>
      <c r="G510" s="100"/>
      <c r="H510" s="98"/>
      <c r="I510" s="1126"/>
      <c r="J510" s="1135"/>
      <c r="K510" s="1135"/>
      <c r="L510" s="916"/>
    </row>
    <row r="511" spans="1:12" s="103" customFormat="1" ht="15.75" hidden="1" customHeight="1" outlineLevel="1">
      <c r="A511" s="916"/>
      <c r="B511" s="1123">
        <v>167</v>
      </c>
      <c r="C511" s="1127"/>
      <c r="D511" s="1125"/>
      <c r="E511" s="1125" t="s">
        <v>18</v>
      </c>
      <c r="F511" s="1130" t="str">
        <f>VLOOKUP(E511,$N$13:$O$17,2,0)</f>
        <v>-</v>
      </c>
      <c r="G511" s="92"/>
      <c r="H511" s="90"/>
      <c r="I511" s="1125"/>
      <c r="J511" s="1133"/>
      <c r="K511" s="1133"/>
      <c r="L511" s="916"/>
    </row>
    <row r="512" spans="1:12" s="103" customFormat="1" ht="15.75" hidden="1" customHeight="1" outlineLevel="1">
      <c r="A512" s="916"/>
      <c r="B512" s="1123"/>
      <c r="C512" s="1127"/>
      <c r="D512" s="1125"/>
      <c r="E512" s="1125"/>
      <c r="F512" s="1130"/>
      <c r="G512" s="95"/>
      <c r="H512" s="90"/>
      <c r="I512" s="1125"/>
      <c r="J512" s="1134"/>
      <c r="K512" s="1134"/>
      <c r="L512" s="916"/>
    </row>
    <row r="513" spans="1:12" s="103" customFormat="1" ht="15.75" hidden="1" customHeight="1" outlineLevel="1">
      <c r="A513" s="916"/>
      <c r="B513" s="1124"/>
      <c r="C513" s="1128"/>
      <c r="D513" s="1126"/>
      <c r="E513" s="1126"/>
      <c r="F513" s="1132"/>
      <c r="G513" s="100"/>
      <c r="H513" s="98"/>
      <c r="I513" s="1126"/>
      <c r="J513" s="1135"/>
      <c r="K513" s="1135"/>
      <c r="L513" s="916"/>
    </row>
    <row r="514" spans="1:12" s="103" customFormat="1" ht="15.75" hidden="1" customHeight="1" outlineLevel="1">
      <c r="A514" s="916"/>
      <c r="B514" s="1123">
        <v>168</v>
      </c>
      <c r="C514" s="1127"/>
      <c r="D514" s="1125"/>
      <c r="E514" s="1125" t="s">
        <v>18</v>
      </c>
      <c r="F514" s="1130" t="str">
        <f>VLOOKUP(E514,$N$13:$O$17,2,0)</f>
        <v>-</v>
      </c>
      <c r="G514" s="92"/>
      <c r="H514" s="90"/>
      <c r="I514" s="1125"/>
      <c r="J514" s="1133"/>
      <c r="K514" s="1133"/>
      <c r="L514" s="916"/>
    </row>
    <row r="515" spans="1:12" s="103" customFormat="1" ht="15.75" hidden="1" customHeight="1" outlineLevel="1">
      <c r="A515" s="916"/>
      <c r="B515" s="1123"/>
      <c r="C515" s="1127"/>
      <c r="D515" s="1125"/>
      <c r="E515" s="1125"/>
      <c r="F515" s="1130"/>
      <c r="G515" s="95"/>
      <c r="H515" s="90"/>
      <c r="I515" s="1125"/>
      <c r="J515" s="1134"/>
      <c r="K515" s="1134"/>
      <c r="L515" s="916"/>
    </row>
    <row r="516" spans="1:12" s="103" customFormat="1" ht="15.75" hidden="1" customHeight="1" outlineLevel="1">
      <c r="A516" s="916"/>
      <c r="B516" s="1124"/>
      <c r="C516" s="1128"/>
      <c r="D516" s="1126"/>
      <c r="E516" s="1126"/>
      <c r="F516" s="1132"/>
      <c r="G516" s="100"/>
      <c r="H516" s="98"/>
      <c r="I516" s="1126"/>
      <c r="J516" s="1135"/>
      <c r="K516" s="1135"/>
      <c r="L516" s="916"/>
    </row>
    <row r="517" spans="1:12" s="103" customFormat="1" ht="15.75" hidden="1" customHeight="1" outlineLevel="1">
      <c r="A517" s="916"/>
      <c r="B517" s="1123">
        <v>169</v>
      </c>
      <c r="C517" s="1127"/>
      <c r="D517" s="1125"/>
      <c r="E517" s="1125" t="s">
        <v>18</v>
      </c>
      <c r="F517" s="1130" t="str">
        <f>VLOOKUP(E517,$N$13:$O$17,2,0)</f>
        <v>-</v>
      </c>
      <c r="G517" s="92"/>
      <c r="H517" s="90"/>
      <c r="I517" s="1125"/>
      <c r="J517" s="1133"/>
      <c r="K517" s="1133"/>
      <c r="L517" s="916"/>
    </row>
    <row r="518" spans="1:12" s="103" customFormat="1" ht="15.75" hidden="1" customHeight="1" outlineLevel="1">
      <c r="A518" s="916"/>
      <c r="B518" s="1123"/>
      <c r="C518" s="1127"/>
      <c r="D518" s="1125"/>
      <c r="E518" s="1125"/>
      <c r="F518" s="1130"/>
      <c r="G518" s="95"/>
      <c r="H518" s="90"/>
      <c r="I518" s="1125"/>
      <c r="J518" s="1134"/>
      <c r="K518" s="1134"/>
      <c r="L518" s="916"/>
    </row>
    <row r="519" spans="1:12" s="103" customFormat="1" ht="15.75" hidden="1" customHeight="1" outlineLevel="1">
      <c r="A519" s="916"/>
      <c r="B519" s="1124"/>
      <c r="C519" s="1128"/>
      <c r="D519" s="1126"/>
      <c r="E519" s="1126"/>
      <c r="F519" s="1132"/>
      <c r="G519" s="100"/>
      <c r="H519" s="98"/>
      <c r="I519" s="1126"/>
      <c r="J519" s="1135"/>
      <c r="K519" s="1135"/>
      <c r="L519" s="916"/>
    </row>
    <row r="520" spans="1:12" s="103" customFormat="1" ht="15.75" hidden="1" customHeight="1" outlineLevel="1">
      <c r="A520" s="916"/>
      <c r="B520" s="1123">
        <v>170</v>
      </c>
      <c r="C520" s="1127"/>
      <c r="D520" s="1125"/>
      <c r="E520" s="1125" t="s">
        <v>18</v>
      </c>
      <c r="F520" s="1130" t="str">
        <f>VLOOKUP(E520,$N$13:$O$17,2,0)</f>
        <v>-</v>
      </c>
      <c r="G520" s="92"/>
      <c r="H520" s="90"/>
      <c r="I520" s="1125"/>
      <c r="J520" s="1133"/>
      <c r="K520" s="1133"/>
      <c r="L520" s="916"/>
    </row>
    <row r="521" spans="1:12" s="103" customFormat="1" ht="15.75" hidden="1" customHeight="1" outlineLevel="1">
      <c r="A521" s="916"/>
      <c r="B521" s="1123"/>
      <c r="C521" s="1127"/>
      <c r="D521" s="1125"/>
      <c r="E521" s="1125"/>
      <c r="F521" s="1130"/>
      <c r="G521" s="95"/>
      <c r="H521" s="90"/>
      <c r="I521" s="1125"/>
      <c r="J521" s="1134"/>
      <c r="K521" s="1134"/>
      <c r="L521" s="916"/>
    </row>
    <row r="522" spans="1:12" s="103" customFormat="1" ht="15.75" hidden="1" customHeight="1" outlineLevel="1">
      <c r="A522" s="916"/>
      <c r="B522" s="1124"/>
      <c r="C522" s="1128"/>
      <c r="D522" s="1126"/>
      <c r="E522" s="1126"/>
      <c r="F522" s="1132"/>
      <c r="G522" s="100"/>
      <c r="H522" s="98"/>
      <c r="I522" s="1126"/>
      <c r="J522" s="1135"/>
      <c r="K522" s="1135"/>
      <c r="L522" s="916"/>
    </row>
    <row r="523" spans="1:12" s="103" customFormat="1" ht="15.75" hidden="1" customHeight="1" outlineLevel="1">
      <c r="A523" s="916"/>
      <c r="B523" s="1123">
        <v>171</v>
      </c>
      <c r="C523" s="1127"/>
      <c r="D523" s="1125"/>
      <c r="E523" s="1125" t="s">
        <v>18</v>
      </c>
      <c r="F523" s="1130" t="str">
        <f>VLOOKUP(E523,$N$13:$O$17,2,0)</f>
        <v>-</v>
      </c>
      <c r="G523" s="92"/>
      <c r="H523" s="90"/>
      <c r="I523" s="1125"/>
      <c r="J523" s="1133"/>
      <c r="K523" s="1133"/>
      <c r="L523" s="916"/>
    </row>
    <row r="524" spans="1:12" s="103" customFormat="1" ht="15.75" hidden="1" customHeight="1" outlineLevel="1">
      <c r="A524" s="916"/>
      <c r="B524" s="1123"/>
      <c r="C524" s="1127"/>
      <c r="D524" s="1125"/>
      <c r="E524" s="1125"/>
      <c r="F524" s="1130"/>
      <c r="G524" s="95"/>
      <c r="H524" s="90"/>
      <c r="I524" s="1125"/>
      <c r="J524" s="1134"/>
      <c r="K524" s="1134"/>
      <c r="L524" s="916"/>
    </row>
    <row r="525" spans="1:12" s="103" customFormat="1" ht="15.75" hidden="1" customHeight="1" outlineLevel="1">
      <c r="A525" s="916"/>
      <c r="B525" s="1124"/>
      <c r="C525" s="1128"/>
      <c r="D525" s="1126"/>
      <c r="E525" s="1126"/>
      <c r="F525" s="1132"/>
      <c r="G525" s="100"/>
      <c r="H525" s="98"/>
      <c r="I525" s="1126"/>
      <c r="J525" s="1135"/>
      <c r="K525" s="1135"/>
      <c r="L525" s="916"/>
    </row>
    <row r="526" spans="1:12" s="103" customFormat="1" ht="15.75" hidden="1" customHeight="1" outlineLevel="1">
      <c r="A526" s="916"/>
      <c r="B526" s="1123">
        <v>172</v>
      </c>
      <c r="C526" s="1127"/>
      <c r="D526" s="1125"/>
      <c r="E526" s="1125" t="s">
        <v>18</v>
      </c>
      <c r="F526" s="1130" t="str">
        <f>VLOOKUP(E526,$N$13:$O$17,2,0)</f>
        <v>-</v>
      </c>
      <c r="G526" s="92"/>
      <c r="H526" s="90"/>
      <c r="I526" s="1125"/>
      <c r="J526" s="1133"/>
      <c r="K526" s="1133"/>
      <c r="L526" s="916"/>
    </row>
    <row r="527" spans="1:12" s="103" customFormat="1" ht="15.75" hidden="1" customHeight="1" outlineLevel="1">
      <c r="A527" s="916"/>
      <c r="B527" s="1123"/>
      <c r="C527" s="1127"/>
      <c r="D527" s="1125"/>
      <c r="E527" s="1125"/>
      <c r="F527" s="1130"/>
      <c r="G527" s="95"/>
      <c r="H527" s="90"/>
      <c r="I527" s="1125"/>
      <c r="J527" s="1134"/>
      <c r="K527" s="1134"/>
      <c r="L527" s="916"/>
    </row>
    <row r="528" spans="1:12" s="103" customFormat="1" ht="15.75" hidden="1" customHeight="1" outlineLevel="1">
      <c r="A528" s="916"/>
      <c r="B528" s="1124"/>
      <c r="C528" s="1128"/>
      <c r="D528" s="1126"/>
      <c r="E528" s="1126"/>
      <c r="F528" s="1132"/>
      <c r="G528" s="100"/>
      <c r="H528" s="98"/>
      <c r="I528" s="1126"/>
      <c r="J528" s="1135"/>
      <c r="K528" s="1135"/>
      <c r="L528" s="916"/>
    </row>
    <row r="529" spans="1:12" s="103" customFormat="1" ht="15.75" hidden="1" customHeight="1" outlineLevel="1">
      <c r="A529" s="916"/>
      <c r="B529" s="1123">
        <v>173</v>
      </c>
      <c r="C529" s="1127"/>
      <c r="D529" s="1125"/>
      <c r="E529" s="1125" t="s">
        <v>18</v>
      </c>
      <c r="F529" s="1130" t="str">
        <f>VLOOKUP(E529,$N$13:$O$17,2,0)</f>
        <v>-</v>
      </c>
      <c r="G529" s="92"/>
      <c r="H529" s="90"/>
      <c r="I529" s="1125"/>
      <c r="J529" s="1133"/>
      <c r="K529" s="1133"/>
      <c r="L529" s="916"/>
    </row>
    <row r="530" spans="1:12" s="103" customFormat="1" ht="15.75" hidden="1" customHeight="1" outlineLevel="1">
      <c r="A530" s="916"/>
      <c r="B530" s="1123"/>
      <c r="C530" s="1127"/>
      <c r="D530" s="1125"/>
      <c r="E530" s="1125"/>
      <c r="F530" s="1130"/>
      <c r="G530" s="95"/>
      <c r="H530" s="90"/>
      <c r="I530" s="1125"/>
      <c r="J530" s="1134"/>
      <c r="K530" s="1134"/>
      <c r="L530" s="916"/>
    </row>
    <row r="531" spans="1:12" s="103" customFormat="1" ht="15.75" hidden="1" customHeight="1" outlineLevel="1">
      <c r="A531" s="916"/>
      <c r="B531" s="1124"/>
      <c r="C531" s="1128"/>
      <c r="D531" s="1126"/>
      <c r="E531" s="1126"/>
      <c r="F531" s="1132"/>
      <c r="G531" s="100"/>
      <c r="H531" s="98"/>
      <c r="I531" s="1126"/>
      <c r="J531" s="1135"/>
      <c r="K531" s="1135"/>
      <c r="L531" s="916"/>
    </row>
    <row r="532" spans="1:12" s="103" customFormat="1" ht="15.75" hidden="1" customHeight="1" outlineLevel="1">
      <c r="A532" s="916"/>
      <c r="B532" s="1123">
        <v>174</v>
      </c>
      <c r="C532" s="1127"/>
      <c r="D532" s="1125"/>
      <c r="E532" s="1125" t="s">
        <v>18</v>
      </c>
      <c r="F532" s="1130" t="str">
        <f>VLOOKUP(E532,$N$13:$O$17,2,0)</f>
        <v>-</v>
      </c>
      <c r="G532" s="92"/>
      <c r="H532" s="90"/>
      <c r="I532" s="1125"/>
      <c r="J532" s="1133"/>
      <c r="K532" s="1133"/>
      <c r="L532" s="916"/>
    </row>
    <row r="533" spans="1:12" s="103" customFormat="1" ht="15.75" hidden="1" customHeight="1" outlineLevel="1">
      <c r="A533" s="916"/>
      <c r="B533" s="1123"/>
      <c r="C533" s="1127"/>
      <c r="D533" s="1125"/>
      <c r="E533" s="1125"/>
      <c r="F533" s="1130"/>
      <c r="G533" s="95"/>
      <c r="H533" s="90"/>
      <c r="I533" s="1125"/>
      <c r="J533" s="1134"/>
      <c r="K533" s="1134"/>
      <c r="L533" s="916"/>
    </row>
    <row r="534" spans="1:12" s="103" customFormat="1" ht="15.75" hidden="1" customHeight="1" outlineLevel="1">
      <c r="A534" s="916"/>
      <c r="B534" s="1124"/>
      <c r="C534" s="1128"/>
      <c r="D534" s="1126"/>
      <c r="E534" s="1126"/>
      <c r="F534" s="1132"/>
      <c r="G534" s="100"/>
      <c r="H534" s="98"/>
      <c r="I534" s="1126"/>
      <c r="J534" s="1135"/>
      <c r="K534" s="1135"/>
      <c r="L534" s="916"/>
    </row>
    <row r="535" spans="1:12" s="103" customFormat="1" ht="15.75" hidden="1" customHeight="1" outlineLevel="1">
      <c r="A535" s="916"/>
      <c r="B535" s="1123">
        <v>175</v>
      </c>
      <c r="C535" s="1127"/>
      <c r="D535" s="1125"/>
      <c r="E535" s="1125" t="s">
        <v>18</v>
      </c>
      <c r="F535" s="1130" t="str">
        <f>VLOOKUP(E535,$N$13:$O$17,2,0)</f>
        <v>-</v>
      </c>
      <c r="G535" s="92"/>
      <c r="H535" s="90"/>
      <c r="I535" s="1125"/>
      <c r="J535" s="1133"/>
      <c r="K535" s="1133"/>
      <c r="L535" s="916"/>
    </row>
    <row r="536" spans="1:12" s="103" customFormat="1" ht="15.75" hidden="1" customHeight="1" outlineLevel="1">
      <c r="A536" s="916"/>
      <c r="B536" s="1123"/>
      <c r="C536" s="1127"/>
      <c r="D536" s="1125"/>
      <c r="E536" s="1125"/>
      <c r="F536" s="1130"/>
      <c r="G536" s="95"/>
      <c r="H536" s="90"/>
      <c r="I536" s="1125"/>
      <c r="J536" s="1134"/>
      <c r="K536" s="1134"/>
      <c r="L536" s="916"/>
    </row>
    <row r="537" spans="1:12" s="103" customFormat="1" ht="15.75" hidden="1" customHeight="1" outlineLevel="1">
      <c r="A537" s="916"/>
      <c r="B537" s="1124"/>
      <c r="C537" s="1128"/>
      <c r="D537" s="1126"/>
      <c r="E537" s="1126"/>
      <c r="F537" s="1132"/>
      <c r="G537" s="100"/>
      <c r="H537" s="98"/>
      <c r="I537" s="1126"/>
      <c r="J537" s="1135"/>
      <c r="K537" s="1135"/>
      <c r="L537" s="916"/>
    </row>
    <row r="538" spans="1:12" s="103" customFormat="1" ht="15.75" hidden="1" customHeight="1" outlineLevel="1">
      <c r="A538" s="916"/>
      <c r="B538" s="1123">
        <v>176</v>
      </c>
      <c r="C538" s="1127"/>
      <c r="D538" s="1125"/>
      <c r="E538" s="1125" t="s">
        <v>18</v>
      </c>
      <c r="F538" s="1130" t="str">
        <f>VLOOKUP(E538,$N$13:$O$17,2,0)</f>
        <v>-</v>
      </c>
      <c r="G538" s="92"/>
      <c r="H538" s="90"/>
      <c r="I538" s="1125"/>
      <c r="J538" s="1133"/>
      <c r="K538" s="1133"/>
      <c r="L538" s="916"/>
    </row>
    <row r="539" spans="1:12" s="103" customFormat="1" ht="15.75" hidden="1" customHeight="1" outlineLevel="1">
      <c r="A539" s="916"/>
      <c r="B539" s="1123"/>
      <c r="C539" s="1127"/>
      <c r="D539" s="1125"/>
      <c r="E539" s="1125"/>
      <c r="F539" s="1130"/>
      <c r="G539" s="95"/>
      <c r="H539" s="90"/>
      <c r="I539" s="1125"/>
      <c r="J539" s="1134"/>
      <c r="K539" s="1134"/>
      <c r="L539" s="916"/>
    </row>
    <row r="540" spans="1:12" s="103" customFormat="1" ht="15.75" hidden="1" customHeight="1" outlineLevel="1">
      <c r="A540" s="916"/>
      <c r="B540" s="1124"/>
      <c r="C540" s="1128"/>
      <c r="D540" s="1126"/>
      <c r="E540" s="1126"/>
      <c r="F540" s="1132"/>
      <c r="G540" s="100"/>
      <c r="H540" s="98"/>
      <c r="I540" s="1126"/>
      <c r="J540" s="1135"/>
      <c r="K540" s="1135"/>
      <c r="L540" s="916"/>
    </row>
    <row r="541" spans="1:12" s="103" customFormat="1" ht="15.75" hidden="1" customHeight="1" outlineLevel="1">
      <c r="A541" s="916"/>
      <c r="B541" s="1123">
        <v>177</v>
      </c>
      <c r="C541" s="1127"/>
      <c r="D541" s="1125"/>
      <c r="E541" s="1125" t="s">
        <v>18</v>
      </c>
      <c r="F541" s="1130" t="str">
        <f>VLOOKUP(E541,$N$13:$O$17,2,0)</f>
        <v>-</v>
      </c>
      <c r="G541" s="92"/>
      <c r="H541" s="90"/>
      <c r="I541" s="1125"/>
      <c r="J541" s="1133"/>
      <c r="K541" s="1133"/>
      <c r="L541" s="916"/>
    </row>
    <row r="542" spans="1:12" s="103" customFormat="1" ht="15.75" hidden="1" customHeight="1" outlineLevel="1">
      <c r="A542" s="916"/>
      <c r="B542" s="1123"/>
      <c r="C542" s="1127"/>
      <c r="D542" s="1125"/>
      <c r="E542" s="1125"/>
      <c r="F542" s="1130"/>
      <c r="G542" s="95"/>
      <c r="H542" s="90"/>
      <c r="I542" s="1125"/>
      <c r="J542" s="1134"/>
      <c r="K542" s="1134"/>
      <c r="L542" s="916"/>
    </row>
    <row r="543" spans="1:12" s="103" customFormat="1" ht="15.75" hidden="1" customHeight="1" outlineLevel="1">
      <c r="A543" s="916"/>
      <c r="B543" s="1124"/>
      <c r="C543" s="1128"/>
      <c r="D543" s="1126"/>
      <c r="E543" s="1126"/>
      <c r="F543" s="1132"/>
      <c r="G543" s="100"/>
      <c r="H543" s="98"/>
      <c r="I543" s="1126"/>
      <c r="J543" s="1135"/>
      <c r="K543" s="1135"/>
      <c r="L543" s="916"/>
    </row>
    <row r="544" spans="1:12" s="103" customFormat="1" ht="15.75" hidden="1" customHeight="1" outlineLevel="1">
      <c r="A544" s="916"/>
      <c r="B544" s="1123">
        <v>178</v>
      </c>
      <c r="C544" s="1127"/>
      <c r="D544" s="1125"/>
      <c r="E544" s="1125" t="s">
        <v>18</v>
      </c>
      <c r="F544" s="1130" t="str">
        <f>VLOOKUP(E544,$N$13:$O$17,2,0)</f>
        <v>-</v>
      </c>
      <c r="G544" s="92"/>
      <c r="H544" s="90"/>
      <c r="I544" s="1125"/>
      <c r="J544" s="1133"/>
      <c r="K544" s="1133"/>
      <c r="L544" s="916"/>
    </row>
    <row r="545" spans="1:12" s="103" customFormat="1" ht="15.75" hidden="1" customHeight="1" outlineLevel="1">
      <c r="A545" s="916"/>
      <c r="B545" s="1123"/>
      <c r="C545" s="1127"/>
      <c r="D545" s="1125"/>
      <c r="E545" s="1125"/>
      <c r="F545" s="1130"/>
      <c r="G545" s="95"/>
      <c r="H545" s="90"/>
      <c r="I545" s="1125"/>
      <c r="J545" s="1134"/>
      <c r="K545" s="1134"/>
      <c r="L545" s="916"/>
    </row>
    <row r="546" spans="1:12" s="103" customFormat="1" ht="15.75" hidden="1" customHeight="1" outlineLevel="1">
      <c r="A546" s="916"/>
      <c r="B546" s="1124"/>
      <c r="C546" s="1128"/>
      <c r="D546" s="1126"/>
      <c r="E546" s="1126"/>
      <c r="F546" s="1132"/>
      <c r="G546" s="100"/>
      <c r="H546" s="98"/>
      <c r="I546" s="1126"/>
      <c r="J546" s="1135"/>
      <c r="K546" s="1135"/>
      <c r="L546" s="916"/>
    </row>
    <row r="547" spans="1:12" s="103" customFormat="1" ht="15.75" hidden="1" customHeight="1" outlineLevel="1">
      <c r="A547" s="916"/>
      <c r="B547" s="1123">
        <v>179</v>
      </c>
      <c r="C547" s="1127"/>
      <c r="D547" s="1125"/>
      <c r="E547" s="1125" t="s">
        <v>18</v>
      </c>
      <c r="F547" s="1130" t="str">
        <f>VLOOKUP(E547,$N$13:$O$17,2,0)</f>
        <v>-</v>
      </c>
      <c r="G547" s="92"/>
      <c r="H547" s="90"/>
      <c r="I547" s="1125"/>
      <c r="J547" s="1133"/>
      <c r="K547" s="1133"/>
      <c r="L547" s="916"/>
    </row>
    <row r="548" spans="1:12" s="103" customFormat="1" ht="15.75" hidden="1" customHeight="1" outlineLevel="1">
      <c r="A548" s="916"/>
      <c r="B548" s="1123"/>
      <c r="C548" s="1127"/>
      <c r="D548" s="1125"/>
      <c r="E548" s="1125"/>
      <c r="F548" s="1130"/>
      <c r="G548" s="95"/>
      <c r="H548" s="90"/>
      <c r="I548" s="1125"/>
      <c r="J548" s="1134"/>
      <c r="K548" s="1134"/>
      <c r="L548" s="916"/>
    </row>
    <row r="549" spans="1:12" s="103" customFormat="1" ht="15.75" hidden="1" customHeight="1" outlineLevel="1">
      <c r="A549" s="916"/>
      <c r="B549" s="1124"/>
      <c r="C549" s="1128"/>
      <c r="D549" s="1126"/>
      <c r="E549" s="1126"/>
      <c r="F549" s="1132"/>
      <c r="G549" s="100"/>
      <c r="H549" s="98"/>
      <c r="I549" s="1126"/>
      <c r="J549" s="1135"/>
      <c r="K549" s="1135"/>
      <c r="L549" s="916"/>
    </row>
    <row r="550" spans="1:12" s="103" customFormat="1" ht="15.75" hidden="1" customHeight="1" outlineLevel="1">
      <c r="A550" s="916"/>
      <c r="B550" s="1123">
        <v>180</v>
      </c>
      <c r="C550" s="1127"/>
      <c r="D550" s="1125"/>
      <c r="E550" s="1125" t="s">
        <v>18</v>
      </c>
      <c r="F550" s="1130" t="str">
        <f>VLOOKUP(E550,$N$13:$O$17,2,0)</f>
        <v>-</v>
      </c>
      <c r="G550" s="92"/>
      <c r="H550" s="90"/>
      <c r="I550" s="1125"/>
      <c r="J550" s="1133"/>
      <c r="K550" s="1133"/>
      <c r="L550" s="916"/>
    </row>
    <row r="551" spans="1:12" s="103" customFormat="1" ht="15.75" hidden="1" customHeight="1" outlineLevel="1">
      <c r="A551" s="916"/>
      <c r="B551" s="1123"/>
      <c r="C551" s="1127"/>
      <c r="D551" s="1125"/>
      <c r="E551" s="1125"/>
      <c r="F551" s="1130"/>
      <c r="G551" s="95"/>
      <c r="H551" s="90"/>
      <c r="I551" s="1125"/>
      <c r="J551" s="1134"/>
      <c r="K551" s="1134"/>
      <c r="L551" s="916"/>
    </row>
    <row r="552" spans="1:12" s="103" customFormat="1" ht="15.75" hidden="1" customHeight="1" outlineLevel="1">
      <c r="A552" s="916"/>
      <c r="B552" s="1124"/>
      <c r="C552" s="1128"/>
      <c r="D552" s="1126"/>
      <c r="E552" s="1126"/>
      <c r="F552" s="1132"/>
      <c r="G552" s="100"/>
      <c r="H552" s="98"/>
      <c r="I552" s="1126"/>
      <c r="J552" s="1135"/>
      <c r="K552" s="1135"/>
      <c r="L552" s="916"/>
    </row>
    <row r="553" spans="1:12" s="103" customFormat="1" ht="15.75" hidden="1" customHeight="1" outlineLevel="1">
      <c r="A553" s="916"/>
      <c r="B553" s="1123">
        <v>181</v>
      </c>
      <c r="C553" s="1127"/>
      <c r="D553" s="1125"/>
      <c r="E553" s="1125" t="s">
        <v>18</v>
      </c>
      <c r="F553" s="1130" t="str">
        <f>VLOOKUP(E553,$N$13:$O$17,2,0)</f>
        <v>-</v>
      </c>
      <c r="G553" s="92"/>
      <c r="H553" s="90"/>
      <c r="I553" s="1125"/>
      <c r="J553" s="1133"/>
      <c r="K553" s="1133"/>
      <c r="L553" s="916"/>
    </row>
    <row r="554" spans="1:12" s="103" customFormat="1" ht="15.75" hidden="1" customHeight="1" outlineLevel="1">
      <c r="A554" s="916"/>
      <c r="B554" s="1123"/>
      <c r="C554" s="1127"/>
      <c r="D554" s="1125"/>
      <c r="E554" s="1125"/>
      <c r="F554" s="1130"/>
      <c r="G554" s="95"/>
      <c r="H554" s="90"/>
      <c r="I554" s="1125"/>
      <c r="J554" s="1134"/>
      <c r="K554" s="1134"/>
      <c r="L554" s="916"/>
    </row>
    <row r="555" spans="1:12" s="103" customFormat="1" ht="15.75" hidden="1" customHeight="1" outlineLevel="1">
      <c r="A555" s="916"/>
      <c r="B555" s="1124"/>
      <c r="C555" s="1128"/>
      <c r="D555" s="1126"/>
      <c r="E555" s="1126"/>
      <c r="F555" s="1132"/>
      <c r="G555" s="100"/>
      <c r="H555" s="98"/>
      <c r="I555" s="1126"/>
      <c r="J555" s="1135"/>
      <c r="K555" s="1135"/>
      <c r="L555" s="916"/>
    </row>
    <row r="556" spans="1:12" s="103" customFormat="1" ht="15.75" hidden="1" customHeight="1" outlineLevel="1">
      <c r="A556" s="916"/>
      <c r="B556" s="1123">
        <v>182</v>
      </c>
      <c r="C556" s="1127"/>
      <c r="D556" s="1125"/>
      <c r="E556" s="1125" t="s">
        <v>18</v>
      </c>
      <c r="F556" s="1130" t="str">
        <f>VLOOKUP(E556,$N$13:$O$17,2,0)</f>
        <v>-</v>
      </c>
      <c r="G556" s="92"/>
      <c r="H556" s="90"/>
      <c r="I556" s="1125"/>
      <c r="J556" s="1133"/>
      <c r="K556" s="1133"/>
      <c r="L556" s="916"/>
    </row>
    <row r="557" spans="1:12" s="103" customFormat="1" ht="15.75" hidden="1" customHeight="1" outlineLevel="1">
      <c r="A557" s="916"/>
      <c r="B557" s="1123"/>
      <c r="C557" s="1127"/>
      <c r="D557" s="1125"/>
      <c r="E557" s="1125"/>
      <c r="F557" s="1130"/>
      <c r="G557" s="95"/>
      <c r="H557" s="90"/>
      <c r="I557" s="1125"/>
      <c r="J557" s="1134"/>
      <c r="K557" s="1134"/>
      <c r="L557" s="916"/>
    </row>
    <row r="558" spans="1:12" s="103" customFormat="1" ht="15.75" hidden="1" customHeight="1" outlineLevel="1">
      <c r="A558" s="916"/>
      <c r="B558" s="1124"/>
      <c r="C558" s="1128"/>
      <c r="D558" s="1126"/>
      <c r="E558" s="1126"/>
      <c r="F558" s="1132"/>
      <c r="G558" s="100"/>
      <c r="H558" s="98"/>
      <c r="I558" s="1126"/>
      <c r="J558" s="1135"/>
      <c r="K558" s="1135"/>
      <c r="L558" s="916"/>
    </row>
    <row r="559" spans="1:12" s="103" customFormat="1" ht="15.75" hidden="1" customHeight="1" outlineLevel="1">
      <c r="A559" s="916"/>
      <c r="B559" s="1123">
        <v>183</v>
      </c>
      <c r="C559" s="1127"/>
      <c r="D559" s="1125"/>
      <c r="E559" s="1125" t="s">
        <v>18</v>
      </c>
      <c r="F559" s="1130" t="str">
        <f>VLOOKUP(E559,$N$13:$O$17,2,0)</f>
        <v>-</v>
      </c>
      <c r="G559" s="92"/>
      <c r="H559" s="90"/>
      <c r="I559" s="1125"/>
      <c r="J559" s="1133"/>
      <c r="K559" s="1133"/>
      <c r="L559" s="916"/>
    </row>
    <row r="560" spans="1:12" s="103" customFormat="1" ht="15.75" hidden="1" customHeight="1" outlineLevel="1">
      <c r="A560" s="916"/>
      <c r="B560" s="1123"/>
      <c r="C560" s="1127"/>
      <c r="D560" s="1125"/>
      <c r="E560" s="1125"/>
      <c r="F560" s="1130"/>
      <c r="G560" s="95"/>
      <c r="H560" s="90"/>
      <c r="I560" s="1125"/>
      <c r="J560" s="1134"/>
      <c r="K560" s="1134"/>
      <c r="L560" s="916"/>
    </row>
    <row r="561" spans="1:12" s="103" customFormat="1" ht="15.75" hidden="1" customHeight="1" outlineLevel="1">
      <c r="A561" s="916"/>
      <c r="B561" s="1124"/>
      <c r="C561" s="1128"/>
      <c r="D561" s="1126"/>
      <c r="E561" s="1126"/>
      <c r="F561" s="1132"/>
      <c r="G561" s="100"/>
      <c r="H561" s="98"/>
      <c r="I561" s="1126"/>
      <c r="J561" s="1135"/>
      <c r="K561" s="1135"/>
      <c r="L561" s="916"/>
    </row>
    <row r="562" spans="1:12" s="103" customFormat="1" ht="15.75" hidden="1" customHeight="1" outlineLevel="1">
      <c r="A562" s="916"/>
      <c r="B562" s="1123">
        <v>184</v>
      </c>
      <c r="C562" s="1127"/>
      <c r="D562" s="1125"/>
      <c r="E562" s="1125" t="s">
        <v>18</v>
      </c>
      <c r="F562" s="1130" t="str">
        <f>VLOOKUP(E562,$N$13:$O$17,2,0)</f>
        <v>-</v>
      </c>
      <c r="G562" s="92"/>
      <c r="H562" s="90"/>
      <c r="I562" s="1125"/>
      <c r="J562" s="1133"/>
      <c r="K562" s="1133"/>
      <c r="L562" s="916"/>
    </row>
    <row r="563" spans="1:12" s="103" customFormat="1" ht="15.75" hidden="1" customHeight="1" outlineLevel="1">
      <c r="A563" s="916"/>
      <c r="B563" s="1123"/>
      <c r="C563" s="1127"/>
      <c r="D563" s="1125"/>
      <c r="E563" s="1125"/>
      <c r="F563" s="1130"/>
      <c r="G563" s="95"/>
      <c r="H563" s="90"/>
      <c r="I563" s="1125"/>
      <c r="J563" s="1134"/>
      <c r="K563" s="1134"/>
      <c r="L563" s="916"/>
    </row>
    <row r="564" spans="1:12" s="103" customFormat="1" ht="15.75" hidden="1" customHeight="1" outlineLevel="1">
      <c r="A564" s="916"/>
      <c r="B564" s="1124"/>
      <c r="C564" s="1128"/>
      <c r="D564" s="1126"/>
      <c r="E564" s="1126"/>
      <c r="F564" s="1132"/>
      <c r="G564" s="100"/>
      <c r="H564" s="98"/>
      <c r="I564" s="1126"/>
      <c r="J564" s="1135"/>
      <c r="K564" s="1135"/>
      <c r="L564" s="916"/>
    </row>
    <row r="565" spans="1:12" s="103" customFormat="1" ht="15.75" hidden="1" customHeight="1" outlineLevel="1">
      <c r="A565" s="916"/>
      <c r="B565" s="1123">
        <v>185</v>
      </c>
      <c r="C565" s="1127"/>
      <c r="D565" s="1125"/>
      <c r="E565" s="1125" t="s">
        <v>18</v>
      </c>
      <c r="F565" s="1130" t="str">
        <f>VLOOKUP(E565,$N$13:$O$17,2,0)</f>
        <v>-</v>
      </c>
      <c r="G565" s="92"/>
      <c r="H565" s="90"/>
      <c r="I565" s="1125"/>
      <c r="J565" s="1133"/>
      <c r="K565" s="1133"/>
      <c r="L565" s="916"/>
    </row>
    <row r="566" spans="1:12" s="103" customFormat="1" ht="15.75" hidden="1" customHeight="1" outlineLevel="1">
      <c r="A566" s="916"/>
      <c r="B566" s="1123"/>
      <c r="C566" s="1127"/>
      <c r="D566" s="1125"/>
      <c r="E566" s="1125"/>
      <c r="F566" s="1130"/>
      <c r="G566" s="95"/>
      <c r="H566" s="90"/>
      <c r="I566" s="1125"/>
      <c r="J566" s="1134"/>
      <c r="K566" s="1134"/>
      <c r="L566" s="916"/>
    </row>
    <row r="567" spans="1:12" s="103" customFormat="1" ht="15.75" hidden="1" customHeight="1" outlineLevel="1">
      <c r="A567" s="916"/>
      <c r="B567" s="1124"/>
      <c r="C567" s="1128"/>
      <c r="D567" s="1126"/>
      <c r="E567" s="1126"/>
      <c r="F567" s="1132"/>
      <c r="G567" s="100"/>
      <c r="H567" s="98"/>
      <c r="I567" s="1126"/>
      <c r="J567" s="1135"/>
      <c r="K567" s="1135"/>
      <c r="L567" s="916"/>
    </row>
    <row r="568" spans="1:12" s="103" customFormat="1" ht="15.75" hidden="1" customHeight="1" outlineLevel="1">
      <c r="A568" s="916"/>
      <c r="B568" s="1123">
        <v>186</v>
      </c>
      <c r="C568" s="1127"/>
      <c r="D568" s="1125"/>
      <c r="E568" s="1125" t="s">
        <v>18</v>
      </c>
      <c r="F568" s="1130" t="str">
        <f>VLOOKUP(E568,$N$13:$O$17,2,0)</f>
        <v>-</v>
      </c>
      <c r="G568" s="92"/>
      <c r="H568" s="90"/>
      <c r="I568" s="1125"/>
      <c r="J568" s="1133"/>
      <c r="K568" s="1133"/>
      <c r="L568" s="916"/>
    </row>
    <row r="569" spans="1:12" s="103" customFormat="1" ht="15.75" hidden="1" customHeight="1" outlineLevel="1">
      <c r="A569" s="916"/>
      <c r="B569" s="1123"/>
      <c r="C569" s="1127"/>
      <c r="D569" s="1125"/>
      <c r="E569" s="1125"/>
      <c r="F569" s="1130"/>
      <c r="G569" s="95"/>
      <c r="H569" s="90"/>
      <c r="I569" s="1125"/>
      <c r="J569" s="1134"/>
      <c r="K569" s="1134"/>
      <c r="L569" s="916"/>
    </row>
    <row r="570" spans="1:12" s="103" customFormat="1" ht="15.75" hidden="1" customHeight="1" outlineLevel="1">
      <c r="A570" s="916"/>
      <c r="B570" s="1124"/>
      <c r="C570" s="1128"/>
      <c r="D570" s="1126"/>
      <c r="E570" s="1126"/>
      <c r="F570" s="1132"/>
      <c r="G570" s="100"/>
      <c r="H570" s="98"/>
      <c r="I570" s="1126"/>
      <c r="J570" s="1135"/>
      <c r="K570" s="1135"/>
      <c r="L570" s="916"/>
    </row>
    <row r="571" spans="1:12" s="103" customFormat="1" ht="15.75" hidden="1" customHeight="1" outlineLevel="1">
      <c r="A571" s="916"/>
      <c r="B571" s="1123">
        <v>187</v>
      </c>
      <c r="C571" s="1127"/>
      <c r="D571" s="1125"/>
      <c r="E571" s="1125" t="s">
        <v>18</v>
      </c>
      <c r="F571" s="1130" t="str">
        <f>VLOOKUP(E571,$N$13:$O$17,2,0)</f>
        <v>-</v>
      </c>
      <c r="G571" s="92"/>
      <c r="H571" s="90"/>
      <c r="I571" s="1125"/>
      <c r="J571" s="1133"/>
      <c r="K571" s="1133"/>
      <c r="L571" s="916"/>
    </row>
    <row r="572" spans="1:12" s="103" customFormat="1" ht="15.75" hidden="1" customHeight="1" outlineLevel="1">
      <c r="A572" s="916"/>
      <c r="B572" s="1123"/>
      <c r="C572" s="1127"/>
      <c r="D572" s="1125"/>
      <c r="E572" s="1125"/>
      <c r="F572" s="1130"/>
      <c r="G572" s="95"/>
      <c r="H572" s="90"/>
      <c r="I572" s="1125"/>
      <c r="J572" s="1134"/>
      <c r="K572" s="1134"/>
      <c r="L572" s="916"/>
    </row>
    <row r="573" spans="1:12" s="103" customFormat="1" ht="15.75" hidden="1" customHeight="1" outlineLevel="1">
      <c r="A573" s="916"/>
      <c r="B573" s="1124"/>
      <c r="C573" s="1128"/>
      <c r="D573" s="1126"/>
      <c r="E573" s="1126"/>
      <c r="F573" s="1132"/>
      <c r="G573" s="100"/>
      <c r="H573" s="98"/>
      <c r="I573" s="1126"/>
      <c r="J573" s="1135"/>
      <c r="K573" s="1135"/>
      <c r="L573" s="916"/>
    </row>
    <row r="574" spans="1:12" s="103" customFormat="1" ht="15.75" hidden="1" customHeight="1" outlineLevel="1">
      <c r="A574" s="916"/>
      <c r="B574" s="1123">
        <v>188</v>
      </c>
      <c r="C574" s="1127"/>
      <c r="D574" s="1125"/>
      <c r="E574" s="1125" t="s">
        <v>18</v>
      </c>
      <c r="F574" s="1130" t="str">
        <f>VLOOKUP(E574,$N$13:$O$17,2,0)</f>
        <v>-</v>
      </c>
      <c r="G574" s="92"/>
      <c r="H574" s="90"/>
      <c r="I574" s="1125"/>
      <c r="J574" s="1133"/>
      <c r="K574" s="1133"/>
      <c r="L574" s="916"/>
    </row>
    <row r="575" spans="1:12" s="103" customFormat="1" ht="15.75" hidden="1" customHeight="1" outlineLevel="1">
      <c r="A575" s="916"/>
      <c r="B575" s="1123"/>
      <c r="C575" s="1127"/>
      <c r="D575" s="1125"/>
      <c r="E575" s="1125"/>
      <c r="F575" s="1130"/>
      <c r="G575" s="95"/>
      <c r="H575" s="90"/>
      <c r="I575" s="1125"/>
      <c r="J575" s="1134"/>
      <c r="K575" s="1134"/>
      <c r="L575" s="916"/>
    </row>
    <row r="576" spans="1:12" s="103" customFormat="1" ht="15.75" hidden="1" customHeight="1" outlineLevel="1">
      <c r="A576" s="916"/>
      <c r="B576" s="1124"/>
      <c r="C576" s="1128"/>
      <c r="D576" s="1126"/>
      <c r="E576" s="1126"/>
      <c r="F576" s="1132"/>
      <c r="G576" s="100"/>
      <c r="H576" s="98"/>
      <c r="I576" s="1126"/>
      <c r="J576" s="1135"/>
      <c r="K576" s="1135"/>
      <c r="L576" s="916"/>
    </row>
    <row r="577" spans="1:12" s="103" customFormat="1" ht="15.75" hidden="1" customHeight="1" outlineLevel="1">
      <c r="A577" s="916"/>
      <c r="B577" s="1123">
        <v>189</v>
      </c>
      <c r="C577" s="1127"/>
      <c r="D577" s="1125"/>
      <c r="E577" s="1125" t="s">
        <v>18</v>
      </c>
      <c r="F577" s="1130" t="str">
        <f>VLOOKUP(E577,$N$13:$O$17,2,0)</f>
        <v>-</v>
      </c>
      <c r="G577" s="92"/>
      <c r="H577" s="90"/>
      <c r="I577" s="1125"/>
      <c r="J577" s="1133"/>
      <c r="K577" s="1133"/>
      <c r="L577" s="916"/>
    </row>
    <row r="578" spans="1:12" s="103" customFormat="1" ht="15.75" hidden="1" customHeight="1" outlineLevel="1">
      <c r="A578" s="916"/>
      <c r="B578" s="1123"/>
      <c r="C578" s="1127"/>
      <c r="D578" s="1125"/>
      <c r="E578" s="1125"/>
      <c r="F578" s="1130"/>
      <c r="G578" s="95"/>
      <c r="H578" s="90"/>
      <c r="I578" s="1125"/>
      <c r="J578" s="1134"/>
      <c r="K578" s="1134"/>
      <c r="L578" s="916"/>
    </row>
    <row r="579" spans="1:12" s="103" customFormat="1" ht="15.75" hidden="1" customHeight="1" outlineLevel="1">
      <c r="A579" s="916"/>
      <c r="B579" s="1124"/>
      <c r="C579" s="1128"/>
      <c r="D579" s="1126"/>
      <c r="E579" s="1126"/>
      <c r="F579" s="1132"/>
      <c r="G579" s="100"/>
      <c r="H579" s="98"/>
      <c r="I579" s="1126"/>
      <c r="J579" s="1135"/>
      <c r="K579" s="1135"/>
      <c r="L579" s="916"/>
    </row>
    <row r="580" spans="1:12" s="103" customFormat="1" ht="15.75" hidden="1" customHeight="1" outlineLevel="1">
      <c r="A580" s="916"/>
      <c r="B580" s="1123">
        <v>190</v>
      </c>
      <c r="C580" s="1127"/>
      <c r="D580" s="1125"/>
      <c r="E580" s="1125" t="s">
        <v>18</v>
      </c>
      <c r="F580" s="1130" t="str">
        <f>VLOOKUP(E580,$N$13:$O$17,2,0)</f>
        <v>-</v>
      </c>
      <c r="G580" s="92"/>
      <c r="H580" s="90"/>
      <c r="I580" s="1125"/>
      <c r="J580" s="1133"/>
      <c r="K580" s="1133"/>
      <c r="L580" s="916"/>
    </row>
    <row r="581" spans="1:12" s="103" customFormat="1" ht="15.75" hidden="1" customHeight="1" outlineLevel="1">
      <c r="A581" s="916"/>
      <c r="B581" s="1123"/>
      <c r="C581" s="1127"/>
      <c r="D581" s="1125"/>
      <c r="E581" s="1125"/>
      <c r="F581" s="1130"/>
      <c r="G581" s="95"/>
      <c r="H581" s="90"/>
      <c r="I581" s="1125"/>
      <c r="J581" s="1134"/>
      <c r="K581" s="1134"/>
      <c r="L581" s="916"/>
    </row>
    <row r="582" spans="1:12" s="103" customFormat="1" ht="15.75" hidden="1" customHeight="1" outlineLevel="1">
      <c r="A582" s="916"/>
      <c r="B582" s="1124"/>
      <c r="C582" s="1128"/>
      <c r="D582" s="1126"/>
      <c r="E582" s="1126"/>
      <c r="F582" s="1132"/>
      <c r="G582" s="100"/>
      <c r="H582" s="98"/>
      <c r="I582" s="1126"/>
      <c r="J582" s="1135"/>
      <c r="K582" s="1135"/>
      <c r="L582" s="916"/>
    </row>
    <row r="583" spans="1:12" s="103" customFormat="1" ht="15.75" hidden="1" customHeight="1" outlineLevel="1">
      <c r="A583" s="916"/>
      <c r="B583" s="1123">
        <v>191</v>
      </c>
      <c r="C583" s="1127"/>
      <c r="D583" s="1125"/>
      <c r="E583" s="1125" t="s">
        <v>18</v>
      </c>
      <c r="F583" s="1130" t="str">
        <f>VLOOKUP(E583,$N$13:$O$17,2,0)</f>
        <v>-</v>
      </c>
      <c r="G583" s="92"/>
      <c r="H583" s="90"/>
      <c r="I583" s="1125"/>
      <c r="J583" s="1133"/>
      <c r="K583" s="1133"/>
      <c r="L583" s="916"/>
    </row>
    <row r="584" spans="1:12" s="103" customFormat="1" ht="15.75" hidden="1" customHeight="1" outlineLevel="1">
      <c r="A584" s="916"/>
      <c r="B584" s="1123"/>
      <c r="C584" s="1127"/>
      <c r="D584" s="1125"/>
      <c r="E584" s="1125"/>
      <c r="F584" s="1130"/>
      <c r="G584" s="95"/>
      <c r="H584" s="90"/>
      <c r="I584" s="1125"/>
      <c r="J584" s="1134"/>
      <c r="K584" s="1134"/>
      <c r="L584" s="916"/>
    </row>
    <row r="585" spans="1:12" s="103" customFormat="1" ht="15.75" hidden="1" customHeight="1" outlineLevel="1">
      <c r="A585" s="916"/>
      <c r="B585" s="1124"/>
      <c r="C585" s="1128"/>
      <c r="D585" s="1126"/>
      <c r="E585" s="1126"/>
      <c r="F585" s="1132"/>
      <c r="G585" s="100"/>
      <c r="H585" s="98"/>
      <c r="I585" s="1126"/>
      <c r="J585" s="1135"/>
      <c r="K585" s="1135"/>
      <c r="L585" s="916"/>
    </row>
    <row r="586" spans="1:12" s="103" customFormat="1" ht="15.75" hidden="1" customHeight="1" outlineLevel="1">
      <c r="A586" s="916"/>
      <c r="B586" s="1123">
        <v>192</v>
      </c>
      <c r="C586" s="1127"/>
      <c r="D586" s="1125"/>
      <c r="E586" s="1125" t="s">
        <v>18</v>
      </c>
      <c r="F586" s="1130" t="str">
        <f>VLOOKUP(E586,$N$13:$O$17,2,0)</f>
        <v>-</v>
      </c>
      <c r="G586" s="92"/>
      <c r="H586" s="90"/>
      <c r="I586" s="1125"/>
      <c r="J586" s="1133"/>
      <c r="K586" s="1133"/>
      <c r="L586" s="916"/>
    </row>
    <row r="587" spans="1:12" s="103" customFormat="1" ht="15.75" hidden="1" customHeight="1" outlineLevel="1">
      <c r="A587" s="916"/>
      <c r="B587" s="1123"/>
      <c r="C587" s="1127"/>
      <c r="D587" s="1125"/>
      <c r="E587" s="1125"/>
      <c r="F587" s="1130"/>
      <c r="G587" s="95"/>
      <c r="H587" s="90"/>
      <c r="I587" s="1125"/>
      <c r="J587" s="1134"/>
      <c r="K587" s="1134"/>
      <c r="L587" s="916"/>
    </row>
    <row r="588" spans="1:12" s="103" customFormat="1" ht="15.75" hidden="1" customHeight="1" outlineLevel="1">
      <c r="A588" s="916"/>
      <c r="B588" s="1124"/>
      <c r="C588" s="1128"/>
      <c r="D588" s="1126"/>
      <c r="E588" s="1126"/>
      <c r="F588" s="1132"/>
      <c r="G588" s="100"/>
      <c r="H588" s="98"/>
      <c r="I588" s="1126"/>
      <c r="J588" s="1135"/>
      <c r="K588" s="1135"/>
      <c r="L588" s="916"/>
    </row>
    <row r="589" spans="1:12" s="103" customFormat="1" ht="15.75" hidden="1" customHeight="1" outlineLevel="1">
      <c r="A589" s="916"/>
      <c r="B589" s="1123">
        <v>193</v>
      </c>
      <c r="C589" s="1127"/>
      <c r="D589" s="1125"/>
      <c r="E589" s="1125" t="s">
        <v>18</v>
      </c>
      <c r="F589" s="1130" t="str">
        <f>VLOOKUP(E589,$N$13:$O$17,2,0)</f>
        <v>-</v>
      </c>
      <c r="G589" s="92"/>
      <c r="H589" s="90"/>
      <c r="I589" s="1125"/>
      <c r="J589" s="1133"/>
      <c r="K589" s="1133"/>
      <c r="L589" s="916"/>
    </row>
    <row r="590" spans="1:12" s="103" customFormat="1" ht="15.75" hidden="1" customHeight="1" outlineLevel="1">
      <c r="A590" s="916"/>
      <c r="B590" s="1123"/>
      <c r="C590" s="1127"/>
      <c r="D590" s="1125"/>
      <c r="E590" s="1125"/>
      <c r="F590" s="1130"/>
      <c r="G590" s="95"/>
      <c r="H590" s="90"/>
      <c r="I590" s="1125"/>
      <c r="J590" s="1134"/>
      <c r="K590" s="1134"/>
      <c r="L590" s="916"/>
    </row>
    <row r="591" spans="1:12" s="103" customFormat="1" ht="15.75" hidden="1" customHeight="1" outlineLevel="1">
      <c r="A591" s="916"/>
      <c r="B591" s="1124"/>
      <c r="C591" s="1128"/>
      <c r="D591" s="1126"/>
      <c r="E591" s="1126"/>
      <c r="F591" s="1132"/>
      <c r="G591" s="100"/>
      <c r="H591" s="98"/>
      <c r="I591" s="1126"/>
      <c r="J591" s="1135"/>
      <c r="K591" s="1135"/>
      <c r="L591" s="916"/>
    </row>
    <row r="592" spans="1:12" s="103" customFormat="1" ht="15.75" hidden="1" customHeight="1" outlineLevel="1">
      <c r="A592" s="916"/>
      <c r="B592" s="1123">
        <v>194</v>
      </c>
      <c r="C592" s="1127"/>
      <c r="D592" s="1125"/>
      <c r="E592" s="1125" t="s">
        <v>18</v>
      </c>
      <c r="F592" s="1130" t="str">
        <f>VLOOKUP(E592,$N$13:$O$17,2,0)</f>
        <v>-</v>
      </c>
      <c r="G592" s="92"/>
      <c r="H592" s="90"/>
      <c r="I592" s="1125"/>
      <c r="J592" s="1133"/>
      <c r="K592" s="1133"/>
      <c r="L592" s="916"/>
    </row>
    <row r="593" spans="1:12" s="103" customFormat="1" ht="15.75" hidden="1" customHeight="1" outlineLevel="1">
      <c r="A593" s="916"/>
      <c r="B593" s="1123"/>
      <c r="C593" s="1127"/>
      <c r="D593" s="1125"/>
      <c r="E593" s="1125"/>
      <c r="F593" s="1130"/>
      <c r="G593" s="95"/>
      <c r="H593" s="90"/>
      <c r="I593" s="1125"/>
      <c r="J593" s="1134"/>
      <c r="K593" s="1134"/>
      <c r="L593" s="916"/>
    </row>
    <row r="594" spans="1:12" s="103" customFormat="1" ht="15.75" hidden="1" customHeight="1" outlineLevel="1">
      <c r="A594" s="916"/>
      <c r="B594" s="1124"/>
      <c r="C594" s="1128"/>
      <c r="D594" s="1126"/>
      <c r="E594" s="1126"/>
      <c r="F594" s="1132"/>
      <c r="G594" s="100"/>
      <c r="H594" s="98"/>
      <c r="I594" s="1126"/>
      <c r="J594" s="1135"/>
      <c r="K594" s="1135"/>
      <c r="L594" s="916"/>
    </row>
    <row r="595" spans="1:12" s="103" customFormat="1" ht="15.75" hidden="1" customHeight="1" outlineLevel="1">
      <c r="A595" s="916"/>
      <c r="B595" s="1123">
        <v>195</v>
      </c>
      <c r="C595" s="1127"/>
      <c r="D595" s="1125"/>
      <c r="E595" s="1125" t="s">
        <v>18</v>
      </c>
      <c r="F595" s="1130" t="str">
        <f>VLOOKUP(E595,$N$13:$O$17,2,0)</f>
        <v>-</v>
      </c>
      <c r="G595" s="92"/>
      <c r="H595" s="90"/>
      <c r="I595" s="1125"/>
      <c r="J595" s="1133"/>
      <c r="K595" s="1133"/>
      <c r="L595" s="916"/>
    </row>
    <row r="596" spans="1:12" s="103" customFormat="1" ht="15.75" hidden="1" customHeight="1" outlineLevel="1">
      <c r="A596" s="916"/>
      <c r="B596" s="1123"/>
      <c r="C596" s="1127"/>
      <c r="D596" s="1125"/>
      <c r="E596" s="1125"/>
      <c r="F596" s="1130"/>
      <c r="G596" s="95"/>
      <c r="H596" s="90"/>
      <c r="I596" s="1125"/>
      <c r="J596" s="1134"/>
      <c r="K596" s="1134"/>
      <c r="L596" s="916"/>
    </row>
    <row r="597" spans="1:12" s="103" customFormat="1" ht="15.75" hidden="1" customHeight="1" outlineLevel="1">
      <c r="A597" s="916"/>
      <c r="B597" s="1124"/>
      <c r="C597" s="1128"/>
      <c r="D597" s="1126"/>
      <c r="E597" s="1126"/>
      <c r="F597" s="1132"/>
      <c r="G597" s="100"/>
      <c r="H597" s="98"/>
      <c r="I597" s="1126"/>
      <c r="J597" s="1135"/>
      <c r="K597" s="1135"/>
      <c r="L597" s="916"/>
    </row>
    <row r="598" spans="1:12" s="103" customFormat="1" ht="15.75" hidden="1" customHeight="1" outlineLevel="1">
      <c r="A598" s="916"/>
      <c r="B598" s="1123">
        <v>196</v>
      </c>
      <c r="C598" s="1127"/>
      <c r="D598" s="1125"/>
      <c r="E598" s="1125" t="s">
        <v>18</v>
      </c>
      <c r="F598" s="1130" t="str">
        <f>VLOOKUP(E598,$N$13:$O$17,2,0)</f>
        <v>-</v>
      </c>
      <c r="G598" s="92"/>
      <c r="H598" s="90"/>
      <c r="I598" s="1125"/>
      <c r="J598" s="1133"/>
      <c r="K598" s="1133"/>
      <c r="L598" s="916"/>
    </row>
    <row r="599" spans="1:12" s="103" customFormat="1" ht="15.75" hidden="1" customHeight="1" outlineLevel="1">
      <c r="A599" s="916"/>
      <c r="B599" s="1123"/>
      <c r="C599" s="1127"/>
      <c r="D599" s="1125"/>
      <c r="E599" s="1125"/>
      <c r="F599" s="1130"/>
      <c r="G599" s="95"/>
      <c r="H599" s="90"/>
      <c r="I599" s="1125"/>
      <c r="J599" s="1134"/>
      <c r="K599" s="1134"/>
      <c r="L599" s="916"/>
    </row>
    <row r="600" spans="1:12" s="103" customFormat="1" ht="15.75" hidden="1" customHeight="1" outlineLevel="1">
      <c r="A600" s="916"/>
      <c r="B600" s="1124"/>
      <c r="C600" s="1128"/>
      <c r="D600" s="1126"/>
      <c r="E600" s="1126"/>
      <c r="F600" s="1132"/>
      <c r="G600" s="100"/>
      <c r="H600" s="98"/>
      <c r="I600" s="1126"/>
      <c r="J600" s="1135"/>
      <c r="K600" s="1135"/>
      <c r="L600" s="916"/>
    </row>
    <row r="601" spans="1:12" s="103" customFormat="1" ht="15.75" hidden="1" customHeight="1" outlineLevel="1">
      <c r="A601" s="916"/>
      <c r="B601" s="1123">
        <v>197</v>
      </c>
      <c r="C601" s="1127"/>
      <c r="D601" s="1125"/>
      <c r="E601" s="1125" t="s">
        <v>18</v>
      </c>
      <c r="F601" s="1130" t="str">
        <f>VLOOKUP(E601,$N$13:$O$17,2,0)</f>
        <v>-</v>
      </c>
      <c r="G601" s="92"/>
      <c r="H601" s="90"/>
      <c r="I601" s="1125"/>
      <c r="J601" s="1133"/>
      <c r="K601" s="1133"/>
      <c r="L601" s="916"/>
    </row>
    <row r="602" spans="1:12" s="103" customFormat="1" ht="15.75" hidden="1" customHeight="1" outlineLevel="1">
      <c r="A602" s="916"/>
      <c r="B602" s="1123"/>
      <c r="C602" s="1127"/>
      <c r="D602" s="1125"/>
      <c r="E602" s="1125"/>
      <c r="F602" s="1130"/>
      <c r="G602" s="95"/>
      <c r="H602" s="90"/>
      <c r="I602" s="1125"/>
      <c r="J602" s="1134"/>
      <c r="K602" s="1134"/>
      <c r="L602" s="916"/>
    </row>
    <row r="603" spans="1:12" s="103" customFormat="1" ht="15.75" hidden="1" customHeight="1" outlineLevel="1">
      <c r="A603" s="916"/>
      <c r="B603" s="1124"/>
      <c r="C603" s="1128"/>
      <c r="D603" s="1126"/>
      <c r="E603" s="1126"/>
      <c r="F603" s="1132"/>
      <c r="G603" s="100"/>
      <c r="H603" s="98"/>
      <c r="I603" s="1126"/>
      <c r="J603" s="1135"/>
      <c r="K603" s="1135"/>
      <c r="L603" s="916"/>
    </row>
    <row r="604" spans="1:12" s="103" customFormat="1" ht="15.75" hidden="1" customHeight="1" outlineLevel="1">
      <c r="A604" s="916"/>
      <c r="B604" s="1123">
        <v>198</v>
      </c>
      <c r="C604" s="1127"/>
      <c r="D604" s="1125"/>
      <c r="E604" s="1125" t="s">
        <v>18</v>
      </c>
      <c r="F604" s="1130" t="str">
        <f>VLOOKUP(E604,$N$13:$O$17,2,0)</f>
        <v>-</v>
      </c>
      <c r="G604" s="92"/>
      <c r="H604" s="90"/>
      <c r="I604" s="1125"/>
      <c r="J604" s="1133"/>
      <c r="K604" s="1133"/>
      <c r="L604" s="916"/>
    </row>
    <row r="605" spans="1:12" s="103" customFormat="1" ht="15.75" hidden="1" customHeight="1" outlineLevel="1">
      <c r="A605" s="916"/>
      <c r="B605" s="1123"/>
      <c r="C605" s="1127"/>
      <c r="D605" s="1125"/>
      <c r="E605" s="1125"/>
      <c r="F605" s="1130"/>
      <c r="G605" s="95"/>
      <c r="H605" s="90"/>
      <c r="I605" s="1125"/>
      <c r="J605" s="1134"/>
      <c r="K605" s="1134"/>
      <c r="L605" s="916"/>
    </row>
    <row r="606" spans="1:12" s="103" customFormat="1" ht="15.75" hidden="1" customHeight="1" outlineLevel="1">
      <c r="A606" s="916"/>
      <c r="B606" s="1124"/>
      <c r="C606" s="1128"/>
      <c r="D606" s="1126"/>
      <c r="E606" s="1126"/>
      <c r="F606" s="1132"/>
      <c r="G606" s="100"/>
      <c r="H606" s="98"/>
      <c r="I606" s="1126"/>
      <c r="J606" s="1135"/>
      <c r="K606" s="1135"/>
      <c r="L606" s="916"/>
    </row>
    <row r="607" spans="1:12" s="103" customFormat="1" ht="15.75" hidden="1" customHeight="1" outlineLevel="1">
      <c r="A607" s="916"/>
      <c r="B607" s="1123">
        <v>199</v>
      </c>
      <c r="C607" s="1127"/>
      <c r="D607" s="1125"/>
      <c r="E607" s="1125" t="s">
        <v>18</v>
      </c>
      <c r="F607" s="1130" t="str">
        <f>VLOOKUP(E607,$N$13:$O$17,2,0)</f>
        <v>-</v>
      </c>
      <c r="G607" s="92"/>
      <c r="H607" s="90"/>
      <c r="I607" s="1125"/>
      <c r="J607" s="1133"/>
      <c r="K607" s="1133"/>
      <c r="L607" s="916"/>
    </row>
    <row r="608" spans="1:12" s="103" customFormat="1" ht="15.75" hidden="1" customHeight="1" outlineLevel="1">
      <c r="A608" s="916"/>
      <c r="B608" s="1123"/>
      <c r="C608" s="1127"/>
      <c r="D608" s="1125"/>
      <c r="E608" s="1125"/>
      <c r="F608" s="1130"/>
      <c r="G608" s="95"/>
      <c r="H608" s="90"/>
      <c r="I608" s="1125"/>
      <c r="J608" s="1134"/>
      <c r="K608" s="1134"/>
      <c r="L608" s="916"/>
    </row>
    <row r="609" spans="1:12" s="103" customFormat="1" ht="15.75" hidden="1" customHeight="1" outlineLevel="1">
      <c r="A609" s="916"/>
      <c r="B609" s="1124"/>
      <c r="C609" s="1128"/>
      <c r="D609" s="1126"/>
      <c r="E609" s="1126"/>
      <c r="F609" s="1132"/>
      <c r="G609" s="100"/>
      <c r="H609" s="98"/>
      <c r="I609" s="1126"/>
      <c r="J609" s="1135"/>
      <c r="K609" s="1135"/>
      <c r="L609" s="916"/>
    </row>
    <row r="610" spans="1:12" s="103" customFormat="1" ht="15.75" hidden="1" customHeight="1" outlineLevel="1">
      <c r="A610" s="916"/>
      <c r="B610" s="1123">
        <v>200</v>
      </c>
      <c r="C610" s="1149" t="e">
        <f>CONCATENATE("Inne ",IF(#REF!=0,0,ROUND(#REF!/#REF!*100,1))," %")</f>
        <v>#REF!</v>
      </c>
      <c r="D610" s="1125"/>
      <c r="E610" s="1125" t="s">
        <v>18</v>
      </c>
      <c r="F610" s="1130" t="str">
        <f>VLOOKUP(E610,$N$13:$O$17,2,0)</f>
        <v>-</v>
      </c>
      <c r="G610" s="92"/>
      <c r="H610" s="90"/>
      <c r="I610" s="1125"/>
      <c r="J610" s="1133"/>
      <c r="K610" s="1133"/>
      <c r="L610" s="916"/>
    </row>
    <row r="611" spans="1:12" s="103" customFormat="1" ht="15.75" hidden="1" customHeight="1" outlineLevel="1">
      <c r="A611" s="916"/>
      <c r="B611" s="1123"/>
      <c r="C611" s="1150"/>
      <c r="D611" s="1125"/>
      <c r="E611" s="1125"/>
      <c r="F611" s="1130"/>
      <c r="G611" s="95"/>
      <c r="H611" s="90"/>
      <c r="I611" s="1125"/>
      <c r="J611" s="1134"/>
      <c r="K611" s="1134"/>
      <c r="L611" s="916"/>
    </row>
    <row r="612" spans="1:12" s="103" customFormat="1" ht="15.75" hidden="1" customHeight="1" outlineLevel="1" thickBot="1">
      <c r="A612" s="916"/>
      <c r="B612" s="1124"/>
      <c r="C612" s="1151"/>
      <c r="D612" s="1126"/>
      <c r="E612" s="1126"/>
      <c r="F612" s="1132"/>
      <c r="G612" s="100"/>
      <c r="H612" s="98"/>
      <c r="I612" s="1126"/>
      <c r="J612" s="1135"/>
      <c r="K612" s="1135"/>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45"/>
      <c r="G621" s="1146"/>
      <c r="H621" s="1146"/>
      <c r="I621" s="1146"/>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K8:K10"/>
    <mergeCell ref="C6:H6"/>
    <mergeCell ref="C5:H5"/>
    <mergeCell ref="D13:D15"/>
  </mergeCells>
  <phoneticPr fontId="2" type="noConversion"/>
  <dataValidations count="1">
    <dataValidation type="list" allowBlank="1" showInputMessage="1" showErrorMessage="1" sqref="E13:E612" xr:uid="{00000000-0002-0000-1000-000000000000}">
      <formula1>$N$13:$N$17</formula1>
    </dataValidation>
  </dataValidations>
  <hyperlinks>
    <hyperlink ref="C1" location="Spis!B40" display="&gt;&gt; powrót do spisu treści" xr:uid="{00000000-0004-0000-10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5.44140625" style="78" customWidth="1"/>
    <col min="2" max="2" width="4.6640625" style="78" customWidth="1"/>
    <col min="3" max="3" width="32.33203125" style="78" customWidth="1"/>
    <col min="4" max="4" width="21.88671875" style="107" customWidth="1"/>
    <col min="5" max="5" width="29.88671875" style="103" customWidth="1"/>
    <col min="6" max="6" width="45.6640625" style="103" customWidth="1"/>
    <col min="7" max="7" width="46.6640625" style="108" customWidth="1"/>
    <col min="8" max="9" width="36.109375" style="77" customWidth="1"/>
    <col min="10" max="10" width="17.77734375" style="78" customWidth="1"/>
    <col min="11" max="11" width="25.77734375" style="78" customWidth="1"/>
    <col min="12" max="12" width="10.77734375" style="78" customWidth="1"/>
    <col min="13" max="16" width="10.77734375" style="78" hidden="1" customWidth="1"/>
    <col min="17" max="19" width="10.77734375" style="78" customWidth="1"/>
    <col min="20"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47" t="s">
        <v>19</v>
      </c>
      <c r="D3" s="1147"/>
      <c r="E3" s="1147"/>
      <c r="F3" s="1147"/>
      <c r="G3" s="1147"/>
      <c r="H3" s="1148"/>
      <c r="I3" s="903"/>
      <c r="J3" s="880"/>
      <c r="K3" s="880"/>
      <c r="L3" s="880"/>
    </row>
    <row r="4" spans="1:19" ht="15" customHeight="1">
      <c r="A4" s="898"/>
      <c r="B4" s="915" t="s">
        <v>27</v>
      </c>
      <c r="C4" s="1147" t="s">
        <v>177</v>
      </c>
      <c r="D4" s="1147"/>
      <c r="E4" s="1147"/>
      <c r="F4" s="1147"/>
      <c r="G4" s="1147"/>
      <c r="H4" s="1148"/>
      <c r="I4" s="903"/>
      <c r="J4" s="880"/>
      <c r="K4" s="880"/>
      <c r="L4" s="880"/>
    </row>
    <row r="5" spans="1:19" ht="15" customHeight="1">
      <c r="A5" s="880"/>
      <c r="B5" s="897" t="s">
        <v>28</v>
      </c>
      <c r="C5" s="1116" t="s">
        <v>104</v>
      </c>
      <c r="D5" s="1116"/>
      <c r="E5" s="1116"/>
      <c r="F5" s="1116"/>
      <c r="G5" s="1116"/>
      <c r="H5" s="1148"/>
      <c r="I5" s="903"/>
      <c r="J5" s="880"/>
      <c r="K5" s="880"/>
      <c r="L5" s="880"/>
    </row>
    <row r="6" spans="1:19" ht="50.1" customHeight="1">
      <c r="A6" s="880"/>
      <c r="B6" s="897" t="s">
        <v>35</v>
      </c>
      <c r="C6" s="1116" t="s">
        <v>175</v>
      </c>
      <c r="D6" s="1120"/>
      <c r="E6" s="1120"/>
      <c r="F6" s="1120"/>
      <c r="G6" s="1120"/>
      <c r="H6" s="1148"/>
      <c r="I6" s="903"/>
      <c r="J6" s="880"/>
      <c r="K6" s="880"/>
      <c r="L6" s="880"/>
    </row>
    <row r="7" spans="1:19" s="79" customFormat="1" ht="30" customHeight="1" thickBot="1">
      <c r="A7" s="907"/>
      <c r="B7" s="908" t="s">
        <v>254</v>
      </c>
      <c r="C7" s="911"/>
      <c r="D7" s="909"/>
      <c r="E7" s="907"/>
      <c r="F7" s="910"/>
      <c r="G7" s="911"/>
      <c r="H7" s="912"/>
      <c r="I7" s="912"/>
      <c r="J7" s="913"/>
      <c r="K7" s="913"/>
      <c r="L7" s="913"/>
      <c r="M7" s="81"/>
    </row>
    <row r="8" spans="1:19"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c r="P8" s="76"/>
      <c r="Q8" s="76"/>
      <c r="R8" s="76"/>
      <c r="S8" s="76"/>
    </row>
    <row r="9" spans="1:19" ht="20.100000000000001" customHeight="1" thickBot="1">
      <c r="A9" s="880"/>
      <c r="B9" s="1152"/>
      <c r="C9" s="1106"/>
      <c r="D9" s="1106"/>
      <c r="E9" s="1106"/>
      <c r="F9" s="1106"/>
      <c r="G9" s="1106"/>
      <c r="H9" s="1106"/>
      <c r="I9" s="1103"/>
      <c r="J9" s="628">
        <f>Rok_ZPR</f>
        <v>2023</v>
      </c>
      <c r="K9" s="1102"/>
      <c r="L9" s="860"/>
      <c r="M9" s="84"/>
      <c r="N9" s="76"/>
      <c r="O9" s="76"/>
      <c r="P9" s="76"/>
      <c r="Q9" s="76"/>
      <c r="R9" s="76"/>
      <c r="S9" s="76"/>
    </row>
    <row r="10" spans="1:19" ht="20.100000000000001" customHeight="1">
      <c r="A10" s="880"/>
      <c r="B10" s="1152"/>
      <c r="C10" s="1106"/>
      <c r="D10" s="1106"/>
      <c r="E10" s="1106"/>
      <c r="F10" s="1106"/>
      <c r="G10" s="1106"/>
      <c r="H10" s="1106"/>
      <c r="I10" s="1104"/>
      <c r="J10" s="628" t="str">
        <f>'Tab.G1.1-4'!$D$11</f>
        <v>[tys. zł]</v>
      </c>
      <c r="K10" s="1102"/>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row>
    <row r="14" spans="1:19" s="82" customFormat="1" ht="12.75" customHeight="1">
      <c r="A14" s="900"/>
      <c r="B14" s="1123"/>
      <c r="C14" s="1153"/>
      <c r="D14" s="1125"/>
      <c r="E14" s="1125"/>
      <c r="F14" s="1130"/>
      <c r="G14" s="95"/>
      <c r="H14" s="1125"/>
      <c r="I14" s="1125"/>
      <c r="J14" s="1134"/>
      <c r="K14" s="1134"/>
      <c r="L14" s="892"/>
      <c r="M14" s="86"/>
      <c r="N14" s="96" t="s">
        <v>22</v>
      </c>
      <c r="O14" s="97" t="s">
        <v>59</v>
      </c>
    </row>
    <row r="15" spans="1:19" s="82" customFormat="1" ht="12.75" customHeight="1">
      <c r="A15" s="900"/>
      <c r="B15" s="1124"/>
      <c r="C15" s="1154"/>
      <c r="D15" s="1126"/>
      <c r="E15" s="1126"/>
      <c r="F15" s="1132"/>
      <c r="G15" s="100"/>
      <c r="H15" s="1126"/>
      <c r="I15" s="1126"/>
      <c r="J15" s="1135"/>
      <c r="K15" s="1135"/>
      <c r="L15" s="892"/>
      <c r="M15" s="86"/>
      <c r="N15" s="96" t="s">
        <v>23</v>
      </c>
      <c r="O15" s="97" t="s">
        <v>24</v>
      </c>
    </row>
    <row r="16" spans="1:19"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row>
    <row r="17" spans="1:15" s="82" customFormat="1" ht="12.75" customHeight="1" thickBot="1">
      <c r="A17" s="900"/>
      <c r="B17" s="1123"/>
      <c r="C17" s="1127"/>
      <c r="D17" s="1125"/>
      <c r="E17" s="1125"/>
      <c r="F17" s="1130"/>
      <c r="G17" s="95"/>
      <c r="H17" s="1125"/>
      <c r="I17" s="1125"/>
      <c r="J17" s="1134"/>
      <c r="K17" s="1134"/>
      <c r="L17" s="892"/>
      <c r="M17" s="86"/>
      <c r="N17" s="101" t="s">
        <v>18</v>
      </c>
      <c r="O17" s="102" t="s">
        <v>18</v>
      </c>
    </row>
    <row r="18" spans="1:15" s="82" customFormat="1" ht="12.75" customHeight="1">
      <c r="A18" s="900"/>
      <c r="B18" s="1124"/>
      <c r="C18" s="1128"/>
      <c r="D18" s="1126"/>
      <c r="E18" s="1126"/>
      <c r="F18" s="1132"/>
      <c r="G18" s="100"/>
      <c r="H18" s="1126"/>
      <c r="I18" s="1126"/>
      <c r="J18" s="1135"/>
      <c r="K18" s="1135"/>
      <c r="L18" s="892"/>
      <c r="M18" s="86"/>
      <c r="N18" s="103"/>
      <c r="O18" s="104"/>
    </row>
    <row r="19" spans="1:15" s="82" customFormat="1" ht="12.75" customHeight="1">
      <c r="A19" s="900"/>
      <c r="B19" s="1123">
        <v>3</v>
      </c>
      <c r="C19" s="1127"/>
      <c r="D19" s="1125"/>
      <c r="E19" s="1125" t="s">
        <v>18</v>
      </c>
      <c r="F19" s="1130" t="str">
        <f>VLOOKUP(E19,$N$13:$O$17,2,0)</f>
        <v>-</v>
      </c>
      <c r="G19" s="92"/>
      <c r="H19" s="1125"/>
      <c r="I19" s="1125"/>
      <c r="J19" s="1133"/>
      <c r="K19" s="1133"/>
      <c r="L19" s="892"/>
      <c r="M19" s="86"/>
      <c r="N19" s="103"/>
      <c r="O19" s="104"/>
    </row>
    <row r="20" spans="1:15" s="82" customFormat="1" ht="12.75" customHeight="1">
      <c r="A20" s="900"/>
      <c r="B20" s="1123"/>
      <c r="C20" s="1127"/>
      <c r="D20" s="1125"/>
      <c r="E20" s="1125"/>
      <c r="F20" s="1130"/>
      <c r="G20" s="95"/>
      <c r="H20" s="1125"/>
      <c r="I20" s="1125"/>
      <c r="J20" s="1134"/>
      <c r="K20" s="1134"/>
      <c r="L20" s="892"/>
      <c r="M20" s="86"/>
      <c r="N20" s="103"/>
      <c r="O20" s="104"/>
    </row>
    <row r="21" spans="1:15" s="82" customFormat="1" ht="12.75" customHeight="1">
      <c r="A21" s="900"/>
      <c r="B21" s="1124"/>
      <c r="C21" s="1128"/>
      <c r="D21" s="1126"/>
      <c r="E21" s="1126"/>
      <c r="F21" s="1132"/>
      <c r="G21" s="100"/>
      <c r="H21" s="1126"/>
      <c r="I21" s="1126"/>
      <c r="J21" s="1135"/>
      <c r="K21" s="1135"/>
      <c r="L21" s="892"/>
      <c r="M21" s="86"/>
      <c r="N21" s="103"/>
      <c r="O21" s="104"/>
    </row>
    <row r="22" spans="1:15" s="82" customFormat="1" ht="12.75" customHeight="1">
      <c r="A22" s="900"/>
      <c r="B22" s="1123">
        <v>4</v>
      </c>
      <c r="C22" s="1127"/>
      <c r="D22" s="1125"/>
      <c r="E22" s="1125" t="s">
        <v>18</v>
      </c>
      <c r="F22" s="1130" t="str">
        <f>VLOOKUP(E22,$N$13:$O$17,2,0)</f>
        <v>-</v>
      </c>
      <c r="G22" s="92"/>
      <c r="H22" s="1125"/>
      <c r="I22" s="1125"/>
      <c r="J22" s="1133"/>
      <c r="K22" s="1133"/>
      <c r="L22" s="892"/>
      <c r="M22" s="86"/>
      <c r="N22" s="103"/>
      <c r="O22" s="104"/>
    </row>
    <row r="23" spans="1:15" s="82" customFormat="1" ht="12.75" customHeight="1">
      <c r="A23" s="900"/>
      <c r="B23" s="1123"/>
      <c r="C23" s="1127"/>
      <c r="D23" s="1125"/>
      <c r="E23" s="1125"/>
      <c r="F23" s="1130"/>
      <c r="G23" s="95"/>
      <c r="H23" s="1125"/>
      <c r="I23" s="1125"/>
      <c r="J23" s="1134"/>
      <c r="K23" s="1134"/>
      <c r="L23" s="892"/>
      <c r="M23" s="86"/>
      <c r="N23" s="103"/>
      <c r="O23" s="104"/>
    </row>
    <row r="24" spans="1:15" s="82" customFormat="1" ht="12.75" customHeight="1">
      <c r="A24" s="900"/>
      <c r="B24" s="1124"/>
      <c r="C24" s="1128"/>
      <c r="D24" s="1126"/>
      <c r="E24" s="1126"/>
      <c r="F24" s="1132"/>
      <c r="G24" s="100"/>
      <c r="H24" s="1126"/>
      <c r="I24" s="1126"/>
      <c r="J24" s="1135"/>
      <c r="K24" s="1135"/>
      <c r="L24" s="892"/>
      <c r="M24" s="86"/>
      <c r="N24" s="103"/>
      <c r="O24" s="104"/>
    </row>
    <row r="25" spans="1:15" s="82" customFormat="1" ht="12.75" customHeight="1">
      <c r="A25" s="900"/>
      <c r="B25" s="1123">
        <v>5</v>
      </c>
      <c r="C25" s="1127"/>
      <c r="D25" s="1125"/>
      <c r="E25" s="1125" t="s">
        <v>18</v>
      </c>
      <c r="F25" s="1130" t="str">
        <f>VLOOKUP(E25,$N$13:$O$17,2,0)</f>
        <v>-</v>
      </c>
      <c r="G25" s="92"/>
      <c r="H25" s="1125"/>
      <c r="I25" s="1125"/>
      <c r="J25" s="1133"/>
      <c r="K25" s="1133"/>
      <c r="L25" s="892"/>
      <c r="M25" s="86"/>
      <c r="N25" s="103"/>
      <c r="O25" s="104"/>
    </row>
    <row r="26" spans="1:15" s="82" customFormat="1" ht="12.75" customHeight="1">
      <c r="A26" s="900"/>
      <c r="B26" s="1123"/>
      <c r="C26" s="1127"/>
      <c r="D26" s="1125"/>
      <c r="E26" s="1125"/>
      <c r="F26" s="1130"/>
      <c r="G26" s="95"/>
      <c r="H26" s="1125"/>
      <c r="I26" s="1125"/>
      <c r="J26" s="1134"/>
      <c r="K26" s="1134"/>
      <c r="L26" s="892"/>
      <c r="M26" s="86"/>
      <c r="N26" s="103"/>
      <c r="O26" s="104"/>
    </row>
    <row r="27" spans="1:15" s="82" customFormat="1" ht="12.75" customHeight="1">
      <c r="A27" s="900"/>
      <c r="B27" s="1124"/>
      <c r="C27" s="1128"/>
      <c r="D27" s="1126"/>
      <c r="E27" s="1126"/>
      <c r="F27" s="1132"/>
      <c r="G27" s="100"/>
      <c r="H27" s="1126"/>
      <c r="I27" s="1126"/>
      <c r="J27" s="1135"/>
      <c r="K27" s="1135"/>
      <c r="L27" s="892"/>
      <c r="M27" s="86"/>
      <c r="N27" s="103"/>
      <c r="O27" s="104"/>
    </row>
    <row r="28" spans="1:15" s="82" customFormat="1" ht="12.75" customHeight="1">
      <c r="A28" s="900"/>
      <c r="B28" s="1123">
        <v>6</v>
      </c>
      <c r="C28" s="1127"/>
      <c r="D28" s="1125"/>
      <c r="E28" s="1125" t="s">
        <v>18</v>
      </c>
      <c r="F28" s="1130" t="str">
        <f>VLOOKUP(E28,$N$13:$O$17,2,0)</f>
        <v>-</v>
      </c>
      <c r="G28" s="92"/>
      <c r="H28" s="1125"/>
      <c r="I28" s="1125"/>
      <c r="J28" s="1133"/>
      <c r="K28" s="1133"/>
      <c r="L28" s="892"/>
      <c r="M28" s="86"/>
      <c r="N28" s="103"/>
      <c r="O28" s="104"/>
    </row>
    <row r="29" spans="1:15" s="82" customFormat="1" ht="12.75" customHeight="1">
      <c r="A29" s="900"/>
      <c r="B29" s="1123"/>
      <c r="C29" s="1127"/>
      <c r="D29" s="1125"/>
      <c r="E29" s="1125"/>
      <c r="F29" s="1130"/>
      <c r="G29" s="95"/>
      <c r="H29" s="1125"/>
      <c r="I29" s="1125"/>
      <c r="J29" s="1134"/>
      <c r="K29" s="1134"/>
      <c r="L29" s="892"/>
      <c r="M29" s="86"/>
      <c r="N29" s="103"/>
      <c r="O29" s="104"/>
    </row>
    <row r="30" spans="1:15" s="82" customFormat="1" ht="12.75" customHeight="1">
      <c r="A30" s="900"/>
      <c r="B30" s="1124"/>
      <c r="C30" s="1128"/>
      <c r="D30" s="1126"/>
      <c r="E30" s="1126"/>
      <c r="F30" s="1132"/>
      <c r="G30" s="100"/>
      <c r="H30" s="1126"/>
      <c r="I30" s="1126"/>
      <c r="J30" s="1135"/>
      <c r="K30" s="1135"/>
      <c r="L30" s="892"/>
      <c r="M30" s="86"/>
      <c r="N30" s="103"/>
      <c r="O30" s="104"/>
    </row>
    <row r="31" spans="1:15" s="82" customFormat="1" ht="12.75" customHeight="1">
      <c r="A31" s="900"/>
      <c r="B31" s="1123">
        <v>7</v>
      </c>
      <c r="C31" s="1127"/>
      <c r="D31" s="1125"/>
      <c r="E31" s="1125" t="s">
        <v>18</v>
      </c>
      <c r="F31" s="1130" t="str">
        <f>VLOOKUP(E31,$N$13:$O$17,2,0)</f>
        <v>-</v>
      </c>
      <c r="G31" s="92"/>
      <c r="H31" s="1125"/>
      <c r="I31" s="1125"/>
      <c r="J31" s="1133"/>
      <c r="K31" s="1133"/>
      <c r="L31" s="892"/>
      <c r="M31" s="86"/>
      <c r="N31" s="103"/>
      <c r="O31" s="104"/>
    </row>
    <row r="32" spans="1:15" s="82" customFormat="1" ht="12.75" customHeight="1">
      <c r="A32" s="900"/>
      <c r="B32" s="1123"/>
      <c r="C32" s="1127"/>
      <c r="D32" s="1125"/>
      <c r="E32" s="1125"/>
      <c r="F32" s="1130"/>
      <c r="G32" s="95"/>
      <c r="H32" s="1125"/>
      <c r="I32" s="1125"/>
      <c r="J32" s="1134"/>
      <c r="K32" s="1134"/>
      <c r="L32" s="892"/>
      <c r="M32" s="86"/>
      <c r="N32" s="103"/>
      <c r="O32" s="104"/>
    </row>
    <row r="33" spans="1:15" s="82" customFormat="1" ht="12.75" customHeight="1">
      <c r="A33" s="900"/>
      <c r="B33" s="1124"/>
      <c r="C33" s="1128"/>
      <c r="D33" s="1126"/>
      <c r="E33" s="1126"/>
      <c r="F33" s="1132"/>
      <c r="G33" s="100"/>
      <c r="H33" s="1126"/>
      <c r="I33" s="1126"/>
      <c r="J33" s="1135"/>
      <c r="K33" s="1135"/>
      <c r="L33" s="892"/>
      <c r="M33" s="86"/>
      <c r="N33" s="103"/>
      <c r="O33" s="104"/>
    </row>
    <row r="34" spans="1:15" s="82" customFormat="1" ht="12.75" customHeight="1">
      <c r="A34" s="900"/>
      <c r="B34" s="1123">
        <v>8</v>
      </c>
      <c r="C34" s="1127"/>
      <c r="D34" s="1125"/>
      <c r="E34" s="1125" t="s">
        <v>18</v>
      </c>
      <c r="F34" s="1130" t="str">
        <f>VLOOKUP(E34,$N$13:$O$17,2,0)</f>
        <v>-</v>
      </c>
      <c r="G34" s="92"/>
      <c r="H34" s="1125"/>
      <c r="I34" s="1125"/>
      <c r="J34" s="1133"/>
      <c r="K34" s="1133"/>
      <c r="L34" s="892"/>
      <c r="M34" s="86"/>
      <c r="N34" s="103"/>
      <c r="O34" s="104"/>
    </row>
    <row r="35" spans="1:15" s="82" customFormat="1" ht="12.75" customHeight="1">
      <c r="A35" s="900"/>
      <c r="B35" s="1123"/>
      <c r="C35" s="1127"/>
      <c r="D35" s="1125"/>
      <c r="E35" s="1125"/>
      <c r="F35" s="1130"/>
      <c r="G35" s="825"/>
      <c r="H35" s="1125"/>
      <c r="I35" s="1125"/>
      <c r="J35" s="1134"/>
      <c r="K35" s="1134"/>
      <c r="L35" s="892"/>
      <c r="M35" s="86"/>
      <c r="N35" s="103"/>
      <c r="O35" s="104"/>
    </row>
    <row r="36" spans="1:15" s="82" customFormat="1" ht="12.75" customHeight="1">
      <c r="A36" s="900"/>
      <c r="B36" s="1124"/>
      <c r="C36" s="1128"/>
      <c r="D36" s="1126"/>
      <c r="E36" s="1126"/>
      <c r="F36" s="1132"/>
      <c r="G36" s="100"/>
      <c r="H36" s="1126"/>
      <c r="I36" s="1126"/>
      <c r="J36" s="1135"/>
      <c r="K36" s="1135"/>
      <c r="L36" s="892"/>
      <c r="M36" s="86"/>
      <c r="N36" s="103"/>
      <c r="O36" s="104"/>
    </row>
    <row r="37" spans="1:15" s="82" customFormat="1" ht="12.75" customHeight="1">
      <c r="A37" s="900"/>
      <c r="B37" s="1123">
        <v>9</v>
      </c>
      <c r="C37" s="1127"/>
      <c r="D37" s="1125"/>
      <c r="E37" s="1125" t="s">
        <v>18</v>
      </c>
      <c r="F37" s="1130" t="str">
        <f>VLOOKUP(E37,$N$13:$O$17,2,0)</f>
        <v>-</v>
      </c>
      <c r="G37" s="92"/>
      <c r="H37" s="1125"/>
      <c r="I37" s="1125"/>
      <c r="J37" s="1133"/>
      <c r="K37" s="1133"/>
      <c r="L37" s="892"/>
      <c r="M37" s="86"/>
      <c r="N37" s="103"/>
      <c r="O37" s="104"/>
    </row>
    <row r="38" spans="1:15" s="82" customFormat="1" ht="12.75" customHeight="1">
      <c r="A38" s="900"/>
      <c r="B38" s="1123"/>
      <c r="C38" s="1127"/>
      <c r="D38" s="1125"/>
      <c r="E38" s="1125"/>
      <c r="F38" s="1130"/>
      <c r="G38" s="95"/>
      <c r="H38" s="1125"/>
      <c r="I38" s="1125"/>
      <c r="J38" s="1134"/>
      <c r="K38" s="1134"/>
      <c r="L38" s="892"/>
      <c r="M38" s="86"/>
      <c r="N38" s="103"/>
      <c r="O38" s="104"/>
    </row>
    <row r="39" spans="1:15" s="82" customFormat="1" ht="12.75" customHeight="1">
      <c r="A39" s="900"/>
      <c r="B39" s="1124"/>
      <c r="C39" s="1128"/>
      <c r="D39" s="1126"/>
      <c r="E39" s="1126"/>
      <c r="F39" s="1132"/>
      <c r="G39" s="100"/>
      <c r="H39" s="1126"/>
      <c r="I39" s="1126"/>
      <c r="J39" s="1135"/>
      <c r="K39" s="1135"/>
      <c r="L39" s="892"/>
      <c r="M39" s="86"/>
      <c r="N39" s="103"/>
      <c r="O39" s="104"/>
    </row>
    <row r="40" spans="1:15" s="82" customFormat="1" ht="12.75" customHeight="1">
      <c r="A40" s="900"/>
      <c r="B40" s="1123">
        <v>10</v>
      </c>
      <c r="C40" s="1127"/>
      <c r="D40" s="1125"/>
      <c r="E40" s="1125" t="s">
        <v>18</v>
      </c>
      <c r="F40" s="1130" t="str">
        <f>VLOOKUP(E40,$N$13:$O$17,2,0)</f>
        <v>-</v>
      </c>
      <c r="G40" s="92"/>
      <c r="H40" s="1125"/>
      <c r="I40" s="1125"/>
      <c r="J40" s="1133"/>
      <c r="K40" s="1133"/>
      <c r="L40" s="892"/>
      <c r="M40" s="86"/>
      <c r="N40" s="103"/>
      <c r="O40" s="104"/>
    </row>
    <row r="41" spans="1:15" s="82" customFormat="1" ht="12.75" customHeight="1">
      <c r="A41" s="900"/>
      <c r="B41" s="1123"/>
      <c r="C41" s="1127"/>
      <c r="D41" s="1125"/>
      <c r="E41" s="1125"/>
      <c r="F41" s="1130"/>
      <c r="G41" s="95"/>
      <c r="H41" s="1125"/>
      <c r="I41" s="1125"/>
      <c r="J41" s="1134"/>
      <c r="K41" s="1134"/>
      <c r="L41" s="892"/>
      <c r="M41" s="86"/>
      <c r="N41" s="103"/>
      <c r="O41" s="104"/>
    </row>
    <row r="42" spans="1:15" s="82" customFormat="1" ht="12.75" customHeight="1" thickBot="1">
      <c r="A42" s="900"/>
      <c r="B42" s="1124"/>
      <c r="C42" s="1128"/>
      <c r="D42" s="1126"/>
      <c r="E42" s="1126"/>
      <c r="F42" s="1132"/>
      <c r="G42" s="100"/>
      <c r="H42" s="1126"/>
      <c r="I42" s="1126"/>
      <c r="J42" s="1135"/>
      <c r="K42" s="1135"/>
      <c r="L42" s="892"/>
      <c r="M42" s="86"/>
      <c r="N42" s="103"/>
      <c r="O42" s="104"/>
    </row>
    <row r="43" spans="1:15" s="103" customFormat="1" ht="15.75" hidden="1" customHeight="1" outlineLevel="1">
      <c r="A43" s="916"/>
      <c r="B43" s="1123">
        <v>11</v>
      </c>
      <c r="C43" s="1127"/>
      <c r="D43" s="1125"/>
      <c r="E43" s="1125" t="s">
        <v>18</v>
      </c>
      <c r="F43" s="1130" t="str">
        <f>VLOOKUP(E43,$N$13:$O$17,2,0)</f>
        <v>-</v>
      </c>
      <c r="G43" s="92"/>
      <c r="H43" s="1125"/>
      <c r="I43" s="1125"/>
      <c r="J43" s="1133"/>
      <c r="K43" s="1133"/>
      <c r="L43" s="916"/>
    </row>
    <row r="44" spans="1:15" s="103" customFormat="1" ht="15.75" hidden="1" customHeight="1" outlineLevel="1">
      <c r="A44" s="916"/>
      <c r="B44" s="1123"/>
      <c r="C44" s="1127"/>
      <c r="D44" s="1125"/>
      <c r="E44" s="1125"/>
      <c r="F44" s="1130"/>
      <c r="G44" s="95"/>
      <c r="H44" s="1125"/>
      <c r="I44" s="1125"/>
      <c r="J44" s="1134"/>
      <c r="K44" s="1134"/>
      <c r="L44" s="916"/>
    </row>
    <row r="45" spans="1:15" s="80" customFormat="1" ht="15.75" hidden="1" customHeight="1" outlineLevel="1">
      <c r="A45" s="910"/>
      <c r="B45" s="1124"/>
      <c r="C45" s="1128"/>
      <c r="D45" s="1126"/>
      <c r="E45" s="1126"/>
      <c r="F45" s="1132"/>
      <c r="G45" s="100"/>
      <c r="H45" s="1126"/>
      <c r="I45" s="1126"/>
      <c r="J45" s="1135"/>
      <c r="K45" s="1135"/>
      <c r="L45" s="910"/>
    </row>
    <row r="46" spans="1:15" s="80" customFormat="1" ht="15.75" hidden="1" customHeight="1" outlineLevel="1">
      <c r="A46" s="910"/>
      <c r="B46" s="1123">
        <v>12</v>
      </c>
      <c r="C46" s="1127"/>
      <c r="D46" s="1125"/>
      <c r="E46" s="1125" t="s">
        <v>18</v>
      </c>
      <c r="F46" s="1130" t="str">
        <f>VLOOKUP(E46,$N$13:$O$17,2,0)</f>
        <v>-</v>
      </c>
      <c r="G46" s="92"/>
      <c r="H46" s="1125"/>
      <c r="I46" s="1125"/>
      <c r="J46" s="1133"/>
      <c r="K46" s="1133"/>
      <c r="L46" s="910"/>
    </row>
    <row r="47" spans="1:15" s="103" customFormat="1" ht="15.75" hidden="1" customHeight="1" outlineLevel="1">
      <c r="A47" s="916"/>
      <c r="B47" s="1123"/>
      <c r="C47" s="1127"/>
      <c r="D47" s="1125"/>
      <c r="E47" s="1125"/>
      <c r="F47" s="1130"/>
      <c r="G47" s="95"/>
      <c r="H47" s="1125"/>
      <c r="I47" s="1125"/>
      <c r="J47" s="1134"/>
      <c r="K47" s="1134"/>
      <c r="L47" s="916"/>
    </row>
    <row r="48" spans="1:15" s="103" customFormat="1" ht="15.75" hidden="1" customHeight="1" outlineLevel="1">
      <c r="A48" s="916"/>
      <c r="B48" s="1124"/>
      <c r="C48" s="1128"/>
      <c r="D48" s="1126"/>
      <c r="E48" s="1126"/>
      <c r="F48" s="1132"/>
      <c r="G48" s="100"/>
      <c r="H48" s="1126"/>
      <c r="I48" s="1126"/>
      <c r="J48" s="1135"/>
      <c r="K48" s="1135"/>
      <c r="L48" s="916"/>
    </row>
    <row r="49" spans="1:12" s="103" customFormat="1" ht="15.75" hidden="1" customHeight="1" outlineLevel="1">
      <c r="A49" s="916"/>
      <c r="B49" s="1123">
        <v>13</v>
      </c>
      <c r="C49" s="1127"/>
      <c r="D49" s="1125"/>
      <c r="E49" s="1125" t="s">
        <v>18</v>
      </c>
      <c r="F49" s="1130" t="str">
        <f>VLOOKUP(E49,$N$13:$O$17,2,0)</f>
        <v>-</v>
      </c>
      <c r="G49" s="92"/>
      <c r="H49" s="1125"/>
      <c r="I49" s="1125"/>
      <c r="J49" s="1133"/>
      <c r="K49" s="1133"/>
      <c r="L49" s="916"/>
    </row>
    <row r="50" spans="1:12" s="103" customFormat="1" ht="15.75" hidden="1" customHeight="1" outlineLevel="1">
      <c r="A50" s="916"/>
      <c r="B50" s="1123"/>
      <c r="C50" s="1127"/>
      <c r="D50" s="1125"/>
      <c r="E50" s="1125"/>
      <c r="F50" s="1130"/>
      <c r="G50" s="95"/>
      <c r="H50" s="1125"/>
      <c r="I50" s="1125"/>
      <c r="J50" s="1134"/>
      <c r="K50" s="1134"/>
      <c r="L50" s="916"/>
    </row>
    <row r="51" spans="1:12" s="103" customFormat="1" ht="15.75" hidden="1" customHeight="1" outlineLevel="1">
      <c r="A51" s="916"/>
      <c r="B51" s="1124"/>
      <c r="C51" s="1128"/>
      <c r="D51" s="1126"/>
      <c r="E51" s="1126"/>
      <c r="F51" s="1132"/>
      <c r="G51" s="100"/>
      <c r="H51" s="1126"/>
      <c r="I51" s="1126"/>
      <c r="J51" s="1135"/>
      <c r="K51" s="1135"/>
      <c r="L51" s="916"/>
    </row>
    <row r="52" spans="1:12" s="103" customFormat="1" ht="15.75" hidden="1" customHeight="1" outlineLevel="1">
      <c r="A52" s="916"/>
      <c r="B52" s="1123">
        <v>14</v>
      </c>
      <c r="C52" s="1127"/>
      <c r="D52" s="1125"/>
      <c r="E52" s="1125" t="s">
        <v>18</v>
      </c>
      <c r="F52" s="1130" t="str">
        <f>VLOOKUP(E52,$N$13:$O$17,2,0)</f>
        <v>-</v>
      </c>
      <c r="G52" s="92"/>
      <c r="H52" s="1125"/>
      <c r="I52" s="1125"/>
      <c r="J52" s="1133"/>
      <c r="K52" s="1133"/>
      <c r="L52" s="916"/>
    </row>
    <row r="53" spans="1:12" s="103" customFormat="1" ht="15.75" hidden="1" customHeight="1" outlineLevel="1">
      <c r="A53" s="916"/>
      <c r="B53" s="1123"/>
      <c r="C53" s="1127"/>
      <c r="D53" s="1125"/>
      <c r="E53" s="1125"/>
      <c r="F53" s="1130"/>
      <c r="G53" s="95"/>
      <c r="H53" s="1125"/>
      <c r="I53" s="1125"/>
      <c r="J53" s="1134"/>
      <c r="K53" s="1134"/>
      <c r="L53" s="916"/>
    </row>
    <row r="54" spans="1:12" s="103" customFormat="1" ht="15.75" hidden="1" customHeight="1" outlineLevel="1">
      <c r="A54" s="916"/>
      <c r="B54" s="1124"/>
      <c r="C54" s="1128"/>
      <c r="D54" s="1126"/>
      <c r="E54" s="1126"/>
      <c r="F54" s="1132"/>
      <c r="G54" s="100"/>
      <c r="H54" s="1126"/>
      <c r="I54" s="1126"/>
      <c r="J54" s="1135"/>
      <c r="K54" s="1135"/>
      <c r="L54" s="916"/>
    </row>
    <row r="55" spans="1:12" s="103" customFormat="1" ht="15.75" hidden="1" customHeight="1" outlineLevel="1">
      <c r="A55" s="916"/>
      <c r="B55" s="1123">
        <v>15</v>
      </c>
      <c r="C55" s="1127"/>
      <c r="D55" s="1125"/>
      <c r="E55" s="1125" t="s">
        <v>18</v>
      </c>
      <c r="F55" s="1130" t="str">
        <f>VLOOKUP(E55,$N$13:$O$17,2,0)</f>
        <v>-</v>
      </c>
      <c r="G55" s="92"/>
      <c r="H55" s="1125"/>
      <c r="I55" s="1125"/>
      <c r="J55" s="1133"/>
      <c r="K55" s="1133"/>
      <c r="L55" s="916"/>
    </row>
    <row r="56" spans="1:12" s="103" customFormat="1" ht="15.75" hidden="1" customHeight="1" outlineLevel="1">
      <c r="A56" s="916"/>
      <c r="B56" s="1123"/>
      <c r="C56" s="1127"/>
      <c r="D56" s="1125"/>
      <c r="E56" s="1125"/>
      <c r="F56" s="1130"/>
      <c r="G56" s="95"/>
      <c r="H56" s="1125"/>
      <c r="I56" s="1125"/>
      <c r="J56" s="1134"/>
      <c r="K56" s="1134"/>
      <c r="L56" s="916"/>
    </row>
    <row r="57" spans="1:12" s="103" customFormat="1" ht="15.75" hidden="1" customHeight="1" outlineLevel="1">
      <c r="A57" s="916"/>
      <c r="B57" s="1124"/>
      <c r="C57" s="1128"/>
      <c r="D57" s="1126"/>
      <c r="E57" s="1126"/>
      <c r="F57" s="1132"/>
      <c r="G57" s="100"/>
      <c r="H57" s="1126"/>
      <c r="I57" s="1126"/>
      <c r="J57" s="1135"/>
      <c r="K57" s="1135"/>
      <c r="L57" s="916"/>
    </row>
    <row r="58" spans="1:12" s="103" customFormat="1" ht="15.75" hidden="1" customHeight="1" outlineLevel="1">
      <c r="A58" s="916"/>
      <c r="B58" s="1123">
        <v>16</v>
      </c>
      <c r="C58" s="1127"/>
      <c r="D58" s="1125"/>
      <c r="E58" s="1125" t="s">
        <v>18</v>
      </c>
      <c r="F58" s="1130"/>
      <c r="G58" s="92"/>
      <c r="H58" s="1125"/>
      <c r="I58" s="1125"/>
      <c r="J58" s="1133"/>
      <c r="K58" s="1133"/>
      <c r="L58" s="916"/>
    </row>
    <row r="59" spans="1:12" s="103" customFormat="1" ht="15.75" hidden="1" customHeight="1" outlineLevel="1">
      <c r="A59" s="916"/>
      <c r="B59" s="1123"/>
      <c r="C59" s="1127"/>
      <c r="D59" s="1125"/>
      <c r="E59" s="1125"/>
      <c r="F59" s="1130"/>
      <c r="G59" s="95"/>
      <c r="H59" s="1125"/>
      <c r="I59" s="1125"/>
      <c r="J59" s="1134"/>
      <c r="K59" s="1134"/>
      <c r="L59" s="916"/>
    </row>
    <row r="60" spans="1:12" s="103" customFormat="1" ht="15.75" hidden="1" customHeight="1" outlineLevel="1">
      <c r="A60" s="916"/>
      <c r="B60" s="1124"/>
      <c r="C60" s="1128"/>
      <c r="D60" s="1126"/>
      <c r="E60" s="1126"/>
      <c r="F60" s="1132"/>
      <c r="G60" s="100"/>
      <c r="H60" s="1126"/>
      <c r="I60" s="1126"/>
      <c r="J60" s="1135"/>
      <c r="K60" s="1135"/>
      <c r="L60" s="916"/>
    </row>
    <row r="61" spans="1:12" s="103" customFormat="1" ht="15.75" hidden="1" customHeight="1" outlineLevel="1">
      <c r="A61" s="916"/>
      <c r="B61" s="1123">
        <v>17</v>
      </c>
      <c r="C61" s="1127"/>
      <c r="D61" s="1125"/>
      <c r="E61" s="1125" t="s">
        <v>18</v>
      </c>
      <c r="F61" s="1130" t="str">
        <f>VLOOKUP(E61,$N$13:$O$17,2,0)</f>
        <v>-</v>
      </c>
      <c r="G61" s="92"/>
      <c r="H61" s="1125"/>
      <c r="I61" s="1125"/>
      <c r="J61" s="1133"/>
      <c r="K61" s="1133"/>
      <c r="L61" s="916"/>
    </row>
    <row r="62" spans="1:12" s="103" customFormat="1" ht="15.75" hidden="1" customHeight="1" outlineLevel="1">
      <c r="A62" s="916"/>
      <c r="B62" s="1123"/>
      <c r="C62" s="1127"/>
      <c r="D62" s="1125"/>
      <c r="E62" s="1125"/>
      <c r="F62" s="1130"/>
      <c r="G62" s="95"/>
      <c r="H62" s="1125"/>
      <c r="I62" s="1125"/>
      <c r="J62" s="1134"/>
      <c r="K62" s="1134"/>
      <c r="L62" s="916"/>
    </row>
    <row r="63" spans="1:12" s="103" customFormat="1" ht="15.75" hidden="1" customHeight="1" outlineLevel="1">
      <c r="A63" s="916"/>
      <c r="B63" s="1124"/>
      <c r="C63" s="1128"/>
      <c r="D63" s="1126"/>
      <c r="E63" s="1126"/>
      <c r="F63" s="1132"/>
      <c r="G63" s="100"/>
      <c r="H63" s="1126"/>
      <c r="I63" s="1126"/>
      <c r="J63" s="1135"/>
      <c r="K63" s="1135"/>
      <c r="L63" s="916"/>
    </row>
    <row r="64" spans="1:12" s="103" customFormat="1" ht="15.75" hidden="1" customHeight="1" outlineLevel="1">
      <c r="A64" s="916"/>
      <c r="B64" s="1123">
        <v>18</v>
      </c>
      <c r="C64" s="1127"/>
      <c r="D64" s="1125"/>
      <c r="E64" s="1125" t="s">
        <v>18</v>
      </c>
      <c r="F64" s="1130" t="str">
        <f>VLOOKUP(E64,$N$13:$O$17,2,0)</f>
        <v>-</v>
      </c>
      <c r="G64" s="92"/>
      <c r="H64" s="1125"/>
      <c r="I64" s="1125"/>
      <c r="J64" s="1133"/>
      <c r="K64" s="1133"/>
      <c r="L64" s="916"/>
    </row>
    <row r="65" spans="1:12" s="103" customFormat="1" ht="15.75" hidden="1" customHeight="1" outlineLevel="1">
      <c r="A65" s="916"/>
      <c r="B65" s="1123"/>
      <c r="C65" s="1127"/>
      <c r="D65" s="1125"/>
      <c r="E65" s="1125"/>
      <c r="F65" s="1130"/>
      <c r="G65" s="95"/>
      <c r="H65" s="1125"/>
      <c r="I65" s="1125"/>
      <c r="J65" s="1134"/>
      <c r="K65" s="1134"/>
      <c r="L65" s="916"/>
    </row>
    <row r="66" spans="1:12" s="103" customFormat="1" ht="15.75" hidden="1" customHeight="1" outlineLevel="1">
      <c r="A66" s="916"/>
      <c r="B66" s="1124"/>
      <c r="C66" s="1128"/>
      <c r="D66" s="1126"/>
      <c r="E66" s="1126"/>
      <c r="F66" s="1132"/>
      <c r="G66" s="100"/>
      <c r="H66" s="1126"/>
      <c r="I66" s="1126"/>
      <c r="J66" s="1135"/>
      <c r="K66" s="1135"/>
      <c r="L66" s="916"/>
    </row>
    <row r="67" spans="1:12" s="103" customFormat="1" ht="15.75" hidden="1" customHeight="1" outlineLevel="1">
      <c r="A67" s="916"/>
      <c r="B67" s="1123">
        <v>19</v>
      </c>
      <c r="C67" s="1127"/>
      <c r="D67" s="1125"/>
      <c r="E67" s="1125" t="s">
        <v>18</v>
      </c>
      <c r="F67" s="1130" t="str">
        <f>VLOOKUP(E67,$N$13:$O$17,2,0)</f>
        <v>-</v>
      </c>
      <c r="G67" s="92"/>
      <c r="H67" s="1125"/>
      <c r="I67" s="1125"/>
      <c r="J67" s="1133"/>
      <c r="K67" s="1133"/>
      <c r="L67" s="916"/>
    </row>
    <row r="68" spans="1:12" s="103" customFormat="1" ht="15.75" hidden="1" customHeight="1" outlineLevel="1">
      <c r="A68" s="916"/>
      <c r="B68" s="1123"/>
      <c r="C68" s="1127"/>
      <c r="D68" s="1125"/>
      <c r="E68" s="1125"/>
      <c r="F68" s="1130"/>
      <c r="G68" s="95"/>
      <c r="H68" s="1125"/>
      <c r="I68" s="1125"/>
      <c r="J68" s="1134"/>
      <c r="K68" s="1134"/>
      <c r="L68" s="916"/>
    </row>
    <row r="69" spans="1:12" s="103" customFormat="1" ht="15.75" hidden="1" customHeight="1" outlineLevel="1">
      <c r="A69" s="916"/>
      <c r="B69" s="1124"/>
      <c r="C69" s="1128"/>
      <c r="D69" s="1126"/>
      <c r="E69" s="1126"/>
      <c r="F69" s="1132"/>
      <c r="G69" s="100"/>
      <c r="H69" s="1126"/>
      <c r="I69" s="1126"/>
      <c r="J69" s="1135"/>
      <c r="K69" s="1135"/>
      <c r="L69" s="916"/>
    </row>
    <row r="70" spans="1:12" s="103" customFormat="1" ht="15.75" hidden="1" customHeight="1" outlineLevel="1">
      <c r="A70" s="916"/>
      <c r="B70" s="1123">
        <v>20</v>
      </c>
      <c r="C70" s="1127"/>
      <c r="D70" s="1125"/>
      <c r="E70" s="1125" t="s">
        <v>18</v>
      </c>
      <c r="F70" s="1130" t="str">
        <f>VLOOKUP(E70,$N$13:$O$17,2,0)</f>
        <v>-</v>
      </c>
      <c r="G70" s="92"/>
      <c r="H70" s="1125"/>
      <c r="I70" s="1125"/>
      <c r="J70" s="1133"/>
      <c r="K70" s="1133"/>
      <c r="L70" s="916"/>
    </row>
    <row r="71" spans="1:12" s="103" customFormat="1" ht="15.75" hidden="1" customHeight="1" outlineLevel="1">
      <c r="A71" s="916"/>
      <c r="B71" s="1123"/>
      <c r="C71" s="1127"/>
      <c r="D71" s="1125"/>
      <c r="E71" s="1125"/>
      <c r="F71" s="1130"/>
      <c r="G71" s="95"/>
      <c r="H71" s="1125"/>
      <c r="I71" s="1125"/>
      <c r="J71" s="1134"/>
      <c r="K71" s="1134"/>
      <c r="L71" s="916"/>
    </row>
    <row r="72" spans="1:12" s="103" customFormat="1" ht="15.75" hidden="1" customHeight="1" outlineLevel="1">
      <c r="A72" s="916"/>
      <c r="B72" s="1124"/>
      <c r="C72" s="1128"/>
      <c r="D72" s="1126"/>
      <c r="E72" s="1126"/>
      <c r="F72" s="1132"/>
      <c r="G72" s="100"/>
      <c r="H72" s="1126"/>
      <c r="I72" s="1126"/>
      <c r="J72" s="1135"/>
      <c r="K72" s="1135"/>
      <c r="L72" s="916"/>
    </row>
    <row r="73" spans="1:12" s="103" customFormat="1" ht="15.75" hidden="1" customHeight="1" outlineLevel="1">
      <c r="A73" s="916"/>
      <c r="B73" s="1123">
        <v>21</v>
      </c>
      <c r="C73" s="1127"/>
      <c r="D73" s="1125"/>
      <c r="E73" s="1125" t="s">
        <v>18</v>
      </c>
      <c r="F73" s="1130" t="str">
        <f>VLOOKUP(E73,$N$13:$O$17,2,0)</f>
        <v>-</v>
      </c>
      <c r="G73" s="92"/>
      <c r="H73" s="1125"/>
      <c r="I73" s="1125"/>
      <c r="J73" s="1133"/>
      <c r="K73" s="1133"/>
      <c r="L73" s="916"/>
    </row>
    <row r="74" spans="1:12" s="103" customFormat="1" ht="15.75" hidden="1" customHeight="1" outlineLevel="1">
      <c r="A74" s="916"/>
      <c r="B74" s="1123"/>
      <c r="C74" s="1127"/>
      <c r="D74" s="1125"/>
      <c r="E74" s="1125"/>
      <c r="F74" s="1130"/>
      <c r="G74" s="95"/>
      <c r="H74" s="1125"/>
      <c r="I74" s="1125"/>
      <c r="J74" s="1134"/>
      <c r="K74" s="1134"/>
      <c r="L74" s="916"/>
    </row>
    <row r="75" spans="1:12" s="103" customFormat="1" ht="15.75" hidden="1" customHeight="1" outlineLevel="1">
      <c r="A75" s="916"/>
      <c r="B75" s="1124"/>
      <c r="C75" s="1128"/>
      <c r="D75" s="1126"/>
      <c r="E75" s="1126"/>
      <c r="F75" s="1132"/>
      <c r="G75" s="100"/>
      <c r="H75" s="1126"/>
      <c r="I75" s="1126"/>
      <c r="J75" s="1135"/>
      <c r="K75" s="1135"/>
      <c r="L75" s="916"/>
    </row>
    <row r="76" spans="1:12" s="103" customFormat="1" ht="15.75" hidden="1" customHeight="1" outlineLevel="1">
      <c r="A76" s="916"/>
      <c r="B76" s="1123">
        <v>22</v>
      </c>
      <c r="C76" s="1127"/>
      <c r="D76" s="1125"/>
      <c r="E76" s="1125" t="s">
        <v>18</v>
      </c>
      <c r="F76" s="1130" t="str">
        <f>VLOOKUP(E76,$N$13:$O$17,2,0)</f>
        <v>-</v>
      </c>
      <c r="G76" s="92"/>
      <c r="H76" s="1125"/>
      <c r="I76" s="1125"/>
      <c r="J76" s="1133"/>
      <c r="K76" s="1133"/>
      <c r="L76" s="916"/>
    </row>
    <row r="77" spans="1:12" s="103" customFormat="1" ht="15.75" hidden="1" customHeight="1" outlineLevel="1">
      <c r="A77" s="916"/>
      <c r="B77" s="1123"/>
      <c r="C77" s="1127"/>
      <c r="D77" s="1125"/>
      <c r="E77" s="1125"/>
      <c r="F77" s="1130"/>
      <c r="G77" s="95"/>
      <c r="H77" s="1125"/>
      <c r="I77" s="1125"/>
      <c r="J77" s="1134"/>
      <c r="K77" s="1134"/>
      <c r="L77" s="916"/>
    </row>
    <row r="78" spans="1:12" s="103" customFormat="1" ht="15.75" hidden="1" customHeight="1" outlineLevel="1">
      <c r="A78" s="916"/>
      <c r="B78" s="1124"/>
      <c r="C78" s="1128"/>
      <c r="D78" s="1126"/>
      <c r="E78" s="1126"/>
      <c r="F78" s="1132"/>
      <c r="G78" s="100"/>
      <c r="H78" s="1126"/>
      <c r="I78" s="1126"/>
      <c r="J78" s="1135"/>
      <c r="K78" s="1135"/>
      <c r="L78" s="916"/>
    </row>
    <row r="79" spans="1:12" s="103" customFormat="1" ht="15.75" hidden="1" customHeight="1" outlineLevel="1">
      <c r="A79" s="916"/>
      <c r="B79" s="1123">
        <v>23</v>
      </c>
      <c r="C79" s="1127"/>
      <c r="D79" s="1125"/>
      <c r="E79" s="1125" t="s">
        <v>18</v>
      </c>
      <c r="F79" s="1130" t="str">
        <f>VLOOKUP(E79,$N$13:$O$17,2,0)</f>
        <v>-</v>
      </c>
      <c r="G79" s="92"/>
      <c r="H79" s="1125"/>
      <c r="I79" s="1125"/>
      <c r="J79" s="1133"/>
      <c r="K79" s="1133"/>
      <c r="L79" s="916"/>
    </row>
    <row r="80" spans="1:12" s="103" customFormat="1" ht="15.75" hidden="1" customHeight="1" outlineLevel="1">
      <c r="A80" s="916"/>
      <c r="B80" s="1123"/>
      <c r="C80" s="1127"/>
      <c r="D80" s="1125"/>
      <c r="E80" s="1125"/>
      <c r="F80" s="1130"/>
      <c r="G80" s="95"/>
      <c r="H80" s="1125"/>
      <c r="I80" s="1125"/>
      <c r="J80" s="1134"/>
      <c r="K80" s="1134"/>
      <c r="L80" s="916"/>
    </row>
    <row r="81" spans="1:12" s="103" customFormat="1" ht="15.75" hidden="1" customHeight="1" outlineLevel="1">
      <c r="A81" s="916"/>
      <c r="B81" s="1124"/>
      <c r="C81" s="1128"/>
      <c r="D81" s="1126"/>
      <c r="E81" s="1126"/>
      <c r="F81" s="1132"/>
      <c r="G81" s="100"/>
      <c r="H81" s="1126"/>
      <c r="I81" s="1126"/>
      <c r="J81" s="1135"/>
      <c r="K81" s="1135"/>
      <c r="L81" s="916"/>
    </row>
    <row r="82" spans="1:12" s="103" customFormat="1" ht="15.75" hidden="1" customHeight="1" outlineLevel="1">
      <c r="A82" s="916"/>
      <c r="B82" s="1123">
        <v>24</v>
      </c>
      <c r="C82" s="1127"/>
      <c r="D82" s="1125"/>
      <c r="E82" s="1125" t="s">
        <v>18</v>
      </c>
      <c r="F82" s="1130" t="str">
        <f>VLOOKUP(E82,$N$13:$O$17,2,0)</f>
        <v>-</v>
      </c>
      <c r="G82" s="92"/>
      <c r="H82" s="1125"/>
      <c r="I82" s="1125"/>
      <c r="J82" s="1133"/>
      <c r="K82" s="1133"/>
      <c r="L82" s="916"/>
    </row>
    <row r="83" spans="1:12" s="103" customFormat="1" ht="15.75" hidden="1" customHeight="1" outlineLevel="1">
      <c r="A83" s="916"/>
      <c r="B83" s="1123"/>
      <c r="C83" s="1127"/>
      <c r="D83" s="1125"/>
      <c r="E83" s="1125"/>
      <c r="F83" s="1130"/>
      <c r="G83" s="95"/>
      <c r="H83" s="1125"/>
      <c r="I83" s="1125"/>
      <c r="J83" s="1134"/>
      <c r="K83" s="1134"/>
      <c r="L83" s="916"/>
    </row>
    <row r="84" spans="1:12" s="103" customFormat="1" ht="15.75" hidden="1" customHeight="1" outlineLevel="1">
      <c r="A84" s="916"/>
      <c r="B84" s="1124"/>
      <c r="C84" s="1128"/>
      <c r="D84" s="1126"/>
      <c r="E84" s="1126"/>
      <c r="F84" s="1132"/>
      <c r="G84" s="100"/>
      <c r="H84" s="1126"/>
      <c r="I84" s="1126"/>
      <c r="J84" s="1135"/>
      <c r="K84" s="1135"/>
      <c r="L84" s="916"/>
    </row>
    <row r="85" spans="1:12" s="103" customFormat="1" ht="15.75" hidden="1" customHeight="1" outlineLevel="1">
      <c r="A85" s="916"/>
      <c r="B85" s="1123">
        <v>25</v>
      </c>
      <c r="C85" s="1127"/>
      <c r="D85" s="1125"/>
      <c r="E85" s="1125" t="s">
        <v>18</v>
      </c>
      <c r="F85" s="1130" t="str">
        <f>VLOOKUP(E85,$N$13:$O$17,2,0)</f>
        <v>-</v>
      </c>
      <c r="G85" s="92"/>
      <c r="H85" s="1125"/>
      <c r="I85" s="1125"/>
      <c r="J85" s="1133"/>
      <c r="K85" s="1133"/>
      <c r="L85" s="916"/>
    </row>
    <row r="86" spans="1:12" s="103" customFormat="1" ht="15.75" hidden="1" customHeight="1" outlineLevel="1">
      <c r="A86" s="916"/>
      <c r="B86" s="1123"/>
      <c r="C86" s="1127"/>
      <c r="D86" s="1125"/>
      <c r="E86" s="1125"/>
      <c r="F86" s="1130"/>
      <c r="G86" s="95"/>
      <c r="H86" s="1125"/>
      <c r="I86" s="1125"/>
      <c r="J86" s="1134"/>
      <c r="K86" s="1134"/>
      <c r="L86" s="916"/>
    </row>
    <row r="87" spans="1:12" s="103" customFormat="1" ht="15.75" hidden="1" customHeight="1" outlineLevel="1">
      <c r="A87" s="916"/>
      <c r="B87" s="1124"/>
      <c r="C87" s="1128"/>
      <c r="D87" s="1126"/>
      <c r="E87" s="1126"/>
      <c r="F87" s="1132"/>
      <c r="G87" s="100"/>
      <c r="H87" s="1126"/>
      <c r="I87" s="1126"/>
      <c r="J87" s="1135"/>
      <c r="K87" s="1135"/>
      <c r="L87" s="916"/>
    </row>
    <row r="88" spans="1:12" s="103" customFormat="1" ht="15.75" hidden="1" customHeight="1" outlineLevel="1">
      <c r="A88" s="916"/>
      <c r="B88" s="1123">
        <v>26</v>
      </c>
      <c r="C88" s="1127"/>
      <c r="D88" s="1125"/>
      <c r="E88" s="1125" t="s">
        <v>18</v>
      </c>
      <c r="F88" s="1130" t="str">
        <f>VLOOKUP(E88,$N$13:$O$17,2,0)</f>
        <v>-</v>
      </c>
      <c r="G88" s="92"/>
      <c r="H88" s="1125"/>
      <c r="I88" s="1125"/>
      <c r="J88" s="1133"/>
      <c r="K88" s="1133"/>
      <c r="L88" s="916"/>
    </row>
    <row r="89" spans="1:12" s="103" customFormat="1" ht="15.75" hidden="1" customHeight="1" outlineLevel="1">
      <c r="A89" s="916"/>
      <c r="B89" s="1123"/>
      <c r="C89" s="1127"/>
      <c r="D89" s="1125"/>
      <c r="E89" s="1125"/>
      <c r="F89" s="1130"/>
      <c r="G89" s="95"/>
      <c r="H89" s="1125"/>
      <c r="I89" s="1125"/>
      <c r="J89" s="1134"/>
      <c r="K89" s="1134"/>
      <c r="L89" s="916"/>
    </row>
    <row r="90" spans="1:12" s="103" customFormat="1" ht="15.75" hidden="1" customHeight="1" outlineLevel="1">
      <c r="A90" s="916"/>
      <c r="B90" s="1124"/>
      <c r="C90" s="1128"/>
      <c r="D90" s="1126"/>
      <c r="E90" s="1126"/>
      <c r="F90" s="1132"/>
      <c r="G90" s="100"/>
      <c r="H90" s="1126"/>
      <c r="I90" s="1126"/>
      <c r="J90" s="1135"/>
      <c r="K90" s="1135"/>
      <c r="L90" s="916"/>
    </row>
    <row r="91" spans="1:12" s="103" customFormat="1" ht="15.75" hidden="1" customHeight="1" outlineLevel="1">
      <c r="A91" s="916"/>
      <c r="B91" s="1123">
        <v>27</v>
      </c>
      <c r="C91" s="1127"/>
      <c r="D91" s="1125"/>
      <c r="E91" s="1125" t="s">
        <v>18</v>
      </c>
      <c r="F91" s="1130" t="str">
        <f>VLOOKUP(E91,$N$13:$O$17,2,0)</f>
        <v>-</v>
      </c>
      <c r="G91" s="92"/>
      <c r="H91" s="1125"/>
      <c r="I91" s="1125"/>
      <c r="J91" s="1133"/>
      <c r="K91" s="1133"/>
      <c r="L91" s="916"/>
    </row>
    <row r="92" spans="1:12" s="103" customFormat="1" ht="15.75" hidden="1" customHeight="1" outlineLevel="1">
      <c r="A92" s="916"/>
      <c r="B92" s="1123"/>
      <c r="C92" s="1127"/>
      <c r="D92" s="1125"/>
      <c r="E92" s="1125"/>
      <c r="F92" s="1130"/>
      <c r="G92" s="95"/>
      <c r="H92" s="1125"/>
      <c r="I92" s="1125"/>
      <c r="J92" s="1134"/>
      <c r="K92" s="1134"/>
      <c r="L92" s="916"/>
    </row>
    <row r="93" spans="1:12" s="103" customFormat="1" ht="15.75" hidden="1" customHeight="1" outlineLevel="1">
      <c r="A93" s="916"/>
      <c r="B93" s="1124"/>
      <c r="C93" s="1128"/>
      <c r="D93" s="1126"/>
      <c r="E93" s="1126"/>
      <c r="F93" s="1132"/>
      <c r="G93" s="100"/>
      <c r="H93" s="1126"/>
      <c r="I93" s="1126"/>
      <c r="J93" s="1135"/>
      <c r="K93" s="1135"/>
      <c r="L93" s="916"/>
    </row>
    <row r="94" spans="1:12" s="103" customFormat="1" ht="15.75" hidden="1" customHeight="1" outlineLevel="1">
      <c r="A94" s="916"/>
      <c r="B94" s="1123">
        <v>28</v>
      </c>
      <c r="C94" s="1127"/>
      <c r="D94" s="1125"/>
      <c r="E94" s="1125" t="s">
        <v>18</v>
      </c>
      <c r="F94" s="1130" t="str">
        <f>VLOOKUP(E94,$N$13:$O$17,2,0)</f>
        <v>-</v>
      </c>
      <c r="G94" s="92"/>
      <c r="H94" s="1125"/>
      <c r="I94" s="1125"/>
      <c r="J94" s="1133"/>
      <c r="K94" s="1133"/>
      <c r="L94" s="916"/>
    </row>
    <row r="95" spans="1:12" s="103" customFormat="1" ht="15.75" hidden="1" customHeight="1" outlineLevel="1">
      <c r="A95" s="916"/>
      <c r="B95" s="1123"/>
      <c r="C95" s="1127"/>
      <c r="D95" s="1125"/>
      <c r="E95" s="1125"/>
      <c r="F95" s="1130"/>
      <c r="G95" s="95"/>
      <c r="H95" s="1125"/>
      <c r="I95" s="1125"/>
      <c r="J95" s="1134"/>
      <c r="K95" s="1134"/>
      <c r="L95" s="916"/>
    </row>
    <row r="96" spans="1:12" s="103" customFormat="1" ht="15.75" hidden="1" customHeight="1" outlineLevel="1">
      <c r="A96" s="916"/>
      <c r="B96" s="1124"/>
      <c r="C96" s="1128"/>
      <c r="D96" s="1126"/>
      <c r="E96" s="1126"/>
      <c r="F96" s="1132"/>
      <c r="G96" s="100"/>
      <c r="H96" s="1126"/>
      <c r="I96" s="1126"/>
      <c r="J96" s="1135"/>
      <c r="K96" s="1135"/>
      <c r="L96" s="916"/>
    </row>
    <row r="97" spans="1:12" s="103" customFormat="1" ht="15.75" hidden="1" customHeight="1" outlineLevel="1">
      <c r="A97" s="916"/>
      <c r="B97" s="1123">
        <v>29</v>
      </c>
      <c r="C97" s="1127"/>
      <c r="D97" s="1125"/>
      <c r="E97" s="1125" t="s">
        <v>18</v>
      </c>
      <c r="F97" s="1130" t="str">
        <f>VLOOKUP(E97,$N$13:$O$17,2,0)</f>
        <v>-</v>
      </c>
      <c r="G97" s="92"/>
      <c r="H97" s="1125"/>
      <c r="I97" s="1125"/>
      <c r="J97" s="1133"/>
      <c r="K97" s="1133"/>
      <c r="L97" s="916"/>
    </row>
    <row r="98" spans="1:12" s="103" customFormat="1" ht="15.75" hidden="1" customHeight="1" outlineLevel="1">
      <c r="A98" s="916"/>
      <c r="B98" s="1123"/>
      <c r="C98" s="1127"/>
      <c r="D98" s="1125"/>
      <c r="E98" s="1125"/>
      <c r="F98" s="1130"/>
      <c r="G98" s="95"/>
      <c r="H98" s="1125"/>
      <c r="I98" s="1125"/>
      <c r="J98" s="1134"/>
      <c r="K98" s="1134"/>
      <c r="L98" s="916"/>
    </row>
    <row r="99" spans="1:12" s="103" customFormat="1" ht="15.75" hidden="1" customHeight="1" outlineLevel="1">
      <c r="A99" s="916"/>
      <c r="B99" s="1124"/>
      <c r="C99" s="1128"/>
      <c r="D99" s="1126"/>
      <c r="E99" s="1126"/>
      <c r="F99" s="1132"/>
      <c r="G99" s="100"/>
      <c r="H99" s="1126"/>
      <c r="I99" s="1126"/>
      <c r="J99" s="1135"/>
      <c r="K99" s="1135"/>
      <c r="L99" s="916"/>
    </row>
    <row r="100" spans="1:12" s="103" customFormat="1" ht="15.75" hidden="1" customHeight="1" outlineLevel="1">
      <c r="A100" s="916"/>
      <c r="B100" s="1123">
        <v>30</v>
      </c>
      <c r="C100" s="1127"/>
      <c r="D100" s="1125"/>
      <c r="E100" s="1125" t="s">
        <v>18</v>
      </c>
      <c r="F100" s="1130" t="str">
        <f>VLOOKUP(E100,$N$13:$O$17,2,0)</f>
        <v>-</v>
      </c>
      <c r="G100" s="92"/>
      <c r="H100" s="1125"/>
      <c r="I100" s="1125"/>
      <c r="J100" s="1133"/>
      <c r="K100" s="1133"/>
      <c r="L100" s="916"/>
    </row>
    <row r="101" spans="1:12" s="103" customFormat="1" ht="15.75" hidden="1" customHeight="1" outlineLevel="1">
      <c r="A101" s="916"/>
      <c r="B101" s="1123"/>
      <c r="C101" s="1127"/>
      <c r="D101" s="1125"/>
      <c r="E101" s="1125"/>
      <c r="F101" s="1130"/>
      <c r="G101" s="95"/>
      <c r="H101" s="1125"/>
      <c r="I101" s="1125"/>
      <c r="J101" s="1134"/>
      <c r="K101" s="1134"/>
      <c r="L101" s="916"/>
    </row>
    <row r="102" spans="1:12" s="103" customFormat="1" ht="15.75" hidden="1" customHeight="1" outlineLevel="1">
      <c r="A102" s="916"/>
      <c r="B102" s="1124"/>
      <c r="C102" s="1128"/>
      <c r="D102" s="1126"/>
      <c r="E102" s="1126"/>
      <c r="F102" s="1132"/>
      <c r="G102" s="100"/>
      <c r="H102" s="1126"/>
      <c r="I102" s="1126"/>
      <c r="J102" s="1135"/>
      <c r="K102" s="1135"/>
      <c r="L102" s="916"/>
    </row>
    <row r="103" spans="1:12" s="103" customFormat="1" ht="15.75" hidden="1" customHeight="1" outlineLevel="1">
      <c r="A103" s="916"/>
      <c r="B103" s="1123">
        <v>31</v>
      </c>
      <c r="C103" s="1127"/>
      <c r="D103" s="1125"/>
      <c r="E103" s="1125" t="s">
        <v>18</v>
      </c>
      <c r="F103" s="1130" t="str">
        <f>VLOOKUP(E103,$N$13:$O$17,2,0)</f>
        <v>-</v>
      </c>
      <c r="G103" s="92"/>
      <c r="H103" s="1125"/>
      <c r="I103" s="1125"/>
      <c r="J103" s="1133"/>
      <c r="K103" s="1133"/>
      <c r="L103" s="916"/>
    </row>
    <row r="104" spans="1:12" s="103" customFormat="1" ht="15.75" hidden="1" customHeight="1" outlineLevel="1">
      <c r="A104" s="916"/>
      <c r="B104" s="1123"/>
      <c r="C104" s="1127"/>
      <c r="D104" s="1125"/>
      <c r="E104" s="1125"/>
      <c r="F104" s="1130"/>
      <c r="G104" s="95"/>
      <c r="H104" s="1125"/>
      <c r="I104" s="1125"/>
      <c r="J104" s="1134"/>
      <c r="K104" s="1134"/>
      <c r="L104" s="916"/>
    </row>
    <row r="105" spans="1:12" s="103" customFormat="1" ht="15.75" hidden="1" customHeight="1" outlineLevel="1">
      <c r="A105" s="916"/>
      <c r="B105" s="1124"/>
      <c r="C105" s="1128"/>
      <c r="D105" s="1126"/>
      <c r="E105" s="1126"/>
      <c r="F105" s="1132"/>
      <c r="G105" s="100"/>
      <c r="H105" s="1126"/>
      <c r="I105" s="1126"/>
      <c r="J105" s="1135"/>
      <c r="K105" s="1135"/>
      <c r="L105" s="916"/>
    </row>
    <row r="106" spans="1:12" s="103" customFormat="1" ht="15.75" hidden="1" customHeight="1" outlineLevel="1">
      <c r="A106" s="916"/>
      <c r="B106" s="1123">
        <v>32</v>
      </c>
      <c r="C106" s="1127"/>
      <c r="D106" s="1125"/>
      <c r="E106" s="1125" t="s">
        <v>18</v>
      </c>
      <c r="F106" s="1130" t="str">
        <f>VLOOKUP(E106,$N$13:$O$17,2,0)</f>
        <v>-</v>
      </c>
      <c r="G106" s="92"/>
      <c r="H106" s="1125"/>
      <c r="I106" s="1125"/>
      <c r="J106" s="1133"/>
      <c r="K106" s="1133"/>
      <c r="L106" s="916"/>
    </row>
    <row r="107" spans="1:12" s="103" customFormat="1" ht="15.75" hidden="1" customHeight="1" outlineLevel="1">
      <c r="A107" s="916"/>
      <c r="B107" s="1123"/>
      <c r="C107" s="1127"/>
      <c r="D107" s="1125"/>
      <c r="E107" s="1125"/>
      <c r="F107" s="1130"/>
      <c r="G107" s="95"/>
      <c r="H107" s="1125"/>
      <c r="I107" s="1125"/>
      <c r="J107" s="1134"/>
      <c r="K107" s="1134"/>
      <c r="L107" s="916"/>
    </row>
    <row r="108" spans="1:12" s="103" customFormat="1" ht="15.75" hidden="1" customHeight="1" outlineLevel="1">
      <c r="A108" s="916"/>
      <c r="B108" s="1124"/>
      <c r="C108" s="1128"/>
      <c r="D108" s="1126"/>
      <c r="E108" s="1126"/>
      <c r="F108" s="1132"/>
      <c r="G108" s="100"/>
      <c r="H108" s="1126"/>
      <c r="I108" s="1126"/>
      <c r="J108" s="1135"/>
      <c r="K108" s="1135"/>
      <c r="L108" s="916"/>
    </row>
    <row r="109" spans="1:12" s="103" customFormat="1" ht="15.75" hidden="1" customHeight="1" outlineLevel="1">
      <c r="A109" s="916"/>
      <c r="B109" s="1123">
        <v>33</v>
      </c>
      <c r="C109" s="1127"/>
      <c r="D109" s="1125"/>
      <c r="E109" s="1125" t="s">
        <v>18</v>
      </c>
      <c r="F109" s="1130" t="str">
        <f>VLOOKUP(E109,$N$13:$O$17,2,0)</f>
        <v>-</v>
      </c>
      <c r="G109" s="92"/>
      <c r="H109" s="1125"/>
      <c r="I109" s="1125"/>
      <c r="J109" s="1133"/>
      <c r="K109" s="1133"/>
      <c r="L109" s="916"/>
    </row>
    <row r="110" spans="1:12" s="103" customFormat="1" ht="15.75" hidden="1" customHeight="1" outlineLevel="1">
      <c r="A110" s="916"/>
      <c r="B110" s="1123"/>
      <c r="C110" s="1127"/>
      <c r="D110" s="1125"/>
      <c r="E110" s="1125"/>
      <c r="F110" s="1130"/>
      <c r="G110" s="95"/>
      <c r="H110" s="1125"/>
      <c r="I110" s="1125"/>
      <c r="J110" s="1134"/>
      <c r="K110" s="1134"/>
      <c r="L110" s="916"/>
    </row>
    <row r="111" spans="1:12" s="103" customFormat="1" ht="15.75" hidden="1" customHeight="1" outlineLevel="1">
      <c r="A111" s="916"/>
      <c r="B111" s="1124"/>
      <c r="C111" s="1128"/>
      <c r="D111" s="1126"/>
      <c r="E111" s="1126"/>
      <c r="F111" s="1132"/>
      <c r="G111" s="100"/>
      <c r="H111" s="1126"/>
      <c r="I111" s="1126"/>
      <c r="J111" s="1135"/>
      <c r="K111" s="1135"/>
      <c r="L111" s="916"/>
    </row>
    <row r="112" spans="1:12" s="103" customFormat="1" ht="15.75" hidden="1" customHeight="1" outlineLevel="1">
      <c r="A112" s="916"/>
      <c r="B112" s="1123">
        <v>34</v>
      </c>
      <c r="C112" s="1127"/>
      <c r="D112" s="1125"/>
      <c r="E112" s="1125" t="s">
        <v>18</v>
      </c>
      <c r="F112" s="1130" t="str">
        <f>VLOOKUP(E112,$N$13:$O$17,2,0)</f>
        <v>-</v>
      </c>
      <c r="G112" s="92"/>
      <c r="H112" s="1125"/>
      <c r="I112" s="1125"/>
      <c r="J112" s="1133"/>
      <c r="K112" s="1133"/>
      <c r="L112" s="916"/>
    </row>
    <row r="113" spans="1:12" s="103" customFormat="1" ht="15.75" hidden="1" customHeight="1" outlineLevel="1">
      <c r="A113" s="916"/>
      <c r="B113" s="1123"/>
      <c r="C113" s="1127"/>
      <c r="D113" s="1125"/>
      <c r="E113" s="1125"/>
      <c r="F113" s="1130"/>
      <c r="G113" s="95"/>
      <c r="H113" s="1125"/>
      <c r="I113" s="1125"/>
      <c r="J113" s="1134"/>
      <c r="K113" s="1134"/>
      <c r="L113" s="916"/>
    </row>
    <row r="114" spans="1:12" s="103" customFormat="1" ht="15.75" hidden="1" customHeight="1" outlineLevel="1">
      <c r="A114" s="916"/>
      <c r="B114" s="1124"/>
      <c r="C114" s="1128"/>
      <c r="D114" s="1126"/>
      <c r="E114" s="1126"/>
      <c r="F114" s="1132"/>
      <c r="G114" s="100"/>
      <c r="H114" s="1126"/>
      <c r="I114" s="1126"/>
      <c r="J114" s="1135"/>
      <c r="K114" s="1135"/>
      <c r="L114" s="916"/>
    </row>
    <row r="115" spans="1:12" s="103" customFormat="1" ht="15.75" hidden="1" customHeight="1" outlineLevel="1">
      <c r="A115" s="916"/>
      <c r="B115" s="1123">
        <v>35</v>
      </c>
      <c r="C115" s="1127"/>
      <c r="D115" s="1125"/>
      <c r="E115" s="1125" t="s">
        <v>18</v>
      </c>
      <c r="F115" s="1130" t="str">
        <f>VLOOKUP(E115,$N$13:$O$17,2,0)</f>
        <v>-</v>
      </c>
      <c r="G115" s="92"/>
      <c r="H115" s="1125"/>
      <c r="I115" s="1125"/>
      <c r="J115" s="1133"/>
      <c r="K115" s="1133"/>
      <c r="L115" s="916"/>
    </row>
    <row r="116" spans="1:12" s="103" customFormat="1" ht="15.75" hidden="1" customHeight="1" outlineLevel="1">
      <c r="A116" s="916"/>
      <c r="B116" s="1123"/>
      <c r="C116" s="1127"/>
      <c r="D116" s="1125"/>
      <c r="E116" s="1125"/>
      <c r="F116" s="1130"/>
      <c r="G116" s="95"/>
      <c r="H116" s="1125"/>
      <c r="I116" s="1125"/>
      <c r="J116" s="1134"/>
      <c r="K116" s="1134"/>
      <c r="L116" s="916"/>
    </row>
    <row r="117" spans="1:12" s="103" customFormat="1" ht="15.75" hidden="1" customHeight="1" outlineLevel="1">
      <c r="A117" s="916"/>
      <c r="B117" s="1124"/>
      <c r="C117" s="1128"/>
      <c r="D117" s="1126"/>
      <c r="E117" s="1126"/>
      <c r="F117" s="1132"/>
      <c r="G117" s="100"/>
      <c r="H117" s="1126"/>
      <c r="I117" s="1126"/>
      <c r="J117" s="1135"/>
      <c r="K117" s="1135"/>
      <c r="L117" s="916"/>
    </row>
    <row r="118" spans="1:12" s="103" customFormat="1" ht="15.75" hidden="1" customHeight="1" outlineLevel="1">
      <c r="A118" s="916"/>
      <c r="B118" s="1123">
        <v>36</v>
      </c>
      <c r="C118" s="1127"/>
      <c r="D118" s="1125"/>
      <c r="E118" s="1125" t="s">
        <v>18</v>
      </c>
      <c r="F118" s="1130" t="str">
        <f>VLOOKUP(E118,$N$13:$O$17,2,0)</f>
        <v>-</v>
      </c>
      <c r="G118" s="92"/>
      <c r="H118" s="1125"/>
      <c r="I118" s="1125"/>
      <c r="J118" s="1133"/>
      <c r="K118" s="1133"/>
      <c r="L118" s="916"/>
    </row>
    <row r="119" spans="1:12" s="103" customFormat="1" ht="15.75" hidden="1" customHeight="1" outlineLevel="1">
      <c r="A119" s="916"/>
      <c r="B119" s="1123"/>
      <c r="C119" s="1127"/>
      <c r="D119" s="1125"/>
      <c r="E119" s="1125"/>
      <c r="F119" s="1130"/>
      <c r="G119" s="95"/>
      <c r="H119" s="1125"/>
      <c r="I119" s="1125"/>
      <c r="J119" s="1134"/>
      <c r="K119" s="1134"/>
      <c r="L119" s="916"/>
    </row>
    <row r="120" spans="1:12" s="103" customFormat="1" ht="15.75" hidden="1" customHeight="1" outlineLevel="1">
      <c r="A120" s="916"/>
      <c r="B120" s="1124"/>
      <c r="C120" s="1128"/>
      <c r="D120" s="1126"/>
      <c r="E120" s="1126"/>
      <c r="F120" s="1132"/>
      <c r="G120" s="100"/>
      <c r="H120" s="1126"/>
      <c r="I120" s="1126"/>
      <c r="J120" s="1135"/>
      <c r="K120" s="1135"/>
      <c r="L120" s="916"/>
    </row>
    <row r="121" spans="1:12" s="103" customFormat="1" ht="15.75" hidden="1" customHeight="1" outlineLevel="1">
      <c r="A121" s="916"/>
      <c r="B121" s="1123">
        <v>37</v>
      </c>
      <c r="C121" s="1127"/>
      <c r="D121" s="1125"/>
      <c r="E121" s="1125" t="s">
        <v>18</v>
      </c>
      <c r="F121" s="1130" t="str">
        <f>VLOOKUP(E121,$N$13:$O$17,2,0)</f>
        <v>-</v>
      </c>
      <c r="G121" s="92"/>
      <c r="H121" s="1125"/>
      <c r="I121" s="1125"/>
      <c r="J121" s="1133"/>
      <c r="K121" s="1133"/>
      <c r="L121" s="916"/>
    </row>
    <row r="122" spans="1:12" s="103" customFormat="1" ht="15.75" hidden="1" customHeight="1" outlineLevel="1">
      <c r="A122" s="916"/>
      <c r="B122" s="1123"/>
      <c r="C122" s="1127"/>
      <c r="D122" s="1125"/>
      <c r="E122" s="1125"/>
      <c r="F122" s="1130"/>
      <c r="G122" s="95"/>
      <c r="H122" s="1125"/>
      <c r="I122" s="1125"/>
      <c r="J122" s="1134"/>
      <c r="K122" s="1134"/>
      <c r="L122" s="916"/>
    </row>
    <row r="123" spans="1:12" s="103" customFormat="1" ht="15.75" hidden="1" customHeight="1" outlineLevel="1">
      <c r="A123" s="916"/>
      <c r="B123" s="1124"/>
      <c r="C123" s="1128"/>
      <c r="D123" s="1126"/>
      <c r="E123" s="1126"/>
      <c r="F123" s="1132"/>
      <c r="G123" s="100"/>
      <c r="H123" s="1126"/>
      <c r="I123" s="1126"/>
      <c r="J123" s="1135"/>
      <c r="K123" s="1135"/>
      <c r="L123" s="916"/>
    </row>
    <row r="124" spans="1:12" s="103" customFormat="1" ht="15.75" hidden="1" customHeight="1" outlineLevel="1">
      <c r="A124" s="916"/>
      <c r="B124" s="1123">
        <v>38</v>
      </c>
      <c r="C124" s="1127"/>
      <c r="D124" s="1125"/>
      <c r="E124" s="1125" t="s">
        <v>18</v>
      </c>
      <c r="F124" s="1130" t="str">
        <f>VLOOKUP(E124,$N$13:$O$17,2,0)</f>
        <v>-</v>
      </c>
      <c r="G124" s="92"/>
      <c r="H124" s="1125"/>
      <c r="I124" s="1125"/>
      <c r="J124" s="1133"/>
      <c r="K124" s="1133"/>
      <c r="L124" s="916"/>
    </row>
    <row r="125" spans="1:12" s="103" customFormat="1" ht="15.75" hidden="1" customHeight="1" outlineLevel="1">
      <c r="A125" s="916"/>
      <c r="B125" s="1123"/>
      <c r="C125" s="1127"/>
      <c r="D125" s="1125"/>
      <c r="E125" s="1125"/>
      <c r="F125" s="1130"/>
      <c r="G125" s="95"/>
      <c r="H125" s="1125"/>
      <c r="I125" s="1125"/>
      <c r="J125" s="1134"/>
      <c r="K125" s="1134"/>
      <c r="L125" s="916"/>
    </row>
    <row r="126" spans="1:12" s="103" customFormat="1" ht="15.75" hidden="1" customHeight="1" outlineLevel="1">
      <c r="A126" s="916"/>
      <c r="B126" s="1124"/>
      <c r="C126" s="1128"/>
      <c r="D126" s="1126"/>
      <c r="E126" s="1126"/>
      <c r="F126" s="1132"/>
      <c r="G126" s="100"/>
      <c r="H126" s="1126"/>
      <c r="I126" s="1126"/>
      <c r="J126" s="1135"/>
      <c r="K126" s="1135"/>
      <c r="L126" s="916"/>
    </row>
    <row r="127" spans="1:12" s="103" customFormat="1" ht="15.75" hidden="1" customHeight="1" outlineLevel="1">
      <c r="A127" s="916"/>
      <c r="B127" s="1123">
        <v>39</v>
      </c>
      <c r="C127" s="1127"/>
      <c r="D127" s="1125"/>
      <c r="E127" s="1125" t="s">
        <v>18</v>
      </c>
      <c r="F127" s="1130" t="str">
        <f>VLOOKUP(E127,$N$13:$O$17,2,0)</f>
        <v>-</v>
      </c>
      <c r="G127" s="92"/>
      <c r="H127" s="1125"/>
      <c r="I127" s="1125"/>
      <c r="J127" s="1133"/>
      <c r="K127" s="1133"/>
      <c r="L127" s="916"/>
    </row>
    <row r="128" spans="1:12" s="103" customFormat="1" ht="15.75" hidden="1" customHeight="1" outlineLevel="1">
      <c r="A128" s="916"/>
      <c r="B128" s="1123"/>
      <c r="C128" s="1127"/>
      <c r="D128" s="1125"/>
      <c r="E128" s="1125"/>
      <c r="F128" s="1130"/>
      <c r="G128" s="95"/>
      <c r="H128" s="1125"/>
      <c r="I128" s="1125"/>
      <c r="J128" s="1134"/>
      <c r="K128" s="1134"/>
      <c r="L128" s="916"/>
    </row>
    <row r="129" spans="1:12" s="103" customFormat="1" ht="15.75" hidden="1" customHeight="1" outlineLevel="1">
      <c r="A129" s="916"/>
      <c r="B129" s="1124"/>
      <c r="C129" s="1128"/>
      <c r="D129" s="1126"/>
      <c r="E129" s="1126"/>
      <c r="F129" s="1132"/>
      <c r="G129" s="100"/>
      <c r="H129" s="1126"/>
      <c r="I129" s="1126"/>
      <c r="J129" s="1135"/>
      <c r="K129" s="1135"/>
      <c r="L129" s="916"/>
    </row>
    <row r="130" spans="1:12" s="103" customFormat="1" ht="15.75" hidden="1" customHeight="1" outlineLevel="1">
      <c r="A130" s="916"/>
      <c r="B130" s="1123">
        <v>40</v>
      </c>
      <c r="C130" s="1127"/>
      <c r="D130" s="1125"/>
      <c r="E130" s="1125" t="s">
        <v>18</v>
      </c>
      <c r="F130" s="1130" t="str">
        <f>VLOOKUP(E130,$N$13:$O$17,2,0)</f>
        <v>-</v>
      </c>
      <c r="G130" s="92"/>
      <c r="H130" s="1125"/>
      <c r="I130" s="1125"/>
      <c r="J130" s="1133"/>
      <c r="K130" s="1133"/>
      <c r="L130" s="916"/>
    </row>
    <row r="131" spans="1:12" s="103" customFormat="1" ht="15.75" hidden="1" customHeight="1" outlineLevel="1">
      <c r="A131" s="916"/>
      <c r="B131" s="1123"/>
      <c r="C131" s="1127"/>
      <c r="D131" s="1125"/>
      <c r="E131" s="1125"/>
      <c r="F131" s="1130"/>
      <c r="G131" s="95"/>
      <c r="H131" s="1125"/>
      <c r="I131" s="1125"/>
      <c r="J131" s="1134"/>
      <c r="K131" s="1134"/>
      <c r="L131" s="916"/>
    </row>
    <row r="132" spans="1:12" s="103" customFormat="1" ht="15.75" hidden="1" customHeight="1" outlineLevel="1">
      <c r="A132" s="916"/>
      <c r="B132" s="1124"/>
      <c r="C132" s="1128"/>
      <c r="D132" s="1126"/>
      <c r="E132" s="1126"/>
      <c r="F132" s="1132"/>
      <c r="G132" s="100"/>
      <c r="H132" s="1126"/>
      <c r="I132" s="1126"/>
      <c r="J132" s="1135"/>
      <c r="K132" s="1135"/>
      <c r="L132" s="916"/>
    </row>
    <row r="133" spans="1:12" s="103" customFormat="1" ht="15.75" hidden="1" customHeight="1" outlineLevel="1">
      <c r="A133" s="916"/>
      <c r="B133" s="1123">
        <v>41</v>
      </c>
      <c r="C133" s="1127"/>
      <c r="D133" s="1125"/>
      <c r="E133" s="1125" t="s">
        <v>18</v>
      </c>
      <c r="F133" s="1130" t="str">
        <f>VLOOKUP(E133,$N$13:$O$17,2,0)</f>
        <v>-</v>
      </c>
      <c r="G133" s="92"/>
      <c r="H133" s="1125"/>
      <c r="I133" s="1125"/>
      <c r="J133" s="1133"/>
      <c r="K133" s="1133"/>
      <c r="L133" s="916"/>
    </row>
    <row r="134" spans="1:12" s="103" customFormat="1" ht="15.75" hidden="1" customHeight="1" outlineLevel="1">
      <c r="A134" s="916"/>
      <c r="B134" s="1123"/>
      <c r="C134" s="1127"/>
      <c r="D134" s="1125"/>
      <c r="E134" s="1125"/>
      <c r="F134" s="1130"/>
      <c r="G134" s="95"/>
      <c r="H134" s="1125"/>
      <c r="I134" s="1125"/>
      <c r="J134" s="1134"/>
      <c r="K134" s="1134"/>
      <c r="L134" s="916"/>
    </row>
    <row r="135" spans="1:12" s="103" customFormat="1" ht="15.75" hidden="1" customHeight="1" outlineLevel="1">
      <c r="A135" s="916"/>
      <c r="B135" s="1124"/>
      <c r="C135" s="1128"/>
      <c r="D135" s="1126"/>
      <c r="E135" s="1126"/>
      <c r="F135" s="1132"/>
      <c r="G135" s="100"/>
      <c r="H135" s="1126"/>
      <c r="I135" s="1126"/>
      <c r="J135" s="1135"/>
      <c r="K135" s="1135"/>
      <c r="L135" s="916"/>
    </row>
    <row r="136" spans="1:12" s="103" customFormat="1" ht="15.75" hidden="1" customHeight="1" outlineLevel="1">
      <c r="A136" s="916"/>
      <c r="B136" s="1123">
        <v>42</v>
      </c>
      <c r="C136" s="1127"/>
      <c r="D136" s="1125"/>
      <c r="E136" s="1125" t="s">
        <v>18</v>
      </c>
      <c r="F136" s="1130" t="str">
        <f>VLOOKUP(E136,$N$13:$O$17,2,0)</f>
        <v>-</v>
      </c>
      <c r="G136" s="92"/>
      <c r="H136" s="1125"/>
      <c r="I136" s="1125"/>
      <c r="J136" s="1133"/>
      <c r="K136" s="1133"/>
      <c r="L136" s="916"/>
    </row>
    <row r="137" spans="1:12" s="103" customFormat="1" ht="15.75" hidden="1" customHeight="1" outlineLevel="1">
      <c r="A137" s="916"/>
      <c r="B137" s="1123"/>
      <c r="C137" s="1127"/>
      <c r="D137" s="1125"/>
      <c r="E137" s="1125"/>
      <c r="F137" s="1130"/>
      <c r="G137" s="95"/>
      <c r="H137" s="1125"/>
      <c r="I137" s="1125"/>
      <c r="J137" s="1134"/>
      <c r="K137" s="1134"/>
      <c r="L137" s="916"/>
    </row>
    <row r="138" spans="1:12" s="103" customFormat="1" ht="15.75" hidden="1" customHeight="1" outlineLevel="1">
      <c r="A138" s="916"/>
      <c r="B138" s="1124"/>
      <c r="C138" s="1128"/>
      <c r="D138" s="1126"/>
      <c r="E138" s="1126"/>
      <c r="F138" s="1132"/>
      <c r="G138" s="100"/>
      <c r="H138" s="1126"/>
      <c r="I138" s="1126"/>
      <c r="J138" s="1135"/>
      <c r="K138" s="1135"/>
      <c r="L138" s="916"/>
    </row>
    <row r="139" spans="1:12" s="103" customFormat="1" ht="15.75" hidden="1" customHeight="1" outlineLevel="1">
      <c r="A139" s="916"/>
      <c r="B139" s="1123">
        <v>43</v>
      </c>
      <c r="C139" s="1127"/>
      <c r="D139" s="1125"/>
      <c r="E139" s="1125" t="s">
        <v>18</v>
      </c>
      <c r="F139" s="1130" t="str">
        <f>VLOOKUP(E139,$N$13:$O$17,2,0)</f>
        <v>-</v>
      </c>
      <c r="G139" s="92"/>
      <c r="H139" s="1125"/>
      <c r="I139" s="1125"/>
      <c r="J139" s="1133"/>
      <c r="K139" s="1133"/>
      <c r="L139" s="916"/>
    </row>
    <row r="140" spans="1:12" s="103" customFormat="1" ht="15.75" hidden="1" customHeight="1" outlineLevel="1">
      <c r="A140" s="916"/>
      <c r="B140" s="1123"/>
      <c r="C140" s="1127"/>
      <c r="D140" s="1125"/>
      <c r="E140" s="1125"/>
      <c r="F140" s="1130"/>
      <c r="G140" s="95"/>
      <c r="H140" s="1125"/>
      <c r="I140" s="1125"/>
      <c r="J140" s="1134"/>
      <c r="K140" s="1134"/>
      <c r="L140" s="916"/>
    </row>
    <row r="141" spans="1:12" s="103" customFormat="1" ht="15.75" hidden="1" customHeight="1" outlineLevel="1">
      <c r="A141" s="916"/>
      <c r="B141" s="1124"/>
      <c r="C141" s="1128"/>
      <c r="D141" s="1126"/>
      <c r="E141" s="1126"/>
      <c r="F141" s="1132"/>
      <c r="G141" s="100"/>
      <c r="H141" s="1126"/>
      <c r="I141" s="1126"/>
      <c r="J141" s="1135"/>
      <c r="K141" s="1135"/>
      <c r="L141" s="916"/>
    </row>
    <row r="142" spans="1:12" s="103" customFormat="1" ht="15.75" hidden="1" customHeight="1" outlineLevel="1">
      <c r="A142" s="916"/>
      <c r="B142" s="1123">
        <v>44</v>
      </c>
      <c r="C142" s="1127"/>
      <c r="D142" s="1125"/>
      <c r="E142" s="1125" t="s">
        <v>18</v>
      </c>
      <c r="F142" s="1130" t="str">
        <f>VLOOKUP(E142,$N$13:$O$17,2,0)</f>
        <v>-</v>
      </c>
      <c r="G142" s="92"/>
      <c r="H142" s="823"/>
      <c r="I142" s="1125"/>
      <c r="J142" s="1133"/>
      <c r="K142" s="1133"/>
      <c r="L142" s="916"/>
    </row>
    <row r="143" spans="1:12" s="103" customFormat="1" ht="15.75" hidden="1" customHeight="1" outlineLevel="1">
      <c r="A143" s="916"/>
      <c r="B143" s="1123"/>
      <c r="C143" s="1127"/>
      <c r="D143" s="1125"/>
      <c r="E143" s="1125"/>
      <c r="F143" s="1130"/>
      <c r="G143" s="95"/>
      <c r="H143" s="823"/>
      <c r="I143" s="1125"/>
      <c r="J143" s="1134"/>
      <c r="K143" s="1134"/>
      <c r="L143" s="916"/>
    </row>
    <row r="144" spans="1:12" s="103" customFormat="1" ht="15.75" hidden="1" customHeight="1" outlineLevel="1">
      <c r="A144" s="916"/>
      <c r="B144" s="1124"/>
      <c r="C144" s="1128"/>
      <c r="D144" s="1126"/>
      <c r="E144" s="1126"/>
      <c r="F144" s="1132"/>
      <c r="G144" s="100"/>
      <c r="H144" s="824"/>
      <c r="I144" s="1126"/>
      <c r="J144" s="1135"/>
      <c r="K144" s="1135"/>
      <c r="L144" s="916"/>
    </row>
    <row r="145" spans="1:12" s="103" customFormat="1" ht="15.75" hidden="1" customHeight="1" outlineLevel="1">
      <c r="A145" s="916"/>
      <c r="B145" s="1123">
        <v>45</v>
      </c>
      <c r="C145" s="1127"/>
      <c r="D145" s="1125"/>
      <c r="E145" s="1125" t="s">
        <v>18</v>
      </c>
      <c r="F145" s="1130" t="str">
        <f>VLOOKUP(E145,$N$13:$O$17,2,0)</f>
        <v>-</v>
      </c>
      <c r="G145" s="92"/>
      <c r="H145" s="823"/>
      <c r="I145" s="1125"/>
      <c r="J145" s="1133"/>
      <c r="K145" s="1133"/>
      <c r="L145" s="916"/>
    </row>
    <row r="146" spans="1:12" s="103" customFormat="1" ht="15.75" hidden="1" customHeight="1" outlineLevel="1">
      <c r="A146" s="916"/>
      <c r="B146" s="1123"/>
      <c r="C146" s="1127"/>
      <c r="D146" s="1125"/>
      <c r="E146" s="1125"/>
      <c r="F146" s="1130"/>
      <c r="G146" s="95"/>
      <c r="H146" s="823"/>
      <c r="I146" s="1125"/>
      <c r="J146" s="1134"/>
      <c r="K146" s="1134"/>
      <c r="L146" s="916"/>
    </row>
    <row r="147" spans="1:12" s="103" customFormat="1" ht="15.75" hidden="1" customHeight="1" outlineLevel="1">
      <c r="A147" s="916"/>
      <c r="B147" s="1124"/>
      <c r="C147" s="1128"/>
      <c r="D147" s="1126"/>
      <c r="E147" s="1126"/>
      <c r="F147" s="1132"/>
      <c r="G147" s="100"/>
      <c r="H147" s="824"/>
      <c r="I147" s="1126"/>
      <c r="J147" s="1135"/>
      <c r="K147" s="1135"/>
      <c r="L147" s="916"/>
    </row>
    <row r="148" spans="1:12" s="103" customFormat="1" ht="15.75" hidden="1" customHeight="1" outlineLevel="1">
      <c r="A148" s="916"/>
      <c r="B148" s="1123">
        <v>46</v>
      </c>
      <c r="C148" s="1127"/>
      <c r="D148" s="1125"/>
      <c r="E148" s="1125" t="s">
        <v>18</v>
      </c>
      <c r="F148" s="1130" t="str">
        <f>VLOOKUP(E148,$N$13:$O$17,2,0)</f>
        <v>-</v>
      </c>
      <c r="G148" s="92"/>
      <c r="H148" s="823"/>
      <c r="I148" s="1125"/>
      <c r="J148" s="1133"/>
      <c r="K148" s="1133"/>
      <c r="L148" s="916"/>
    </row>
    <row r="149" spans="1:12" s="103" customFormat="1" ht="15.75" hidden="1" customHeight="1" outlineLevel="1">
      <c r="A149" s="916"/>
      <c r="B149" s="1123"/>
      <c r="C149" s="1127"/>
      <c r="D149" s="1125"/>
      <c r="E149" s="1125"/>
      <c r="F149" s="1130"/>
      <c r="G149" s="95"/>
      <c r="H149" s="823"/>
      <c r="I149" s="1125"/>
      <c r="J149" s="1134"/>
      <c r="K149" s="1134"/>
      <c r="L149" s="916"/>
    </row>
    <row r="150" spans="1:12" s="103" customFormat="1" ht="15.75" hidden="1" customHeight="1" outlineLevel="1">
      <c r="A150" s="916"/>
      <c r="B150" s="1124"/>
      <c r="C150" s="1128"/>
      <c r="D150" s="1126"/>
      <c r="E150" s="1126"/>
      <c r="F150" s="1132"/>
      <c r="G150" s="100"/>
      <c r="H150" s="824"/>
      <c r="I150" s="1126"/>
      <c r="J150" s="1135"/>
      <c r="K150" s="1135"/>
      <c r="L150" s="916"/>
    </row>
    <row r="151" spans="1:12" s="103" customFormat="1" ht="15.75" hidden="1" customHeight="1" outlineLevel="1">
      <c r="A151" s="916"/>
      <c r="B151" s="1123">
        <v>47</v>
      </c>
      <c r="C151" s="1127"/>
      <c r="D151" s="1125"/>
      <c r="E151" s="1125" t="s">
        <v>18</v>
      </c>
      <c r="F151" s="1130" t="str">
        <f>VLOOKUP(E151,$N$13:$O$17,2,0)</f>
        <v>-</v>
      </c>
      <c r="G151" s="92"/>
      <c r="H151" s="823"/>
      <c r="I151" s="1125"/>
      <c r="J151" s="1133"/>
      <c r="K151" s="1133"/>
      <c r="L151" s="916"/>
    </row>
    <row r="152" spans="1:12" s="103" customFormat="1" ht="15.75" hidden="1" customHeight="1" outlineLevel="1">
      <c r="A152" s="916"/>
      <c r="B152" s="1123"/>
      <c r="C152" s="1127"/>
      <c r="D152" s="1125"/>
      <c r="E152" s="1125"/>
      <c r="F152" s="1130"/>
      <c r="G152" s="95"/>
      <c r="H152" s="823"/>
      <c r="I152" s="1125"/>
      <c r="J152" s="1134"/>
      <c r="K152" s="1134"/>
      <c r="L152" s="916"/>
    </row>
    <row r="153" spans="1:12" s="103" customFormat="1" ht="15.75" hidden="1" customHeight="1" outlineLevel="1">
      <c r="A153" s="916"/>
      <c r="B153" s="1124"/>
      <c r="C153" s="1128"/>
      <c r="D153" s="1126"/>
      <c r="E153" s="1126"/>
      <c r="F153" s="1132"/>
      <c r="G153" s="100"/>
      <c r="H153" s="824"/>
      <c r="I153" s="1126"/>
      <c r="J153" s="1135"/>
      <c r="K153" s="1135"/>
      <c r="L153" s="916"/>
    </row>
    <row r="154" spans="1:12" s="103" customFormat="1" ht="15.75" hidden="1" customHeight="1" outlineLevel="1">
      <c r="A154" s="916"/>
      <c r="B154" s="1123">
        <v>48</v>
      </c>
      <c r="C154" s="1127"/>
      <c r="D154" s="1125"/>
      <c r="E154" s="1125" t="s">
        <v>18</v>
      </c>
      <c r="F154" s="1130" t="str">
        <f>VLOOKUP(E154,$N$13:$O$17,2,0)</f>
        <v>-</v>
      </c>
      <c r="G154" s="92"/>
      <c r="H154" s="823"/>
      <c r="I154" s="1125"/>
      <c r="J154" s="1133"/>
      <c r="K154" s="1133"/>
      <c r="L154" s="916"/>
    </row>
    <row r="155" spans="1:12" s="103" customFormat="1" ht="15.75" hidden="1" customHeight="1" outlineLevel="1">
      <c r="A155" s="916"/>
      <c r="B155" s="1123"/>
      <c r="C155" s="1127"/>
      <c r="D155" s="1125"/>
      <c r="E155" s="1125"/>
      <c r="F155" s="1130"/>
      <c r="G155" s="95"/>
      <c r="H155" s="823"/>
      <c r="I155" s="1125"/>
      <c r="J155" s="1134"/>
      <c r="K155" s="1134"/>
      <c r="L155" s="916"/>
    </row>
    <row r="156" spans="1:12" s="103" customFormat="1" ht="15.75" hidden="1" customHeight="1" outlineLevel="1">
      <c r="A156" s="916"/>
      <c r="B156" s="1124"/>
      <c r="C156" s="1128"/>
      <c r="D156" s="1126"/>
      <c r="E156" s="1126"/>
      <c r="F156" s="1132"/>
      <c r="G156" s="100"/>
      <c r="H156" s="824"/>
      <c r="I156" s="1126"/>
      <c r="J156" s="1135"/>
      <c r="K156" s="1135"/>
      <c r="L156" s="916"/>
    </row>
    <row r="157" spans="1:12" s="103" customFormat="1" ht="15.75" hidden="1" customHeight="1" outlineLevel="1">
      <c r="A157" s="916"/>
      <c r="B157" s="1123">
        <v>49</v>
      </c>
      <c r="C157" s="1127"/>
      <c r="D157" s="1125"/>
      <c r="E157" s="1125" t="s">
        <v>18</v>
      </c>
      <c r="F157" s="1130" t="str">
        <f>VLOOKUP(E157,$N$13:$O$17,2,0)</f>
        <v>-</v>
      </c>
      <c r="G157" s="92"/>
      <c r="H157" s="823"/>
      <c r="I157" s="1125"/>
      <c r="J157" s="1133"/>
      <c r="K157" s="1133"/>
      <c r="L157" s="916"/>
    </row>
    <row r="158" spans="1:12" s="103" customFormat="1" ht="15.75" hidden="1" customHeight="1" outlineLevel="1">
      <c r="A158" s="916"/>
      <c r="B158" s="1123"/>
      <c r="C158" s="1127"/>
      <c r="D158" s="1125"/>
      <c r="E158" s="1125"/>
      <c r="F158" s="1130"/>
      <c r="G158" s="95"/>
      <c r="H158" s="823"/>
      <c r="I158" s="1125"/>
      <c r="J158" s="1134"/>
      <c r="K158" s="1134"/>
      <c r="L158" s="916"/>
    </row>
    <row r="159" spans="1:12" s="103" customFormat="1" ht="15.75" hidden="1" customHeight="1" outlineLevel="1">
      <c r="A159" s="916"/>
      <c r="B159" s="1124"/>
      <c r="C159" s="1128"/>
      <c r="D159" s="1126"/>
      <c r="E159" s="1126"/>
      <c r="F159" s="1132"/>
      <c r="G159" s="100"/>
      <c r="H159" s="824"/>
      <c r="I159" s="1126"/>
      <c r="J159" s="1135"/>
      <c r="K159" s="1135"/>
      <c r="L159" s="916"/>
    </row>
    <row r="160" spans="1:12" s="103" customFormat="1" ht="15.75" hidden="1" customHeight="1" outlineLevel="1">
      <c r="A160" s="916"/>
      <c r="B160" s="1123">
        <v>50</v>
      </c>
      <c r="C160" s="1127"/>
      <c r="D160" s="1125"/>
      <c r="E160" s="1125" t="s">
        <v>18</v>
      </c>
      <c r="F160" s="1130" t="str">
        <f>VLOOKUP(E160,$N$13:$O$17,2,0)</f>
        <v>-</v>
      </c>
      <c r="G160" s="92"/>
      <c r="H160" s="823"/>
      <c r="I160" s="1125"/>
      <c r="J160" s="1133"/>
      <c r="K160" s="1133"/>
      <c r="L160" s="916"/>
    </row>
    <row r="161" spans="1:12" s="103" customFormat="1" ht="15.75" hidden="1" customHeight="1" outlineLevel="1">
      <c r="A161" s="916"/>
      <c r="B161" s="1123"/>
      <c r="C161" s="1127"/>
      <c r="D161" s="1125"/>
      <c r="E161" s="1125"/>
      <c r="F161" s="1130"/>
      <c r="G161" s="95"/>
      <c r="H161" s="823"/>
      <c r="I161" s="1125"/>
      <c r="J161" s="1134"/>
      <c r="K161" s="1134"/>
      <c r="L161" s="916"/>
    </row>
    <row r="162" spans="1:12" s="103" customFormat="1" ht="15.75" hidden="1" customHeight="1" outlineLevel="1">
      <c r="A162" s="916"/>
      <c r="B162" s="1124"/>
      <c r="C162" s="1128"/>
      <c r="D162" s="1126"/>
      <c r="E162" s="1126"/>
      <c r="F162" s="1132"/>
      <c r="G162" s="100"/>
      <c r="H162" s="824"/>
      <c r="I162" s="1126"/>
      <c r="J162" s="1135"/>
      <c r="K162" s="1135"/>
      <c r="L162" s="916"/>
    </row>
    <row r="163" spans="1:12" s="103" customFormat="1" ht="15.75" hidden="1" customHeight="1" outlineLevel="1">
      <c r="A163" s="916"/>
      <c r="B163" s="1123">
        <v>51</v>
      </c>
      <c r="C163" s="1127"/>
      <c r="D163" s="1125"/>
      <c r="E163" s="1125" t="s">
        <v>18</v>
      </c>
      <c r="F163" s="1130" t="str">
        <f>VLOOKUP(E163,$N$13:$O$17,2,0)</f>
        <v>-</v>
      </c>
      <c r="G163" s="92"/>
      <c r="H163" s="823"/>
      <c r="I163" s="1125"/>
      <c r="J163" s="1133"/>
      <c r="K163" s="1133"/>
      <c r="L163" s="916"/>
    </row>
    <row r="164" spans="1:12" s="103" customFormat="1" ht="15.75" hidden="1" customHeight="1" outlineLevel="1">
      <c r="A164" s="916"/>
      <c r="B164" s="1123"/>
      <c r="C164" s="1127"/>
      <c r="D164" s="1125"/>
      <c r="E164" s="1125"/>
      <c r="F164" s="1130"/>
      <c r="G164" s="95"/>
      <c r="H164" s="823"/>
      <c r="I164" s="1125"/>
      <c r="J164" s="1134"/>
      <c r="K164" s="1134"/>
      <c r="L164" s="916"/>
    </row>
    <row r="165" spans="1:12" s="103" customFormat="1" ht="15.75" hidden="1" customHeight="1" outlineLevel="1">
      <c r="A165" s="916"/>
      <c r="B165" s="1124"/>
      <c r="C165" s="1128"/>
      <c r="D165" s="1126"/>
      <c r="E165" s="1126"/>
      <c r="F165" s="1132"/>
      <c r="G165" s="100"/>
      <c r="H165" s="824"/>
      <c r="I165" s="1126"/>
      <c r="J165" s="1135"/>
      <c r="K165" s="1135"/>
      <c r="L165" s="916"/>
    </row>
    <row r="166" spans="1:12" s="103" customFormat="1" ht="15.75" hidden="1" customHeight="1" outlineLevel="1">
      <c r="A166" s="916"/>
      <c r="B166" s="1123">
        <v>52</v>
      </c>
      <c r="C166" s="1127"/>
      <c r="D166" s="1125"/>
      <c r="E166" s="1125" t="s">
        <v>18</v>
      </c>
      <c r="F166" s="1130" t="str">
        <f>VLOOKUP(E166,$N$13:$O$17,2,0)</f>
        <v>-</v>
      </c>
      <c r="G166" s="92"/>
      <c r="H166" s="823"/>
      <c r="I166" s="1125"/>
      <c r="J166" s="1133"/>
      <c r="K166" s="1133"/>
      <c r="L166" s="916"/>
    </row>
    <row r="167" spans="1:12" s="103" customFormat="1" ht="15.75" hidden="1" customHeight="1" outlineLevel="1">
      <c r="A167" s="916"/>
      <c r="B167" s="1123"/>
      <c r="C167" s="1127"/>
      <c r="D167" s="1125"/>
      <c r="E167" s="1125"/>
      <c r="F167" s="1130"/>
      <c r="G167" s="95"/>
      <c r="H167" s="823"/>
      <c r="I167" s="1125"/>
      <c r="J167" s="1134"/>
      <c r="K167" s="1134"/>
      <c r="L167" s="916"/>
    </row>
    <row r="168" spans="1:12" s="103" customFormat="1" ht="15.75" hidden="1" customHeight="1" outlineLevel="1">
      <c r="A168" s="916"/>
      <c r="B168" s="1124"/>
      <c r="C168" s="1128"/>
      <c r="D168" s="1126"/>
      <c r="E168" s="1126"/>
      <c r="F168" s="1132"/>
      <c r="G168" s="100"/>
      <c r="H168" s="824"/>
      <c r="I168" s="1126"/>
      <c r="J168" s="1135"/>
      <c r="K168" s="1135"/>
      <c r="L168" s="916"/>
    </row>
    <row r="169" spans="1:12" s="103" customFormat="1" ht="15.75" hidden="1" customHeight="1" outlineLevel="1">
      <c r="A169" s="916"/>
      <c r="B169" s="1123">
        <v>53</v>
      </c>
      <c r="C169" s="1127"/>
      <c r="D169" s="1125"/>
      <c r="E169" s="1125" t="s">
        <v>18</v>
      </c>
      <c r="F169" s="1130" t="str">
        <f>VLOOKUP(E169,$N$13:$O$17,2,0)</f>
        <v>-</v>
      </c>
      <c r="G169" s="92"/>
      <c r="H169" s="823"/>
      <c r="I169" s="1125"/>
      <c r="J169" s="1133"/>
      <c r="K169" s="1133"/>
      <c r="L169" s="916"/>
    </row>
    <row r="170" spans="1:12" s="103" customFormat="1" ht="15.75" hidden="1" customHeight="1" outlineLevel="1">
      <c r="A170" s="916"/>
      <c r="B170" s="1123"/>
      <c r="C170" s="1127"/>
      <c r="D170" s="1125"/>
      <c r="E170" s="1125"/>
      <c r="F170" s="1130"/>
      <c r="G170" s="95"/>
      <c r="H170" s="823"/>
      <c r="I170" s="1125"/>
      <c r="J170" s="1134"/>
      <c r="K170" s="1134"/>
      <c r="L170" s="916"/>
    </row>
    <row r="171" spans="1:12" s="103" customFormat="1" ht="15.75" hidden="1" customHeight="1" outlineLevel="1">
      <c r="A171" s="916"/>
      <c r="B171" s="1124"/>
      <c r="C171" s="1128"/>
      <c r="D171" s="1126"/>
      <c r="E171" s="1126"/>
      <c r="F171" s="1132"/>
      <c r="G171" s="100"/>
      <c r="H171" s="824"/>
      <c r="I171" s="1126"/>
      <c r="J171" s="1135"/>
      <c r="K171" s="1135"/>
      <c r="L171" s="916"/>
    </row>
    <row r="172" spans="1:12" s="103" customFormat="1" ht="15.75" hidden="1" customHeight="1" outlineLevel="1">
      <c r="A172" s="916"/>
      <c r="B172" s="1123">
        <v>54</v>
      </c>
      <c r="C172" s="1127"/>
      <c r="D172" s="1125"/>
      <c r="E172" s="1125" t="s">
        <v>18</v>
      </c>
      <c r="F172" s="1130" t="str">
        <f>VLOOKUP(E172,$N$13:$O$17,2,0)</f>
        <v>-</v>
      </c>
      <c r="G172" s="92"/>
      <c r="H172" s="823"/>
      <c r="I172" s="1125"/>
      <c r="J172" s="1133"/>
      <c r="K172" s="1133"/>
      <c r="L172" s="916"/>
    </row>
    <row r="173" spans="1:12" s="103" customFormat="1" ht="15.75" hidden="1" customHeight="1" outlineLevel="1">
      <c r="A173" s="916"/>
      <c r="B173" s="1123"/>
      <c r="C173" s="1127"/>
      <c r="D173" s="1125"/>
      <c r="E173" s="1125"/>
      <c r="F173" s="1130"/>
      <c r="G173" s="95"/>
      <c r="H173" s="823"/>
      <c r="I173" s="1125"/>
      <c r="J173" s="1134"/>
      <c r="K173" s="1134"/>
      <c r="L173" s="916"/>
    </row>
    <row r="174" spans="1:12" s="103" customFormat="1" ht="15.75" hidden="1" customHeight="1" outlineLevel="1">
      <c r="A174" s="916"/>
      <c r="B174" s="1124"/>
      <c r="C174" s="1128"/>
      <c r="D174" s="1126"/>
      <c r="E174" s="1126"/>
      <c r="F174" s="1132"/>
      <c r="G174" s="100"/>
      <c r="H174" s="824"/>
      <c r="I174" s="1126"/>
      <c r="J174" s="1135"/>
      <c r="K174" s="1135"/>
      <c r="L174" s="916"/>
    </row>
    <row r="175" spans="1:12" s="103" customFormat="1" ht="15.75" hidden="1" customHeight="1" outlineLevel="1">
      <c r="A175" s="916"/>
      <c r="B175" s="1123">
        <v>55</v>
      </c>
      <c r="C175" s="1127"/>
      <c r="D175" s="1125"/>
      <c r="E175" s="1125" t="s">
        <v>18</v>
      </c>
      <c r="F175" s="1130" t="str">
        <f>VLOOKUP(E175,$N$13:$O$17,2,0)</f>
        <v>-</v>
      </c>
      <c r="G175" s="92"/>
      <c r="H175" s="823"/>
      <c r="I175" s="1125"/>
      <c r="J175" s="1133"/>
      <c r="K175" s="1133"/>
      <c r="L175" s="916"/>
    </row>
    <row r="176" spans="1:12" s="103" customFormat="1" ht="15.75" hidden="1" customHeight="1" outlineLevel="1">
      <c r="A176" s="916"/>
      <c r="B176" s="1123"/>
      <c r="C176" s="1127"/>
      <c r="D176" s="1125"/>
      <c r="E176" s="1125"/>
      <c r="F176" s="1130"/>
      <c r="G176" s="95"/>
      <c r="H176" s="823"/>
      <c r="I176" s="1125"/>
      <c r="J176" s="1134"/>
      <c r="K176" s="1134"/>
      <c r="L176" s="916"/>
    </row>
    <row r="177" spans="1:12" s="103" customFormat="1" ht="15.75" hidden="1" customHeight="1" outlineLevel="1">
      <c r="A177" s="916"/>
      <c r="B177" s="1124"/>
      <c r="C177" s="1128"/>
      <c r="D177" s="1126"/>
      <c r="E177" s="1126"/>
      <c r="F177" s="1132"/>
      <c r="G177" s="100"/>
      <c r="H177" s="824"/>
      <c r="I177" s="1126"/>
      <c r="J177" s="1135"/>
      <c r="K177" s="1135"/>
      <c r="L177" s="916"/>
    </row>
    <row r="178" spans="1:12" s="103" customFormat="1" ht="15.75" hidden="1" customHeight="1" outlineLevel="1">
      <c r="A178" s="916"/>
      <c r="B178" s="1123">
        <v>56</v>
      </c>
      <c r="C178" s="1127"/>
      <c r="D178" s="1125"/>
      <c r="E178" s="1125" t="s">
        <v>18</v>
      </c>
      <c r="F178" s="1130" t="str">
        <f>VLOOKUP(E178,$N$13:$O$17,2,0)</f>
        <v>-</v>
      </c>
      <c r="G178" s="92"/>
      <c r="H178" s="823"/>
      <c r="I178" s="1125"/>
      <c r="J178" s="1133"/>
      <c r="K178" s="1133"/>
      <c r="L178" s="916"/>
    </row>
    <row r="179" spans="1:12" s="103" customFormat="1" ht="15.75" hidden="1" customHeight="1" outlineLevel="1">
      <c r="A179" s="916"/>
      <c r="B179" s="1123"/>
      <c r="C179" s="1127"/>
      <c r="D179" s="1125"/>
      <c r="E179" s="1125"/>
      <c r="F179" s="1130"/>
      <c r="G179" s="95"/>
      <c r="H179" s="823"/>
      <c r="I179" s="1125"/>
      <c r="J179" s="1134"/>
      <c r="K179" s="1134"/>
      <c r="L179" s="916"/>
    </row>
    <row r="180" spans="1:12" s="103" customFormat="1" ht="15.75" hidden="1" customHeight="1" outlineLevel="1">
      <c r="A180" s="916"/>
      <c r="B180" s="1124"/>
      <c r="C180" s="1128"/>
      <c r="D180" s="1126"/>
      <c r="E180" s="1126"/>
      <c r="F180" s="1132"/>
      <c r="G180" s="100"/>
      <c r="H180" s="824"/>
      <c r="I180" s="1126"/>
      <c r="J180" s="1135"/>
      <c r="K180" s="1135"/>
      <c r="L180" s="916"/>
    </row>
    <row r="181" spans="1:12" s="103" customFormat="1" ht="15.75" hidden="1" customHeight="1" outlineLevel="1">
      <c r="A181" s="916"/>
      <c r="B181" s="1123">
        <v>57</v>
      </c>
      <c r="C181" s="1127"/>
      <c r="D181" s="1125"/>
      <c r="E181" s="1125" t="s">
        <v>18</v>
      </c>
      <c r="F181" s="1130" t="str">
        <f>VLOOKUP(E181,$N$13:$O$17,2,0)</f>
        <v>-</v>
      </c>
      <c r="G181" s="92"/>
      <c r="H181" s="823"/>
      <c r="I181" s="1125"/>
      <c r="J181" s="1133"/>
      <c r="K181" s="1133"/>
      <c r="L181" s="916"/>
    </row>
    <row r="182" spans="1:12" s="103" customFormat="1" ht="15.75" hidden="1" customHeight="1" outlineLevel="1">
      <c r="A182" s="916"/>
      <c r="B182" s="1123"/>
      <c r="C182" s="1127"/>
      <c r="D182" s="1125"/>
      <c r="E182" s="1125"/>
      <c r="F182" s="1130"/>
      <c r="G182" s="95"/>
      <c r="H182" s="823"/>
      <c r="I182" s="1125"/>
      <c r="J182" s="1134"/>
      <c r="K182" s="1134"/>
      <c r="L182" s="916"/>
    </row>
    <row r="183" spans="1:12" s="103" customFormat="1" ht="15.75" hidden="1" customHeight="1" outlineLevel="1">
      <c r="A183" s="916"/>
      <c r="B183" s="1124"/>
      <c r="C183" s="1128"/>
      <c r="D183" s="1126"/>
      <c r="E183" s="1126"/>
      <c r="F183" s="1132"/>
      <c r="G183" s="100"/>
      <c r="H183" s="824"/>
      <c r="I183" s="1126"/>
      <c r="J183" s="1135"/>
      <c r="K183" s="1135"/>
      <c r="L183" s="916"/>
    </row>
    <row r="184" spans="1:12" s="103" customFormat="1" ht="15.75" hidden="1" customHeight="1" outlineLevel="1">
      <c r="A184" s="916"/>
      <c r="B184" s="1123">
        <v>58</v>
      </c>
      <c r="C184" s="1127"/>
      <c r="D184" s="1125"/>
      <c r="E184" s="1125" t="s">
        <v>18</v>
      </c>
      <c r="F184" s="1130" t="str">
        <f>VLOOKUP(E184,$N$13:$O$17,2,0)</f>
        <v>-</v>
      </c>
      <c r="G184" s="92"/>
      <c r="H184" s="823"/>
      <c r="I184" s="1125"/>
      <c r="J184" s="1133"/>
      <c r="K184" s="1133"/>
      <c r="L184" s="916"/>
    </row>
    <row r="185" spans="1:12" s="103" customFormat="1" ht="15.75" hidden="1" customHeight="1" outlineLevel="1">
      <c r="A185" s="916"/>
      <c r="B185" s="1123"/>
      <c r="C185" s="1127"/>
      <c r="D185" s="1125"/>
      <c r="E185" s="1125"/>
      <c r="F185" s="1130"/>
      <c r="G185" s="95"/>
      <c r="H185" s="823"/>
      <c r="I185" s="1125"/>
      <c r="J185" s="1134"/>
      <c r="K185" s="1134"/>
      <c r="L185" s="916"/>
    </row>
    <row r="186" spans="1:12" s="103" customFormat="1" ht="15.75" hidden="1" customHeight="1" outlineLevel="1">
      <c r="A186" s="916"/>
      <c r="B186" s="1124"/>
      <c r="C186" s="1128"/>
      <c r="D186" s="1126"/>
      <c r="E186" s="1126"/>
      <c r="F186" s="1132"/>
      <c r="G186" s="100"/>
      <c r="H186" s="824"/>
      <c r="I186" s="1126"/>
      <c r="J186" s="1135"/>
      <c r="K186" s="1135"/>
      <c r="L186" s="916"/>
    </row>
    <row r="187" spans="1:12" s="103" customFormat="1" ht="15.75" hidden="1" customHeight="1" outlineLevel="1">
      <c r="A187" s="916"/>
      <c r="B187" s="1123">
        <v>59</v>
      </c>
      <c r="C187" s="1127"/>
      <c r="D187" s="1125"/>
      <c r="E187" s="1125" t="s">
        <v>18</v>
      </c>
      <c r="F187" s="1130" t="str">
        <f>VLOOKUP(E187,$N$13:$O$17,2,0)</f>
        <v>-</v>
      </c>
      <c r="G187" s="92"/>
      <c r="H187" s="823"/>
      <c r="I187" s="1125"/>
      <c r="J187" s="1133"/>
      <c r="K187" s="1133"/>
      <c r="L187" s="916"/>
    </row>
    <row r="188" spans="1:12" s="103" customFormat="1" ht="15.75" hidden="1" customHeight="1" outlineLevel="1">
      <c r="A188" s="916"/>
      <c r="B188" s="1123"/>
      <c r="C188" s="1127"/>
      <c r="D188" s="1125"/>
      <c r="E188" s="1125"/>
      <c r="F188" s="1130"/>
      <c r="G188" s="95"/>
      <c r="H188" s="823"/>
      <c r="I188" s="1125"/>
      <c r="J188" s="1134"/>
      <c r="K188" s="1134"/>
      <c r="L188" s="916"/>
    </row>
    <row r="189" spans="1:12" s="103" customFormat="1" ht="15.75" hidden="1" customHeight="1" outlineLevel="1">
      <c r="A189" s="916"/>
      <c r="B189" s="1124"/>
      <c r="C189" s="1128"/>
      <c r="D189" s="1126"/>
      <c r="E189" s="1126"/>
      <c r="F189" s="1132"/>
      <c r="G189" s="100"/>
      <c r="H189" s="824"/>
      <c r="I189" s="1126"/>
      <c r="J189" s="1135"/>
      <c r="K189" s="1135"/>
      <c r="L189" s="916"/>
    </row>
    <row r="190" spans="1:12" s="103" customFormat="1" ht="15.75" hidden="1" customHeight="1" outlineLevel="1">
      <c r="A190" s="916"/>
      <c r="B190" s="1123">
        <v>60</v>
      </c>
      <c r="C190" s="1127"/>
      <c r="D190" s="1125"/>
      <c r="E190" s="1125" t="s">
        <v>18</v>
      </c>
      <c r="F190" s="1130" t="str">
        <f>VLOOKUP(E190,$N$13:$O$17,2,0)</f>
        <v>-</v>
      </c>
      <c r="G190" s="92"/>
      <c r="H190" s="823"/>
      <c r="I190" s="1125"/>
      <c r="J190" s="1133"/>
      <c r="K190" s="1133"/>
      <c r="L190" s="916"/>
    </row>
    <row r="191" spans="1:12" s="103" customFormat="1" ht="15.75" hidden="1" customHeight="1" outlineLevel="1">
      <c r="A191" s="916"/>
      <c r="B191" s="1123"/>
      <c r="C191" s="1127"/>
      <c r="D191" s="1125"/>
      <c r="E191" s="1125"/>
      <c r="F191" s="1130"/>
      <c r="G191" s="95"/>
      <c r="H191" s="823"/>
      <c r="I191" s="1125"/>
      <c r="J191" s="1134"/>
      <c r="K191" s="1134"/>
      <c r="L191" s="916"/>
    </row>
    <row r="192" spans="1:12" s="103" customFormat="1" ht="15.75" hidden="1" customHeight="1" outlineLevel="1">
      <c r="A192" s="916"/>
      <c r="B192" s="1124"/>
      <c r="C192" s="1128"/>
      <c r="D192" s="1126"/>
      <c r="E192" s="1126"/>
      <c r="F192" s="1132"/>
      <c r="G192" s="100"/>
      <c r="H192" s="824"/>
      <c r="I192" s="1126"/>
      <c r="J192" s="1135"/>
      <c r="K192" s="1135"/>
      <c r="L192" s="916"/>
    </row>
    <row r="193" spans="1:12" s="103" customFormat="1" ht="15.75" hidden="1" customHeight="1" outlineLevel="1">
      <c r="A193" s="916"/>
      <c r="B193" s="1123">
        <v>61</v>
      </c>
      <c r="C193" s="1127"/>
      <c r="D193" s="1125"/>
      <c r="E193" s="1125" t="s">
        <v>18</v>
      </c>
      <c r="F193" s="1130" t="str">
        <f>VLOOKUP(E193,$N$13:$O$17,2,0)</f>
        <v>-</v>
      </c>
      <c r="G193" s="92"/>
      <c r="H193" s="823"/>
      <c r="I193" s="1125"/>
      <c r="J193" s="1133"/>
      <c r="K193" s="1133"/>
      <c r="L193" s="916"/>
    </row>
    <row r="194" spans="1:12" s="103" customFormat="1" ht="15.75" hidden="1" customHeight="1" outlineLevel="1">
      <c r="A194" s="916"/>
      <c r="B194" s="1123"/>
      <c r="C194" s="1127"/>
      <c r="D194" s="1125"/>
      <c r="E194" s="1125"/>
      <c r="F194" s="1130"/>
      <c r="G194" s="95"/>
      <c r="H194" s="823"/>
      <c r="I194" s="1125"/>
      <c r="J194" s="1134"/>
      <c r="K194" s="1134"/>
      <c r="L194" s="916"/>
    </row>
    <row r="195" spans="1:12" s="103" customFormat="1" ht="15.75" hidden="1" customHeight="1" outlineLevel="1">
      <c r="A195" s="916"/>
      <c r="B195" s="1124"/>
      <c r="C195" s="1128"/>
      <c r="D195" s="1126"/>
      <c r="E195" s="1126"/>
      <c r="F195" s="1132"/>
      <c r="G195" s="100"/>
      <c r="H195" s="824"/>
      <c r="I195" s="1126"/>
      <c r="J195" s="1135"/>
      <c r="K195" s="1135"/>
      <c r="L195" s="916"/>
    </row>
    <row r="196" spans="1:12" s="103" customFormat="1" ht="15.75" hidden="1" customHeight="1" outlineLevel="1">
      <c r="A196" s="916"/>
      <c r="B196" s="1123">
        <v>62</v>
      </c>
      <c r="C196" s="1127"/>
      <c r="D196" s="1125"/>
      <c r="E196" s="1125" t="s">
        <v>18</v>
      </c>
      <c r="F196" s="1130" t="str">
        <f>VLOOKUP(E196,$N$13:$O$17,2,0)</f>
        <v>-</v>
      </c>
      <c r="G196" s="92"/>
      <c r="H196" s="823"/>
      <c r="I196" s="1125"/>
      <c r="J196" s="1133"/>
      <c r="K196" s="1133"/>
      <c r="L196" s="916"/>
    </row>
    <row r="197" spans="1:12" s="103" customFormat="1" ht="15.75" hidden="1" customHeight="1" outlineLevel="1">
      <c r="A197" s="916"/>
      <c r="B197" s="1123"/>
      <c r="C197" s="1127"/>
      <c r="D197" s="1125"/>
      <c r="E197" s="1125"/>
      <c r="F197" s="1130"/>
      <c r="G197" s="95"/>
      <c r="H197" s="823"/>
      <c r="I197" s="1125"/>
      <c r="J197" s="1134"/>
      <c r="K197" s="1134"/>
      <c r="L197" s="916"/>
    </row>
    <row r="198" spans="1:12" s="103" customFormat="1" ht="15.75" hidden="1" customHeight="1" outlineLevel="1">
      <c r="A198" s="916"/>
      <c r="B198" s="1124"/>
      <c r="C198" s="1128"/>
      <c r="D198" s="1126"/>
      <c r="E198" s="1126"/>
      <c r="F198" s="1132"/>
      <c r="G198" s="100"/>
      <c r="H198" s="824"/>
      <c r="I198" s="1126"/>
      <c r="J198" s="1135"/>
      <c r="K198" s="1135"/>
      <c r="L198" s="916"/>
    </row>
    <row r="199" spans="1:12" s="103" customFormat="1" ht="15.75" hidden="1" customHeight="1" outlineLevel="1">
      <c r="A199" s="916"/>
      <c r="B199" s="1123">
        <v>63</v>
      </c>
      <c r="C199" s="1127"/>
      <c r="D199" s="1125"/>
      <c r="E199" s="1125" t="s">
        <v>18</v>
      </c>
      <c r="F199" s="1130" t="str">
        <f>VLOOKUP(E199,$N$13:$O$17,2,0)</f>
        <v>-</v>
      </c>
      <c r="G199" s="92"/>
      <c r="H199" s="823"/>
      <c r="I199" s="1125"/>
      <c r="J199" s="1133"/>
      <c r="K199" s="1133"/>
      <c r="L199" s="916"/>
    </row>
    <row r="200" spans="1:12" s="103" customFormat="1" ht="15.75" hidden="1" customHeight="1" outlineLevel="1">
      <c r="A200" s="916"/>
      <c r="B200" s="1123"/>
      <c r="C200" s="1127"/>
      <c r="D200" s="1125"/>
      <c r="E200" s="1125"/>
      <c r="F200" s="1130"/>
      <c r="G200" s="95"/>
      <c r="H200" s="823"/>
      <c r="I200" s="1125"/>
      <c r="J200" s="1134"/>
      <c r="K200" s="1134"/>
      <c r="L200" s="916"/>
    </row>
    <row r="201" spans="1:12" s="103" customFormat="1" ht="15.75" hidden="1" customHeight="1" outlineLevel="1">
      <c r="A201" s="916"/>
      <c r="B201" s="1124"/>
      <c r="C201" s="1128"/>
      <c r="D201" s="1126"/>
      <c r="E201" s="1126"/>
      <c r="F201" s="1132"/>
      <c r="G201" s="100"/>
      <c r="H201" s="824"/>
      <c r="I201" s="1126"/>
      <c r="J201" s="1135"/>
      <c r="K201" s="1135"/>
      <c r="L201" s="916"/>
    </row>
    <row r="202" spans="1:12" s="103" customFormat="1" ht="15.75" hidden="1" customHeight="1" outlineLevel="1">
      <c r="A202" s="916"/>
      <c r="B202" s="1123">
        <v>64</v>
      </c>
      <c r="C202" s="1127"/>
      <c r="D202" s="1125"/>
      <c r="E202" s="1125" t="s">
        <v>18</v>
      </c>
      <c r="F202" s="1130" t="str">
        <f>VLOOKUP(E202,$N$13:$O$17,2,0)</f>
        <v>-</v>
      </c>
      <c r="G202" s="92"/>
      <c r="H202" s="823"/>
      <c r="I202" s="1125"/>
      <c r="J202" s="1133"/>
      <c r="K202" s="1133"/>
      <c r="L202" s="916"/>
    </row>
    <row r="203" spans="1:12" s="103" customFormat="1" ht="15.75" hidden="1" customHeight="1" outlineLevel="1">
      <c r="A203" s="916"/>
      <c r="B203" s="1123"/>
      <c r="C203" s="1127"/>
      <c r="D203" s="1125"/>
      <c r="E203" s="1125"/>
      <c r="F203" s="1130"/>
      <c r="G203" s="95"/>
      <c r="H203" s="823"/>
      <c r="I203" s="1125"/>
      <c r="J203" s="1134"/>
      <c r="K203" s="1134"/>
      <c r="L203" s="916"/>
    </row>
    <row r="204" spans="1:12" s="103" customFormat="1" ht="15.75" hidden="1" customHeight="1" outlineLevel="1">
      <c r="A204" s="916"/>
      <c r="B204" s="1124"/>
      <c r="C204" s="1128"/>
      <c r="D204" s="1126"/>
      <c r="E204" s="1126"/>
      <c r="F204" s="1132"/>
      <c r="G204" s="100"/>
      <c r="H204" s="824"/>
      <c r="I204" s="1126"/>
      <c r="J204" s="1135"/>
      <c r="K204" s="1135"/>
      <c r="L204" s="916"/>
    </row>
    <row r="205" spans="1:12" s="103" customFormat="1" ht="15.75" hidden="1" customHeight="1" outlineLevel="1">
      <c r="A205" s="916"/>
      <c r="B205" s="1123">
        <v>65</v>
      </c>
      <c r="C205" s="1127"/>
      <c r="D205" s="1125"/>
      <c r="E205" s="1125" t="s">
        <v>18</v>
      </c>
      <c r="F205" s="1130" t="str">
        <f>VLOOKUP(E205,$N$13:$O$17,2,0)</f>
        <v>-</v>
      </c>
      <c r="G205" s="92"/>
      <c r="H205" s="823"/>
      <c r="I205" s="1125"/>
      <c r="J205" s="1133"/>
      <c r="K205" s="1133"/>
      <c r="L205" s="916"/>
    </row>
    <row r="206" spans="1:12" s="103" customFormat="1" ht="15.75" hidden="1" customHeight="1" outlineLevel="1">
      <c r="A206" s="916"/>
      <c r="B206" s="1123"/>
      <c r="C206" s="1127"/>
      <c r="D206" s="1125"/>
      <c r="E206" s="1125"/>
      <c r="F206" s="1130"/>
      <c r="G206" s="95"/>
      <c r="H206" s="823"/>
      <c r="I206" s="1125"/>
      <c r="J206" s="1134"/>
      <c r="K206" s="1134"/>
      <c r="L206" s="916"/>
    </row>
    <row r="207" spans="1:12" s="103" customFormat="1" ht="15.75" hidden="1" customHeight="1" outlineLevel="1">
      <c r="A207" s="916"/>
      <c r="B207" s="1124"/>
      <c r="C207" s="1128"/>
      <c r="D207" s="1126"/>
      <c r="E207" s="1126"/>
      <c r="F207" s="1132"/>
      <c r="G207" s="100"/>
      <c r="H207" s="824"/>
      <c r="I207" s="1126"/>
      <c r="J207" s="1135"/>
      <c r="K207" s="1135"/>
      <c r="L207" s="916"/>
    </row>
    <row r="208" spans="1:12" s="103" customFormat="1" ht="15.75" hidden="1" customHeight="1" outlineLevel="1">
      <c r="A208" s="916"/>
      <c r="B208" s="1123">
        <v>66</v>
      </c>
      <c r="C208" s="1127"/>
      <c r="D208" s="1125"/>
      <c r="E208" s="1125" t="s">
        <v>18</v>
      </c>
      <c r="F208" s="1130" t="str">
        <f>VLOOKUP(E208,$N$13:$O$17,2,0)</f>
        <v>-</v>
      </c>
      <c r="G208" s="92"/>
      <c r="H208" s="823"/>
      <c r="I208" s="1125"/>
      <c r="J208" s="1133"/>
      <c r="K208" s="1133"/>
      <c r="L208" s="916"/>
    </row>
    <row r="209" spans="1:12" s="103" customFormat="1" ht="15.75" hidden="1" customHeight="1" outlineLevel="1">
      <c r="A209" s="916"/>
      <c r="B209" s="1123"/>
      <c r="C209" s="1127"/>
      <c r="D209" s="1125"/>
      <c r="E209" s="1125"/>
      <c r="F209" s="1130"/>
      <c r="G209" s="95"/>
      <c r="H209" s="823"/>
      <c r="I209" s="1125"/>
      <c r="J209" s="1134"/>
      <c r="K209" s="1134"/>
      <c r="L209" s="916"/>
    </row>
    <row r="210" spans="1:12" s="103" customFormat="1" ht="15.75" hidden="1" customHeight="1" outlineLevel="1">
      <c r="A210" s="916"/>
      <c r="B210" s="1124"/>
      <c r="C210" s="1128"/>
      <c r="D210" s="1126"/>
      <c r="E210" s="1126"/>
      <c r="F210" s="1132"/>
      <c r="G210" s="100"/>
      <c r="H210" s="824"/>
      <c r="I210" s="1126"/>
      <c r="J210" s="1135"/>
      <c r="K210" s="1135"/>
      <c r="L210" s="916"/>
    </row>
    <row r="211" spans="1:12" s="103" customFormat="1" ht="15.75" hidden="1" customHeight="1" outlineLevel="1">
      <c r="A211" s="916"/>
      <c r="B211" s="1123">
        <v>67</v>
      </c>
      <c r="C211" s="1127"/>
      <c r="D211" s="1125"/>
      <c r="E211" s="1125" t="s">
        <v>18</v>
      </c>
      <c r="F211" s="1130" t="str">
        <f>VLOOKUP(E211,$N$13:$O$17,2,0)</f>
        <v>-</v>
      </c>
      <c r="G211" s="92"/>
      <c r="H211" s="823"/>
      <c r="I211" s="1125"/>
      <c r="J211" s="1133"/>
      <c r="K211" s="1133"/>
      <c r="L211" s="916"/>
    </row>
    <row r="212" spans="1:12" s="103" customFormat="1" ht="15.75" hidden="1" customHeight="1" outlineLevel="1">
      <c r="A212" s="916"/>
      <c r="B212" s="1123"/>
      <c r="C212" s="1127"/>
      <c r="D212" s="1125"/>
      <c r="E212" s="1125"/>
      <c r="F212" s="1130"/>
      <c r="G212" s="95"/>
      <c r="H212" s="823"/>
      <c r="I212" s="1125"/>
      <c r="J212" s="1134"/>
      <c r="K212" s="1134"/>
      <c r="L212" s="916"/>
    </row>
    <row r="213" spans="1:12" s="103" customFormat="1" ht="15.75" hidden="1" customHeight="1" outlineLevel="1">
      <c r="A213" s="916"/>
      <c r="B213" s="1124"/>
      <c r="C213" s="1128"/>
      <c r="D213" s="1126"/>
      <c r="E213" s="1126"/>
      <c r="F213" s="1132"/>
      <c r="G213" s="100"/>
      <c r="H213" s="824"/>
      <c r="I213" s="1126"/>
      <c r="J213" s="1135"/>
      <c r="K213" s="1135"/>
      <c r="L213" s="916"/>
    </row>
    <row r="214" spans="1:12" s="103" customFormat="1" ht="15.75" hidden="1" customHeight="1" outlineLevel="1">
      <c r="A214" s="916"/>
      <c r="B214" s="1123">
        <v>68</v>
      </c>
      <c r="C214" s="1127"/>
      <c r="D214" s="1125"/>
      <c r="E214" s="1125" t="s">
        <v>18</v>
      </c>
      <c r="F214" s="1130" t="str">
        <f>VLOOKUP(E214,$N$13:$O$17,2,0)</f>
        <v>-</v>
      </c>
      <c r="G214" s="92"/>
      <c r="H214" s="823"/>
      <c r="I214" s="1125"/>
      <c r="J214" s="1133"/>
      <c r="K214" s="1133"/>
      <c r="L214" s="916"/>
    </row>
    <row r="215" spans="1:12" s="103" customFormat="1" ht="15.75" hidden="1" customHeight="1" outlineLevel="1">
      <c r="A215" s="916"/>
      <c r="B215" s="1123"/>
      <c r="C215" s="1127"/>
      <c r="D215" s="1125"/>
      <c r="E215" s="1125"/>
      <c r="F215" s="1130"/>
      <c r="G215" s="95"/>
      <c r="H215" s="823"/>
      <c r="I215" s="1125"/>
      <c r="J215" s="1134"/>
      <c r="K215" s="1134"/>
      <c r="L215" s="916"/>
    </row>
    <row r="216" spans="1:12" s="103" customFormat="1" ht="15.75" hidden="1" customHeight="1" outlineLevel="1">
      <c r="A216" s="916"/>
      <c r="B216" s="1124"/>
      <c r="C216" s="1128"/>
      <c r="D216" s="1126"/>
      <c r="E216" s="1126"/>
      <c r="F216" s="1132"/>
      <c r="G216" s="100"/>
      <c r="H216" s="824"/>
      <c r="I216" s="1126"/>
      <c r="J216" s="1135"/>
      <c r="K216" s="1135"/>
      <c r="L216" s="916"/>
    </row>
    <row r="217" spans="1:12" s="103" customFormat="1" ht="15.75" hidden="1" customHeight="1" outlineLevel="1">
      <c r="A217" s="916"/>
      <c r="B217" s="1123">
        <v>69</v>
      </c>
      <c r="C217" s="1127"/>
      <c r="D217" s="1125"/>
      <c r="E217" s="1125" t="s">
        <v>18</v>
      </c>
      <c r="F217" s="1130" t="str">
        <f>VLOOKUP(E217,$N$13:$O$17,2,0)</f>
        <v>-</v>
      </c>
      <c r="G217" s="92"/>
      <c r="H217" s="823"/>
      <c r="I217" s="1125"/>
      <c r="J217" s="1133"/>
      <c r="K217" s="1133"/>
      <c r="L217" s="916"/>
    </row>
    <row r="218" spans="1:12" s="103" customFormat="1" ht="15.75" hidden="1" customHeight="1" outlineLevel="1">
      <c r="A218" s="916"/>
      <c r="B218" s="1123"/>
      <c r="C218" s="1127"/>
      <c r="D218" s="1125"/>
      <c r="E218" s="1125"/>
      <c r="F218" s="1130"/>
      <c r="G218" s="95"/>
      <c r="H218" s="823"/>
      <c r="I218" s="1125"/>
      <c r="J218" s="1134"/>
      <c r="K218" s="1134"/>
      <c r="L218" s="916"/>
    </row>
    <row r="219" spans="1:12" s="103" customFormat="1" ht="15.75" hidden="1" customHeight="1" outlineLevel="1">
      <c r="A219" s="916"/>
      <c r="B219" s="1124"/>
      <c r="C219" s="1128"/>
      <c r="D219" s="1126"/>
      <c r="E219" s="1126"/>
      <c r="F219" s="1132"/>
      <c r="G219" s="100"/>
      <c r="H219" s="824"/>
      <c r="I219" s="1126"/>
      <c r="J219" s="1135"/>
      <c r="K219" s="1135"/>
      <c r="L219" s="916"/>
    </row>
    <row r="220" spans="1:12" s="103" customFormat="1" ht="15.75" hidden="1" customHeight="1" outlineLevel="1">
      <c r="A220" s="916"/>
      <c r="B220" s="1123">
        <v>70</v>
      </c>
      <c r="C220" s="1127"/>
      <c r="D220" s="1125"/>
      <c r="E220" s="1125" t="s">
        <v>18</v>
      </c>
      <c r="F220" s="1130" t="str">
        <f>VLOOKUP(E220,$N$13:$O$17,2,0)</f>
        <v>-</v>
      </c>
      <c r="G220" s="92"/>
      <c r="H220" s="823"/>
      <c r="I220" s="1125"/>
      <c r="J220" s="1133"/>
      <c r="K220" s="1133"/>
      <c r="L220" s="916"/>
    </row>
    <row r="221" spans="1:12" s="103" customFormat="1" ht="15.75" hidden="1" customHeight="1" outlineLevel="1">
      <c r="A221" s="916"/>
      <c r="B221" s="1123"/>
      <c r="C221" s="1127"/>
      <c r="D221" s="1125"/>
      <c r="E221" s="1125"/>
      <c r="F221" s="1130"/>
      <c r="G221" s="95"/>
      <c r="H221" s="823"/>
      <c r="I221" s="1125"/>
      <c r="J221" s="1134"/>
      <c r="K221" s="1134"/>
      <c r="L221" s="916"/>
    </row>
    <row r="222" spans="1:12" s="103" customFormat="1" ht="15.75" hidden="1" customHeight="1" outlineLevel="1">
      <c r="A222" s="916"/>
      <c r="B222" s="1124"/>
      <c r="C222" s="1128"/>
      <c r="D222" s="1126"/>
      <c r="E222" s="1126"/>
      <c r="F222" s="1132"/>
      <c r="G222" s="100"/>
      <c r="H222" s="824"/>
      <c r="I222" s="1126"/>
      <c r="J222" s="1135"/>
      <c r="K222" s="1135"/>
      <c r="L222" s="916"/>
    </row>
    <row r="223" spans="1:12" s="103" customFormat="1" ht="15.75" hidden="1" customHeight="1" outlineLevel="1">
      <c r="A223" s="916"/>
      <c r="B223" s="1123">
        <v>71</v>
      </c>
      <c r="C223" s="1127"/>
      <c r="D223" s="1125"/>
      <c r="E223" s="1125" t="s">
        <v>18</v>
      </c>
      <c r="F223" s="1130" t="str">
        <f>VLOOKUP(E223,$N$13:$O$17,2,0)</f>
        <v>-</v>
      </c>
      <c r="G223" s="92"/>
      <c r="H223" s="823"/>
      <c r="I223" s="1125"/>
      <c r="J223" s="1133"/>
      <c r="K223" s="1133"/>
      <c r="L223" s="916"/>
    </row>
    <row r="224" spans="1:12" s="103" customFormat="1" ht="15.75" hidden="1" customHeight="1" outlineLevel="1">
      <c r="A224" s="916"/>
      <c r="B224" s="1123"/>
      <c r="C224" s="1127"/>
      <c r="D224" s="1125"/>
      <c r="E224" s="1125"/>
      <c r="F224" s="1130"/>
      <c r="G224" s="95"/>
      <c r="H224" s="823"/>
      <c r="I224" s="1125"/>
      <c r="J224" s="1134"/>
      <c r="K224" s="1134"/>
      <c r="L224" s="916"/>
    </row>
    <row r="225" spans="1:12" s="103" customFormat="1" ht="15.75" hidden="1" customHeight="1" outlineLevel="1">
      <c r="A225" s="916"/>
      <c r="B225" s="1124"/>
      <c r="C225" s="1128"/>
      <c r="D225" s="1126"/>
      <c r="E225" s="1126"/>
      <c r="F225" s="1132"/>
      <c r="G225" s="100"/>
      <c r="H225" s="824"/>
      <c r="I225" s="1126"/>
      <c r="J225" s="1135"/>
      <c r="K225" s="1135"/>
      <c r="L225" s="916"/>
    </row>
    <row r="226" spans="1:12" s="103" customFormat="1" ht="15.75" hidden="1" customHeight="1" outlineLevel="1">
      <c r="A226" s="916"/>
      <c r="B226" s="1123">
        <v>72</v>
      </c>
      <c r="C226" s="1127"/>
      <c r="D226" s="1125"/>
      <c r="E226" s="1125" t="s">
        <v>18</v>
      </c>
      <c r="F226" s="1130" t="str">
        <f>VLOOKUP(E226,$N$13:$O$17,2,0)</f>
        <v>-</v>
      </c>
      <c r="G226" s="92"/>
      <c r="H226" s="823"/>
      <c r="I226" s="1125"/>
      <c r="J226" s="1133"/>
      <c r="K226" s="1133"/>
      <c r="L226" s="916"/>
    </row>
    <row r="227" spans="1:12" s="103" customFormat="1" ht="15.75" hidden="1" customHeight="1" outlineLevel="1">
      <c r="A227" s="916"/>
      <c r="B227" s="1123"/>
      <c r="C227" s="1127"/>
      <c r="D227" s="1125"/>
      <c r="E227" s="1125"/>
      <c r="F227" s="1130"/>
      <c r="G227" s="95"/>
      <c r="H227" s="823"/>
      <c r="I227" s="1125"/>
      <c r="J227" s="1134"/>
      <c r="K227" s="1134"/>
      <c r="L227" s="916"/>
    </row>
    <row r="228" spans="1:12" s="103" customFormat="1" ht="15.75" hidden="1" customHeight="1" outlineLevel="1">
      <c r="A228" s="916"/>
      <c r="B228" s="1124"/>
      <c r="C228" s="1128"/>
      <c r="D228" s="1126"/>
      <c r="E228" s="1126"/>
      <c r="F228" s="1132"/>
      <c r="G228" s="100"/>
      <c r="H228" s="824"/>
      <c r="I228" s="1126"/>
      <c r="J228" s="1135"/>
      <c r="K228" s="1135"/>
      <c r="L228" s="916"/>
    </row>
    <row r="229" spans="1:12" s="103" customFormat="1" ht="15.75" hidden="1" customHeight="1" outlineLevel="1">
      <c r="A229" s="916"/>
      <c r="B229" s="1123">
        <v>73</v>
      </c>
      <c r="C229" s="1127"/>
      <c r="D229" s="1125"/>
      <c r="E229" s="1125" t="s">
        <v>18</v>
      </c>
      <c r="F229" s="1130" t="str">
        <f>VLOOKUP(E229,$N$13:$O$17,2,0)</f>
        <v>-</v>
      </c>
      <c r="G229" s="92"/>
      <c r="H229" s="823"/>
      <c r="I229" s="1125"/>
      <c r="J229" s="1133"/>
      <c r="K229" s="1133"/>
      <c r="L229" s="916"/>
    </row>
    <row r="230" spans="1:12" s="103" customFormat="1" ht="15.75" hidden="1" customHeight="1" outlineLevel="1">
      <c r="A230" s="916"/>
      <c r="B230" s="1123"/>
      <c r="C230" s="1127"/>
      <c r="D230" s="1125"/>
      <c r="E230" s="1125"/>
      <c r="F230" s="1130"/>
      <c r="G230" s="95"/>
      <c r="H230" s="823"/>
      <c r="I230" s="1125"/>
      <c r="J230" s="1134"/>
      <c r="K230" s="1134"/>
      <c r="L230" s="916"/>
    </row>
    <row r="231" spans="1:12" s="103" customFormat="1" ht="15.75" hidden="1" customHeight="1" outlineLevel="1">
      <c r="A231" s="916"/>
      <c r="B231" s="1124"/>
      <c r="C231" s="1128"/>
      <c r="D231" s="1126"/>
      <c r="E231" s="1126"/>
      <c r="F231" s="1132"/>
      <c r="G231" s="100"/>
      <c r="H231" s="824"/>
      <c r="I231" s="1126"/>
      <c r="J231" s="1135"/>
      <c r="K231" s="1135"/>
      <c r="L231" s="916"/>
    </row>
    <row r="232" spans="1:12" s="103" customFormat="1" ht="15.75" hidden="1" customHeight="1" outlineLevel="1">
      <c r="A232" s="916"/>
      <c r="B232" s="1123">
        <v>74</v>
      </c>
      <c r="C232" s="1127"/>
      <c r="D232" s="1125"/>
      <c r="E232" s="1125" t="s">
        <v>18</v>
      </c>
      <c r="F232" s="1130" t="str">
        <f>VLOOKUP(E232,$N$13:$O$17,2,0)</f>
        <v>-</v>
      </c>
      <c r="G232" s="92"/>
      <c r="H232" s="823"/>
      <c r="I232" s="1125"/>
      <c r="J232" s="1133"/>
      <c r="K232" s="1133"/>
      <c r="L232" s="916"/>
    </row>
    <row r="233" spans="1:12" s="103" customFormat="1" ht="15.75" hidden="1" customHeight="1" outlineLevel="1">
      <c r="A233" s="916"/>
      <c r="B233" s="1123"/>
      <c r="C233" s="1127"/>
      <c r="D233" s="1125"/>
      <c r="E233" s="1125"/>
      <c r="F233" s="1130"/>
      <c r="G233" s="95"/>
      <c r="H233" s="823"/>
      <c r="I233" s="1125"/>
      <c r="J233" s="1134"/>
      <c r="K233" s="1134"/>
      <c r="L233" s="916"/>
    </row>
    <row r="234" spans="1:12" s="103" customFormat="1" ht="15.75" hidden="1" customHeight="1" outlineLevel="1">
      <c r="A234" s="916"/>
      <c r="B234" s="1124"/>
      <c r="C234" s="1128"/>
      <c r="D234" s="1126"/>
      <c r="E234" s="1126"/>
      <c r="F234" s="1132"/>
      <c r="G234" s="100"/>
      <c r="H234" s="824"/>
      <c r="I234" s="1126"/>
      <c r="J234" s="1135"/>
      <c r="K234" s="1135"/>
      <c r="L234" s="916"/>
    </row>
    <row r="235" spans="1:12" s="103" customFormat="1" ht="15.75" hidden="1" customHeight="1" outlineLevel="1">
      <c r="A235" s="916"/>
      <c r="B235" s="1123">
        <v>75</v>
      </c>
      <c r="C235" s="1127"/>
      <c r="D235" s="1125"/>
      <c r="E235" s="1125" t="s">
        <v>18</v>
      </c>
      <c r="F235" s="1130" t="str">
        <f>VLOOKUP(E235,$N$13:$O$17,2,0)</f>
        <v>-</v>
      </c>
      <c r="G235" s="92"/>
      <c r="H235" s="823"/>
      <c r="I235" s="1125"/>
      <c r="J235" s="1133"/>
      <c r="K235" s="1133"/>
      <c r="L235" s="916"/>
    </row>
    <row r="236" spans="1:12" s="103" customFormat="1" ht="15.75" hidden="1" customHeight="1" outlineLevel="1">
      <c r="A236" s="916"/>
      <c r="B236" s="1123"/>
      <c r="C236" s="1127"/>
      <c r="D236" s="1125"/>
      <c r="E236" s="1125"/>
      <c r="F236" s="1130"/>
      <c r="G236" s="95"/>
      <c r="H236" s="823"/>
      <c r="I236" s="1125"/>
      <c r="J236" s="1134"/>
      <c r="K236" s="1134"/>
      <c r="L236" s="916"/>
    </row>
    <row r="237" spans="1:12" s="103" customFormat="1" ht="15.75" hidden="1" customHeight="1" outlineLevel="1">
      <c r="A237" s="916"/>
      <c r="B237" s="1124"/>
      <c r="C237" s="1128"/>
      <c r="D237" s="1126"/>
      <c r="E237" s="1126"/>
      <c r="F237" s="1132"/>
      <c r="G237" s="100"/>
      <c r="H237" s="824"/>
      <c r="I237" s="1126"/>
      <c r="J237" s="1135"/>
      <c r="K237" s="1135"/>
      <c r="L237" s="916"/>
    </row>
    <row r="238" spans="1:12" s="103" customFormat="1" ht="15.75" hidden="1" customHeight="1" outlineLevel="1">
      <c r="A238" s="916"/>
      <c r="B238" s="1123">
        <v>76</v>
      </c>
      <c r="C238" s="1127"/>
      <c r="D238" s="1125"/>
      <c r="E238" s="1125" t="s">
        <v>18</v>
      </c>
      <c r="F238" s="1130" t="str">
        <f>VLOOKUP(E238,$N$13:$O$17,2,0)</f>
        <v>-</v>
      </c>
      <c r="G238" s="92"/>
      <c r="H238" s="823"/>
      <c r="I238" s="1125"/>
      <c r="J238" s="1133"/>
      <c r="K238" s="1133"/>
      <c r="L238" s="916"/>
    </row>
    <row r="239" spans="1:12" s="103" customFormat="1" ht="15.75" hidden="1" customHeight="1" outlineLevel="1">
      <c r="A239" s="916"/>
      <c r="B239" s="1123"/>
      <c r="C239" s="1127"/>
      <c r="D239" s="1125"/>
      <c r="E239" s="1125"/>
      <c r="F239" s="1130"/>
      <c r="G239" s="95"/>
      <c r="H239" s="823"/>
      <c r="I239" s="1125"/>
      <c r="J239" s="1134"/>
      <c r="K239" s="1134"/>
      <c r="L239" s="916"/>
    </row>
    <row r="240" spans="1:12" s="103" customFormat="1" ht="15.75" hidden="1" customHeight="1" outlineLevel="1">
      <c r="A240" s="916"/>
      <c r="B240" s="1124"/>
      <c r="C240" s="1128"/>
      <c r="D240" s="1126"/>
      <c r="E240" s="1126"/>
      <c r="F240" s="1132"/>
      <c r="G240" s="100"/>
      <c r="H240" s="824"/>
      <c r="I240" s="1126"/>
      <c r="J240" s="1135"/>
      <c r="K240" s="1135"/>
      <c r="L240" s="916"/>
    </row>
    <row r="241" spans="1:12" s="103" customFormat="1" ht="15.75" hidden="1" customHeight="1" outlineLevel="1">
      <c r="A241" s="916"/>
      <c r="B241" s="1123">
        <v>77</v>
      </c>
      <c r="C241" s="1127"/>
      <c r="D241" s="1125"/>
      <c r="E241" s="1125" t="s">
        <v>18</v>
      </c>
      <c r="F241" s="1130" t="str">
        <f>VLOOKUP(E241,$N$13:$O$17,2,0)</f>
        <v>-</v>
      </c>
      <c r="G241" s="92"/>
      <c r="H241" s="823"/>
      <c r="I241" s="1125"/>
      <c r="J241" s="1133"/>
      <c r="K241" s="1133"/>
      <c r="L241" s="916"/>
    </row>
    <row r="242" spans="1:12" s="103" customFormat="1" ht="15.75" hidden="1" customHeight="1" outlineLevel="1">
      <c r="A242" s="916"/>
      <c r="B242" s="1123"/>
      <c r="C242" s="1127"/>
      <c r="D242" s="1125"/>
      <c r="E242" s="1125"/>
      <c r="F242" s="1130"/>
      <c r="G242" s="95"/>
      <c r="H242" s="823"/>
      <c r="I242" s="1125"/>
      <c r="J242" s="1134"/>
      <c r="K242" s="1134"/>
      <c r="L242" s="916"/>
    </row>
    <row r="243" spans="1:12" s="103" customFormat="1" ht="15.75" hidden="1" customHeight="1" outlineLevel="1">
      <c r="A243" s="916"/>
      <c r="B243" s="1124"/>
      <c r="C243" s="1128"/>
      <c r="D243" s="1126"/>
      <c r="E243" s="1126"/>
      <c r="F243" s="1132"/>
      <c r="G243" s="100"/>
      <c r="H243" s="824"/>
      <c r="I243" s="1126"/>
      <c r="J243" s="1135"/>
      <c r="K243" s="1135"/>
      <c r="L243" s="916"/>
    </row>
    <row r="244" spans="1:12" s="103" customFormat="1" ht="15.75" hidden="1" customHeight="1" outlineLevel="1">
      <c r="A244" s="916"/>
      <c r="B244" s="1123">
        <v>78</v>
      </c>
      <c r="C244" s="1127"/>
      <c r="D244" s="1125"/>
      <c r="E244" s="1125" t="s">
        <v>18</v>
      </c>
      <c r="F244" s="1130" t="str">
        <f>VLOOKUP(E244,$N$13:$O$17,2,0)</f>
        <v>-</v>
      </c>
      <c r="G244" s="92"/>
      <c r="H244" s="823"/>
      <c r="I244" s="1125"/>
      <c r="J244" s="1133"/>
      <c r="K244" s="1133"/>
      <c r="L244" s="916"/>
    </row>
    <row r="245" spans="1:12" s="103" customFormat="1" ht="15.75" hidden="1" customHeight="1" outlineLevel="1">
      <c r="A245" s="916"/>
      <c r="B245" s="1123"/>
      <c r="C245" s="1127"/>
      <c r="D245" s="1125"/>
      <c r="E245" s="1125"/>
      <c r="F245" s="1130"/>
      <c r="G245" s="95"/>
      <c r="H245" s="823"/>
      <c r="I245" s="1125"/>
      <c r="J245" s="1134"/>
      <c r="K245" s="1134"/>
      <c r="L245" s="916"/>
    </row>
    <row r="246" spans="1:12" s="103" customFormat="1" ht="15.75" hidden="1" customHeight="1" outlineLevel="1">
      <c r="A246" s="916"/>
      <c r="B246" s="1124"/>
      <c r="C246" s="1128"/>
      <c r="D246" s="1126"/>
      <c r="E246" s="1126"/>
      <c r="F246" s="1132"/>
      <c r="G246" s="100"/>
      <c r="H246" s="824"/>
      <c r="I246" s="1126"/>
      <c r="J246" s="1135"/>
      <c r="K246" s="1135"/>
      <c r="L246" s="916"/>
    </row>
    <row r="247" spans="1:12" s="103" customFormat="1" ht="15.75" hidden="1" customHeight="1" outlineLevel="1">
      <c r="A247" s="916"/>
      <c r="B247" s="1123">
        <v>79</v>
      </c>
      <c r="C247" s="1127"/>
      <c r="D247" s="1125"/>
      <c r="E247" s="1125" t="s">
        <v>18</v>
      </c>
      <c r="F247" s="1130" t="str">
        <f>VLOOKUP(E247,$N$13:$O$17,2,0)</f>
        <v>-</v>
      </c>
      <c r="G247" s="92"/>
      <c r="H247" s="823"/>
      <c r="I247" s="1125"/>
      <c r="J247" s="1133"/>
      <c r="K247" s="1133"/>
      <c r="L247" s="916"/>
    </row>
    <row r="248" spans="1:12" s="103" customFormat="1" ht="15.75" hidden="1" customHeight="1" outlineLevel="1">
      <c r="A248" s="916"/>
      <c r="B248" s="1123"/>
      <c r="C248" s="1127"/>
      <c r="D248" s="1125"/>
      <c r="E248" s="1125"/>
      <c r="F248" s="1130"/>
      <c r="G248" s="95"/>
      <c r="H248" s="823"/>
      <c r="I248" s="1125"/>
      <c r="J248" s="1134"/>
      <c r="K248" s="1134"/>
      <c r="L248" s="916"/>
    </row>
    <row r="249" spans="1:12" s="103" customFormat="1" ht="15.75" hidden="1" customHeight="1" outlineLevel="1">
      <c r="A249" s="916"/>
      <c r="B249" s="1124"/>
      <c r="C249" s="1128"/>
      <c r="D249" s="1126"/>
      <c r="E249" s="1126"/>
      <c r="F249" s="1132"/>
      <c r="G249" s="100"/>
      <c r="H249" s="824"/>
      <c r="I249" s="1126"/>
      <c r="J249" s="1135"/>
      <c r="K249" s="1135"/>
      <c r="L249" s="916"/>
    </row>
    <row r="250" spans="1:12" s="103" customFormat="1" ht="15.75" hidden="1" customHeight="1" outlineLevel="1">
      <c r="A250" s="916"/>
      <c r="B250" s="1123">
        <v>80</v>
      </c>
      <c r="C250" s="1127"/>
      <c r="D250" s="1125"/>
      <c r="E250" s="1125" t="s">
        <v>18</v>
      </c>
      <c r="F250" s="1130" t="str">
        <f>VLOOKUP(E250,$N$13:$O$17,2,0)</f>
        <v>-</v>
      </c>
      <c r="G250" s="92"/>
      <c r="H250" s="823"/>
      <c r="I250" s="1125"/>
      <c r="J250" s="1133"/>
      <c r="K250" s="1133"/>
      <c r="L250" s="916"/>
    </row>
    <row r="251" spans="1:12" s="103" customFormat="1" ht="15.75" hidden="1" customHeight="1" outlineLevel="1">
      <c r="A251" s="916"/>
      <c r="B251" s="1123"/>
      <c r="C251" s="1127"/>
      <c r="D251" s="1125"/>
      <c r="E251" s="1125"/>
      <c r="F251" s="1130"/>
      <c r="G251" s="95"/>
      <c r="H251" s="823"/>
      <c r="I251" s="1125"/>
      <c r="J251" s="1134"/>
      <c r="K251" s="1134"/>
      <c r="L251" s="916"/>
    </row>
    <row r="252" spans="1:12" s="103" customFormat="1" ht="15.75" hidden="1" customHeight="1" outlineLevel="1">
      <c r="A252" s="916"/>
      <c r="B252" s="1124"/>
      <c r="C252" s="1128"/>
      <c r="D252" s="1126"/>
      <c r="E252" s="1126"/>
      <c r="F252" s="1132"/>
      <c r="G252" s="100"/>
      <c r="H252" s="824"/>
      <c r="I252" s="1126"/>
      <c r="J252" s="1135"/>
      <c r="K252" s="1135"/>
      <c r="L252" s="916"/>
    </row>
    <row r="253" spans="1:12" s="103" customFormat="1" ht="15.75" hidden="1" customHeight="1" outlineLevel="1">
      <c r="A253" s="916"/>
      <c r="B253" s="1123">
        <v>81</v>
      </c>
      <c r="C253" s="1127"/>
      <c r="D253" s="1125"/>
      <c r="E253" s="1125" t="s">
        <v>18</v>
      </c>
      <c r="F253" s="1130" t="str">
        <f>VLOOKUP(E253,$N$13:$O$17,2,0)</f>
        <v>-</v>
      </c>
      <c r="G253" s="92"/>
      <c r="H253" s="823"/>
      <c r="I253" s="1125"/>
      <c r="J253" s="1133"/>
      <c r="K253" s="1133"/>
      <c r="L253" s="916"/>
    </row>
    <row r="254" spans="1:12" s="103" customFormat="1" ht="15.75" hidden="1" customHeight="1" outlineLevel="1">
      <c r="A254" s="916"/>
      <c r="B254" s="1123"/>
      <c r="C254" s="1127"/>
      <c r="D254" s="1125"/>
      <c r="E254" s="1125"/>
      <c r="F254" s="1130"/>
      <c r="G254" s="95"/>
      <c r="H254" s="823"/>
      <c r="I254" s="1125"/>
      <c r="J254" s="1134"/>
      <c r="K254" s="1134"/>
      <c r="L254" s="916"/>
    </row>
    <row r="255" spans="1:12" s="103" customFormat="1" ht="15.75" hidden="1" customHeight="1" outlineLevel="1">
      <c r="A255" s="916"/>
      <c r="B255" s="1124"/>
      <c r="C255" s="1128"/>
      <c r="D255" s="1126"/>
      <c r="E255" s="1126"/>
      <c r="F255" s="1132"/>
      <c r="G255" s="100"/>
      <c r="H255" s="824"/>
      <c r="I255" s="1126"/>
      <c r="J255" s="1135"/>
      <c r="K255" s="1135"/>
      <c r="L255" s="916"/>
    </row>
    <row r="256" spans="1:12" s="103" customFormat="1" ht="15.75" hidden="1" customHeight="1" outlineLevel="1">
      <c r="A256" s="916"/>
      <c r="B256" s="1123">
        <v>82</v>
      </c>
      <c r="C256" s="1127"/>
      <c r="D256" s="1125"/>
      <c r="E256" s="1125" t="s">
        <v>18</v>
      </c>
      <c r="F256" s="1130" t="str">
        <f>VLOOKUP(E256,$N$13:$O$17,2,0)</f>
        <v>-</v>
      </c>
      <c r="G256" s="92"/>
      <c r="H256" s="823"/>
      <c r="I256" s="1125"/>
      <c r="J256" s="1133"/>
      <c r="K256" s="1133"/>
      <c r="L256" s="916"/>
    </row>
    <row r="257" spans="1:12" s="103" customFormat="1" ht="15.75" hidden="1" customHeight="1" outlineLevel="1">
      <c r="A257" s="916"/>
      <c r="B257" s="1123"/>
      <c r="C257" s="1127"/>
      <c r="D257" s="1125"/>
      <c r="E257" s="1125"/>
      <c r="F257" s="1130"/>
      <c r="G257" s="95"/>
      <c r="H257" s="823"/>
      <c r="I257" s="1125"/>
      <c r="J257" s="1134"/>
      <c r="K257" s="1134"/>
      <c r="L257" s="916"/>
    </row>
    <row r="258" spans="1:12" s="103" customFormat="1" ht="15.75" hidden="1" customHeight="1" outlineLevel="1">
      <c r="A258" s="916"/>
      <c r="B258" s="1124"/>
      <c r="C258" s="1128"/>
      <c r="D258" s="1126"/>
      <c r="E258" s="1126"/>
      <c r="F258" s="1132"/>
      <c r="G258" s="100"/>
      <c r="H258" s="824"/>
      <c r="I258" s="1126"/>
      <c r="J258" s="1135"/>
      <c r="K258" s="1135"/>
      <c r="L258" s="916"/>
    </row>
    <row r="259" spans="1:12" s="103" customFormat="1" ht="15.75" hidden="1" customHeight="1" outlineLevel="1">
      <c r="A259" s="916"/>
      <c r="B259" s="1123">
        <v>83</v>
      </c>
      <c r="C259" s="1127"/>
      <c r="D259" s="1125"/>
      <c r="E259" s="1125" t="s">
        <v>18</v>
      </c>
      <c r="F259" s="1130" t="str">
        <f>VLOOKUP(E259,$N$13:$O$17,2,0)</f>
        <v>-</v>
      </c>
      <c r="G259" s="92"/>
      <c r="H259" s="823"/>
      <c r="I259" s="1125"/>
      <c r="J259" s="1133"/>
      <c r="K259" s="1133"/>
      <c r="L259" s="916"/>
    </row>
    <row r="260" spans="1:12" s="103" customFormat="1" ht="15.75" hidden="1" customHeight="1" outlineLevel="1">
      <c r="A260" s="916"/>
      <c r="B260" s="1123"/>
      <c r="C260" s="1127"/>
      <c r="D260" s="1125"/>
      <c r="E260" s="1125"/>
      <c r="F260" s="1130"/>
      <c r="G260" s="95"/>
      <c r="H260" s="823"/>
      <c r="I260" s="1125"/>
      <c r="J260" s="1134"/>
      <c r="K260" s="1134"/>
      <c r="L260" s="916"/>
    </row>
    <row r="261" spans="1:12" s="103" customFormat="1" ht="15.75" hidden="1" customHeight="1" outlineLevel="1">
      <c r="A261" s="916"/>
      <c r="B261" s="1124"/>
      <c r="C261" s="1128"/>
      <c r="D261" s="1126"/>
      <c r="E261" s="1126"/>
      <c r="F261" s="1132"/>
      <c r="G261" s="100"/>
      <c r="H261" s="824"/>
      <c r="I261" s="1126"/>
      <c r="J261" s="1135"/>
      <c r="K261" s="1135"/>
      <c r="L261" s="916"/>
    </row>
    <row r="262" spans="1:12" s="103" customFormat="1" ht="15.75" hidden="1" customHeight="1" outlineLevel="1">
      <c r="A262" s="916"/>
      <c r="B262" s="1123">
        <v>84</v>
      </c>
      <c r="C262" s="1127"/>
      <c r="D262" s="1125"/>
      <c r="E262" s="1125" t="s">
        <v>18</v>
      </c>
      <c r="F262" s="1130" t="str">
        <f>VLOOKUP(E262,$N$13:$O$17,2,0)</f>
        <v>-</v>
      </c>
      <c r="G262" s="92"/>
      <c r="H262" s="823"/>
      <c r="I262" s="1125"/>
      <c r="J262" s="1133"/>
      <c r="K262" s="1133"/>
      <c r="L262" s="916"/>
    </row>
    <row r="263" spans="1:12" s="103" customFormat="1" ht="15.75" hidden="1" customHeight="1" outlineLevel="1">
      <c r="A263" s="916"/>
      <c r="B263" s="1123"/>
      <c r="C263" s="1127"/>
      <c r="D263" s="1125"/>
      <c r="E263" s="1125"/>
      <c r="F263" s="1130"/>
      <c r="G263" s="95"/>
      <c r="H263" s="823"/>
      <c r="I263" s="1125"/>
      <c r="J263" s="1134"/>
      <c r="K263" s="1134"/>
      <c r="L263" s="916"/>
    </row>
    <row r="264" spans="1:12" s="103" customFormat="1" ht="15.75" hidden="1" customHeight="1" outlineLevel="1">
      <c r="A264" s="916"/>
      <c r="B264" s="1124"/>
      <c r="C264" s="1128"/>
      <c r="D264" s="1126"/>
      <c r="E264" s="1126"/>
      <c r="F264" s="1132"/>
      <c r="G264" s="100"/>
      <c r="H264" s="824"/>
      <c r="I264" s="1126"/>
      <c r="J264" s="1135"/>
      <c r="K264" s="1135"/>
      <c r="L264" s="916"/>
    </row>
    <row r="265" spans="1:12" s="103" customFormat="1" ht="15.75" hidden="1" customHeight="1" outlineLevel="1">
      <c r="A265" s="916"/>
      <c r="B265" s="1123">
        <v>85</v>
      </c>
      <c r="C265" s="1127"/>
      <c r="D265" s="1125"/>
      <c r="E265" s="1125" t="s">
        <v>18</v>
      </c>
      <c r="F265" s="1130" t="str">
        <f>VLOOKUP(E265,$N$13:$O$17,2,0)</f>
        <v>-</v>
      </c>
      <c r="G265" s="92"/>
      <c r="H265" s="823"/>
      <c r="I265" s="1125"/>
      <c r="J265" s="1133"/>
      <c r="K265" s="1133"/>
      <c r="L265" s="916"/>
    </row>
    <row r="266" spans="1:12" s="103" customFormat="1" ht="15.75" hidden="1" customHeight="1" outlineLevel="1">
      <c r="A266" s="916"/>
      <c r="B266" s="1123"/>
      <c r="C266" s="1127"/>
      <c r="D266" s="1125"/>
      <c r="E266" s="1125"/>
      <c r="F266" s="1130"/>
      <c r="G266" s="95"/>
      <c r="H266" s="823"/>
      <c r="I266" s="1125"/>
      <c r="J266" s="1134"/>
      <c r="K266" s="1134"/>
      <c r="L266" s="916"/>
    </row>
    <row r="267" spans="1:12" s="103" customFormat="1" ht="15.75" hidden="1" customHeight="1" outlineLevel="1">
      <c r="A267" s="916"/>
      <c r="B267" s="1124"/>
      <c r="C267" s="1128"/>
      <c r="D267" s="1126"/>
      <c r="E267" s="1126"/>
      <c r="F267" s="1132"/>
      <c r="G267" s="100"/>
      <c r="H267" s="824"/>
      <c r="I267" s="1126"/>
      <c r="J267" s="1135"/>
      <c r="K267" s="1135"/>
      <c r="L267" s="916"/>
    </row>
    <row r="268" spans="1:12" s="103" customFormat="1" ht="15.75" hidden="1" customHeight="1" outlineLevel="1">
      <c r="A268" s="916"/>
      <c r="B268" s="1123">
        <v>86</v>
      </c>
      <c r="C268" s="1127"/>
      <c r="D268" s="1125"/>
      <c r="E268" s="1125" t="s">
        <v>18</v>
      </c>
      <c r="F268" s="1130" t="str">
        <f>VLOOKUP(E268,$N$13:$O$17,2,0)</f>
        <v>-</v>
      </c>
      <c r="G268" s="92"/>
      <c r="H268" s="823"/>
      <c r="I268" s="1125"/>
      <c r="J268" s="1133"/>
      <c r="K268" s="1133"/>
      <c r="L268" s="916"/>
    </row>
    <row r="269" spans="1:12" s="103" customFormat="1" ht="15.75" hidden="1" customHeight="1" outlineLevel="1">
      <c r="A269" s="916"/>
      <c r="B269" s="1123"/>
      <c r="C269" s="1127"/>
      <c r="D269" s="1125"/>
      <c r="E269" s="1125"/>
      <c r="F269" s="1130"/>
      <c r="G269" s="95"/>
      <c r="H269" s="823"/>
      <c r="I269" s="1125"/>
      <c r="J269" s="1134"/>
      <c r="K269" s="1134"/>
      <c r="L269" s="916"/>
    </row>
    <row r="270" spans="1:12" s="103" customFormat="1" ht="15.75" hidden="1" customHeight="1" outlineLevel="1">
      <c r="A270" s="916"/>
      <c r="B270" s="1124"/>
      <c r="C270" s="1128"/>
      <c r="D270" s="1126"/>
      <c r="E270" s="1126"/>
      <c r="F270" s="1132"/>
      <c r="G270" s="100"/>
      <c r="H270" s="824"/>
      <c r="I270" s="1126"/>
      <c r="J270" s="1135"/>
      <c r="K270" s="1135"/>
      <c r="L270" s="916"/>
    </row>
    <row r="271" spans="1:12" s="103" customFormat="1" ht="15.75" hidden="1" customHeight="1" outlineLevel="1">
      <c r="A271" s="916"/>
      <c r="B271" s="1123">
        <v>87</v>
      </c>
      <c r="C271" s="1127"/>
      <c r="D271" s="1125"/>
      <c r="E271" s="1125" t="s">
        <v>18</v>
      </c>
      <c r="F271" s="1130" t="str">
        <f>VLOOKUP(E271,$N$13:$O$17,2,0)</f>
        <v>-</v>
      </c>
      <c r="G271" s="92"/>
      <c r="H271" s="823"/>
      <c r="I271" s="1125"/>
      <c r="J271" s="1133"/>
      <c r="K271" s="1133"/>
      <c r="L271" s="916"/>
    </row>
    <row r="272" spans="1:12" s="103" customFormat="1" ht="15.75" hidden="1" customHeight="1" outlineLevel="1">
      <c r="A272" s="916"/>
      <c r="B272" s="1123"/>
      <c r="C272" s="1127"/>
      <c r="D272" s="1125"/>
      <c r="E272" s="1125"/>
      <c r="F272" s="1130"/>
      <c r="G272" s="95"/>
      <c r="H272" s="823"/>
      <c r="I272" s="1125"/>
      <c r="J272" s="1134"/>
      <c r="K272" s="1134"/>
      <c r="L272" s="916"/>
    </row>
    <row r="273" spans="1:12" s="103" customFormat="1" ht="15.75" hidden="1" customHeight="1" outlineLevel="1">
      <c r="A273" s="916"/>
      <c r="B273" s="1124"/>
      <c r="C273" s="1128"/>
      <c r="D273" s="1126"/>
      <c r="E273" s="1126"/>
      <c r="F273" s="1132"/>
      <c r="G273" s="100"/>
      <c r="H273" s="824"/>
      <c r="I273" s="1126"/>
      <c r="J273" s="1135"/>
      <c r="K273" s="1135"/>
      <c r="L273" s="916"/>
    </row>
    <row r="274" spans="1:12" s="103" customFormat="1" ht="15.75" hidden="1" customHeight="1" outlineLevel="1">
      <c r="A274" s="916"/>
      <c r="B274" s="1123">
        <v>88</v>
      </c>
      <c r="C274" s="1127"/>
      <c r="D274" s="1125"/>
      <c r="E274" s="1125" t="s">
        <v>18</v>
      </c>
      <c r="F274" s="1130" t="str">
        <f>VLOOKUP(E274,$N$13:$O$17,2,0)</f>
        <v>-</v>
      </c>
      <c r="G274" s="92"/>
      <c r="H274" s="823"/>
      <c r="I274" s="1125"/>
      <c r="J274" s="1133"/>
      <c r="K274" s="1133"/>
      <c r="L274" s="916"/>
    </row>
    <row r="275" spans="1:12" s="103" customFormat="1" ht="15.75" hidden="1" customHeight="1" outlineLevel="1">
      <c r="A275" s="916"/>
      <c r="B275" s="1123"/>
      <c r="C275" s="1127"/>
      <c r="D275" s="1125"/>
      <c r="E275" s="1125"/>
      <c r="F275" s="1130"/>
      <c r="G275" s="95"/>
      <c r="H275" s="823"/>
      <c r="I275" s="1125"/>
      <c r="J275" s="1134"/>
      <c r="K275" s="1134"/>
      <c r="L275" s="916"/>
    </row>
    <row r="276" spans="1:12" s="103" customFormat="1" ht="15.75" hidden="1" customHeight="1" outlineLevel="1">
      <c r="A276" s="916"/>
      <c r="B276" s="1124"/>
      <c r="C276" s="1128"/>
      <c r="D276" s="1126"/>
      <c r="E276" s="1126"/>
      <c r="F276" s="1132"/>
      <c r="G276" s="100"/>
      <c r="H276" s="824"/>
      <c r="I276" s="1126"/>
      <c r="J276" s="1135"/>
      <c r="K276" s="1135"/>
      <c r="L276" s="916"/>
    </row>
    <row r="277" spans="1:12" s="103" customFormat="1" ht="15.75" hidden="1" customHeight="1" outlineLevel="1">
      <c r="A277" s="916"/>
      <c r="B277" s="1123">
        <v>89</v>
      </c>
      <c r="C277" s="1127"/>
      <c r="D277" s="1125"/>
      <c r="E277" s="1125" t="s">
        <v>18</v>
      </c>
      <c r="F277" s="1130" t="str">
        <f>VLOOKUP(E277,$N$13:$O$17,2,0)</f>
        <v>-</v>
      </c>
      <c r="G277" s="92"/>
      <c r="H277" s="823"/>
      <c r="I277" s="1125"/>
      <c r="J277" s="1133"/>
      <c r="K277" s="1133"/>
      <c r="L277" s="916"/>
    </row>
    <row r="278" spans="1:12" s="103" customFormat="1" ht="15.75" hidden="1" customHeight="1" outlineLevel="1">
      <c r="A278" s="916"/>
      <c r="B278" s="1123"/>
      <c r="C278" s="1127"/>
      <c r="D278" s="1125"/>
      <c r="E278" s="1125"/>
      <c r="F278" s="1130"/>
      <c r="G278" s="95"/>
      <c r="H278" s="823"/>
      <c r="I278" s="1125"/>
      <c r="J278" s="1134"/>
      <c r="K278" s="1134"/>
      <c r="L278" s="916"/>
    </row>
    <row r="279" spans="1:12" s="103" customFormat="1" ht="15.75" hidden="1" customHeight="1" outlineLevel="1">
      <c r="A279" s="916"/>
      <c r="B279" s="1124"/>
      <c r="C279" s="1128"/>
      <c r="D279" s="1126"/>
      <c r="E279" s="1126"/>
      <c r="F279" s="1132"/>
      <c r="G279" s="100"/>
      <c r="H279" s="824"/>
      <c r="I279" s="1126"/>
      <c r="J279" s="1135"/>
      <c r="K279" s="1135"/>
      <c r="L279" s="916"/>
    </row>
    <row r="280" spans="1:12" s="103" customFormat="1" ht="15.75" hidden="1" customHeight="1" outlineLevel="1">
      <c r="A280" s="916"/>
      <c r="B280" s="1123">
        <v>90</v>
      </c>
      <c r="C280" s="1127"/>
      <c r="D280" s="1125"/>
      <c r="E280" s="1125" t="s">
        <v>18</v>
      </c>
      <c r="F280" s="1130" t="str">
        <f>VLOOKUP(E280,$N$13:$O$17,2,0)</f>
        <v>-</v>
      </c>
      <c r="G280" s="92"/>
      <c r="H280" s="823"/>
      <c r="I280" s="1125"/>
      <c r="J280" s="1133"/>
      <c r="K280" s="1133"/>
      <c r="L280" s="916"/>
    </row>
    <row r="281" spans="1:12" s="103" customFormat="1" ht="15.75" hidden="1" customHeight="1" outlineLevel="1">
      <c r="A281" s="916"/>
      <c r="B281" s="1123"/>
      <c r="C281" s="1127"/>
      <c r="D281" s="1125"/>
      <c r="E281" s="1125"/>
      <c r="F281" s="1130"/>
      <c r="G281" s="95"/>
      <c r="H281" s="823"/>
      <c r="I281" s="1125"/>
      <c r="J281" s="1134"/>
      <c r="K281" s="1134"/>
      <c r="L281" s="916"/>
    </row>
    <row r="282" spans="1:12" s="103" customFormat="1" ht="15.75" hidden="1" customHeight="1" outlineLevel="1">
      <c r="A282" s="916"/>
      <c r="B282" s="1124"/>
      <c r="C282" s="1128"/>
      <c r="D282" s="1126"/>
      <c r="E282" s="1126"/>
      <c r="F282" s="1132"/>
      <c r="G282" s="100"/>
      <c r="H282" s="824"/>
      <c r="I282" s="1126"/>
      <c r="J282" s="1135"/>
      <c r="K282" s="1135"/>
      <c r="L282" s="916"/>
    </row>
    <row r="283" spans="1:12" s="103" customFormat="1" ht="15.75" hidden="1" customHeight="1" outlineLevel="1">
      <c r="A283" s="916"/>
      <c r="B283" s="1123">
        <v>91</v>
      </c>
      <c r="C283" s="1127"/>
      <c r="D283" s="1125"/>
      <c r="E283" s="1125" t="s">
        <v>18</v>
      </c>
      <c r="F283" s="1130" t="str">
        <f>VLOOKUP(E283,$N$13:$O$17,2,0)</f>
        <v>-</v>
      </c>
      <c r="G283" s="92"/>
      <c r="H283" s="823"/>
      <c r="I283" s="1125"/>
      <c r="J283" s="1133"/>
      <c r="K283" s="1133"/>
      <c r="L283" s="916"/>
    </row>
    <row r="284" spans="1:12" s="103" customFormat="1" ht="15.75" hidden="1" customHeight="1" outlineLevel="1">
      <c r="A284" s="916"/>
      <c r="B284" s="1123"/>
      <c r="C284" s="1127"/>
      <c r="D284" s="1125"/>
      <c r="E284" s="1125"/>
      <c r="F284" s="1130"/>
      <c r="G284" s="95"/>
      <c r="H284" s="823"/>
      <c r="I284" s="1125"/>
      <c r="J284" s="1134"/>
      <c r="K284" s="1134"/>
      <c r="L284" s="916"/>
    </row>
    <row r="285" spans="1:12" s="103" customFormat="1" ht="15.75" hidden="1" customHeight="1" outlineLevel="1">
      <c r="A285" s="916"/>
      <c r="B285" s="1124"/>
      <c r="C285" s="1128"/>
      <c r="D285" s="1126"/>
      <c r="E285" s="1126"/>
      <c r="F285" s="1132"/>
      <c r="G285" s="100"/>
      <c r="H285" s="824"/>
      <c r="I285" s="1126"/>
      <c r="J285" s="1135"/>
      <c r="K285" s="1135"/>
      <c r="L285" s="916"/>
    </row>
    <row r="286" spans="1:12" s="103" customFormat="1" ht="15.75" hidden="1" customHeight="1" outlineLevel="1">
      <c r="A286" s="916"/>
      <c r="B286" s="1123">
        <v>92</v>
      </c>
      <c r="C286" s="1127"/>
      <c r="D286" s="1125"/>
      <c r="E286" s="1125" t="s">
        <v>18</v>
      </c>
      <c r="F286" s="1130" t="str">
        <f>VLOOKUP(E286,$N$13:$O$17,2,0)</f>
        <v>-</v>
      </c>
      <c r="G286" s="92"/>
      <c r="H286" s="823"/>
      <c r="I286" s="1125"/>
      <c r="J286" s="1133"/>
      <c r="K286" s="1133"/>
      <c r="L286" s="916"/>
    </row>
    <row r="287" spans="1:12" s="103" customFormat="1" ht="15.75" hidden="1" customHeight="1" outlineLevel="1">
      <c r="A287" s="916"/>
      <c r="B287" s="1123"/>
      <c r="C287" s="1127"/>
      <c r="D287" s="1125"/>
      <c r="E287" s="1125"/>
      <c r="F287" s="1130"/>
      <c r="G287" s="95"/>
      <c r="H287" s="823"/>
      <c r="I287" s="1125"/>
      <c r="J287" s="1134"/>
      <c r="K287" s="1134"/>
      <c r="L287" s="916"/>
    </row>
    <row r="288" spans="1:12" s="103" customFormat="1" ht="15.75" hidden="1" customHeight="1" outlineLevel="1">
      <c r="A288" s="916"/>
      <c r="B288" s="1124"/>
      <c r="C288" s="1128"/>
      <c r="D288" s="1126"/>
      <c r="E288" s="1126"/>
      <c r="F288" s="1132"/>
      <c r="G288" s="100"/>
      <c r="H288" s="824"/>
      <c r="I288" s="1126"/>
      <c r="J288" s="1135"/>
      <c r="K288" s="1135"/>
      <c r="L288" s="916"/>
    </row>
    <row r="289" spans="1:12" s="103" customFormat="1" ht="15.75" hidden="1" customHeight="1" outlineLevel="1">
      <c r="A289" s="916"/>
      <c r="B289" s="1123">
        <v>93</v>
      </c>
      <c r="C289" s="1127"/>
      <c r="D289" s="1125"/>
      <c r="E289" s="1125" t="s">
        <v>18</v>
      </c>
      <c r="F289" s="1130" t="str">
        <f>VLOOKUP(E289,$N$13:$O$17,2,0)</f>
        <v>-</v>
      </c>
      <c r="G289" s="92"/>
      <c r="H289" s="823"/>
      <c r="I289" s="1125"/>
      <c r="J289" s="1133"/>
      <c r="K289" s="1133"/>
      <c r="L289" s="916"/>
    </row>
    <row r="290" spans="1:12" s="103" customFormat="1" ht="15.75" hidden="1" customHeight="1" outlineLevel="1">
      <c r="A290" s="916"/>
      <c r="B290" s="1123"/>
      <c r="C290" s="1127"/>
      <c r="D290" s="1125"/>
      <c r="E290" s="1125"/>
      <c r="F290" s="1130"/>
      <c r="G290" s="95"/>
      <c r="H290" s="823"/>
      <c r="I290" s="1125"/>
      <c r="J290" s="1134"/>
      <c r="K290" s="1134"/>
      <c r="L290" s="916"/>
    </row>
    <row r="291" spans="1:12" s="103" customFormat="1" ht="15.75" hidden="1" customHeight="1" outlineLevel="1">
      <c r="A291" s="916"/>
      <c r="B291" s="1124"/>
      <c r="C291" s="1128"/>
      <c r="D291" s="1126"/>
      <c r="E291" s="1126"/>
      <c r="F291" s="1132"/>
      <c r="G291" s="100"/>
      <c r="H291" s="824"/>
      <c r="I291" s="1126"/>
      <c r="J291" s="1135"/>
      <c r="K291" s="1135"/>
      <c r="L291" s="916"/>
    </row>
    <row r="292" spans="1:12" s="103" customFormat="1" ht="15.75" hidden="1" customHeight="1" outlineLevel="1">
      <c r="A292" s="916"/>
      <c r="B292" s="1123">
        <v>94</v>
      </c>
      <c r="C292" s="1127"/>
      <c r="D292" s="1125"/>
      <c r="E292" s="1125" t="s">
        <v>18</v>
      </c>
      <c r="F292" s="1130" t="str">
        <f>VLOOKUP(E292,$N$13:$O$17,2,0)</f>
        <v>-</v>
      </c>
      <c r="G292" s="92"/>
      <c r="H292" s="823"/>
      <c r="I292" s="1125"/>
      <c r="J292" s="1133"/>
      <c r="K292" s="1133"/>
      <c r="L292" s="916"/>
    </row>
    <row r="293" spans="1:12" s="103" customFormat="1" ht="15.75" hidden="1" customHeight="1" outlineLevel="1">
      <c r="A293" s="916"/>
      <c r="B293" s="1123"/>
      <c r="C293" s="1127"/>
      <c r="D293" s="1125"/>
      <c r="E293" s="1125"/>
      <c r="F293" s="1130"/>
      <c r="G293" s="95"/>
      <c r="H293" s="823"/>
      <c r="I293" s="1125"/>
      <c r="J293" s="1134"/>
      <c r="K293" s="1134"/>
      <c r="L293" s="916"/>
    </row>
    <row r="294" spans="1:12" s="103" customFormat="1" ht="15.75" hidden="1" customHeight="1" outlineLevel="1">
      <c r="A294" s="916"/>
      <c r="B294" s="1124"/>
      <c r="C294" s="1128"/>
      <c r="D294" s="1126"/>
      <c r="E294" s="1126"/>
      <c r="F294" s="1132"/>
      <c r="G294" s="100"/>
      <c r="H294" s="824"/>
      <c r="I294" s="1126"/>
      <c r="J294" s="1135"/>
      <c r="K294" s="1135"/>
      <c r="L294" s="916"/>
    </row>
    <row r="295" spans="1:12" s="103" customFormat="1" ht="15.75" hidden="1" customHeight="1" outlineLevel="1">
      <c r="A295" s="916"/>
      <c r="B295" s="1123">
        <v>95</v>
      </c>
      <c r="C295" s="1127"/>
      <c r="D295" s="1125"/>
      <c r="E295" s="1125" t="s">
        <v>18</v>
      </c>
      <c r="F295" s="1130" t="str">
        <f>VLOOKUP(E295,$N$13:$O$17,2,0)</f>
        <v>-</v>
      </c>
      <c r="G295" s="92"/>
      <c r="H295" s="823"/>
      <c r="I295" s="1125"/>
      <c r="J295" s="1133"/>
      <c r="K295" s="1133"/>
      <c r="L295" s="916"/>
    </row>
    <row r="296" spans="1:12" s="103" customFormat="1" ht="15.75" hidden="1" customHeight="1" outlineLevel="1">
      <c r="A296" s="916"/>
      <c r="B296" s="1123"/>
      <c r="C296" s="1127"/>
      <c r="D296" s="1125"/>
      <c r="E296" s="1125"/>
      <c r="F296" s="1130"/>
      <c r="G296" s="95"/>
      <c r="H296" s="823"/>
      <c r="I296" s="1125"/>
      <c r="J296" s="1134"/>
      <c r="K296" s="1134"/>
      <c r="L296" s="916"/>
    </row>
    <row r="297" spans="1:12" s="103" customFormat="1" ht="15.75" hidden="1" customHeight="1" outlineLevel="1">
      <c r="A297" s="916"/>
      <c r="B297" s="1124"/>
      <c r="C297" s="1128"/>
      <c r="D297" s="1126"/>
      <c r="E297" s="1126"/>
      <c r="F297" s="1132"/>
      <c r="G297" s="100"/>
      <c r="H297" s="824"/>
      <c r="I297" s="1126"/>
      <c r="J297" s="1135"/>
      <c r="K297" s="1135"/>
      <c r="L297" s="916"/>
    </row>
    <row r="298" spans="1:12" s="103" customFormat="1" ht="15.75" hidden="1" customHeight="1" outlineLevel="1">
      <c r="A298" s="916"/>
      <c r="B298" s="1123">
        <v>96</v>
      </c>
      <c r="C298" s="1127"/>
      <c r="D298" s="1125"/>
      <c r="E298" s="1125" t="s">
        <v>18</v>
      </c>
      <c r="F298" s="1130" t="str">
        <f>VLOOKUP(E298,$N$13:$O$17,2,0)</f>
        <v>-</v>
      </c>
      <c r="G298" s="92"/>
      <c r="H298" s="823"/>
      <c r="I298" s="1125"/>
      <c r="J298" s="1133"/>
      <c r="K298" s="1133"/>
      <c r="L298" s="916"/>
    </row>
    <row r="299" spans="1:12" s="103" customFormat="1" ht="15.75" hidden="1" customHeight="1" outlineLevel="1">
      <c r="A299" s="916"/>
      <c r="B299" s="1123"/>
      <c r="C299" s="1127"/>
      <c r="D299" s="1125"/>
      <c r="E299" s="1125"/>
      <c r="F299" s="1130"/>
      <c r="G299" s="95"/>
      <c r="H299" s="823"/>
      <c r="I299" s="1125"/>
      <c r="J299" s="1134"/>
      <c r="K299" s="1134"/>
      <c r="L299" s="916"/>
    </row>
    <row r="300" spans="1:12" s="103" customFormat="1" ht="15.75" hidden="1" customHeight="1" outlineLevel="1">
      <c r="A300" s="916"/>
      <c r="B300" s="1124"/>
      <c r="C300" s="1128"/>
      <c r="D300" s="1126"/>
      <c r="E300" s="1126"/>
      <c r="F300" s="1132"/>
      <c r="G300" s="100"/>
      <c r="H300" s="824"/>
      <c r="I300" s="1126"/>
      <c r="J300" s="1135"/>
      <c r="K300" s="1135"/>
      <c r="L300" s="916"/>
    </row>
    <row r="301" spans="1:12" s="103" customFormat="1" ht="15.75" hidden="1" customHeight="1" outlineLevel="1">
      <c r="A301" s="916"/>
      <c r="B301" s="1123">
        <v>97</v>
      </c>
      <c r="C301" s="1127"/>
      <c r="D301" s="1125"/>
      <c r="E301" s="1125" t="s">
        <v>18</v>
      </c>
      <c r="F301" s="1130" t="str">
        <f>VLOOKUP(E301,$N$13:$O$17,2,0)</f>
        <v>-</v>
      </c>
      <c r="G301" s="92"/>
      <c r="H301" s="823"/>
      <c r="I301" s="1125"/>
      <c r="J301" s="1133"/>
      <c r="K301" s="1133"/>
      <c r="L301" s="916"/>
    </row>
    <row r="302" spans="1:12" s="103" customFormat="1" ht="15.75" hidden="1" customHeight="1" outlineLevel="1">
      <c r="A302" s="916"/>
      <c r="B302" s="1123"/>
      <c r="C302" s="1127"/>
      <c r="D302" s="1125"/>
      <c r="E302" s="1125"/>
      <c r="F302" s="1130"/>
      <c r="G302" s="95"/>
      <c r="H302" s="823"/>
      <c r="I302" s="1125"/>
      <c r="J302" s="1134"/>
      <c r="K302" s="1134"/>
      <c r="L302" s="916"/>
    </row>
    <row r="303" spans="1:12" s="103" customFormat="1" ht="15.75" hidden="1" customHeight="1" outlineLevel="1">
      <c r="A303" s="916"/>
      <c r="B303" s="1124"/>
      <c r="C303" s="1128"/>
      <c r="D303" s="1126"/>
      <c r="E303" s="1126"/>
      <c r="F303" s="1132"/>
      <c r="G303" s="100"/>
      <c r="H303" s="824"/>
      <c r="I303" s="1126"/>
      <c r="J303" s="1135"/>
      <c r="K303" s="1135"/>
      <c r="L303" s="916"/>
    </row>
    <row r="304" spans="1:12" s="103" customFormat="1" ht="15.75" hidden="1" customHeight="1" outlineLevel="1">
      <c r="A304" s="916"/>
      <c r="B304" s="1123">
        <v>98</v>
      </c>
      <c r="C304" s="1127"/>
      <c r="D304" s="1125"/>
      <c r="E304" s="1125" t="s">
        <v>18</v>
      </c>
      <c r="F304" s="1130" t="str">
        <f>VLOOKUP(E304,$N$13:$O$17,2,0)</f>
        <v>-</v>
      </c>
      <c r="G304" s="92"/>
      <c r="H304" s="823"/>
      <c r="I304" s="1125"/>
      <c r="J304" s="1133"/>
      <c r="K304" s="1133"/>
      <c r="L304" s="916"/>
    </row>
    <row r="305" spans="1:12" s="103" customFormat="1" ht="15.75" hidden="1" customHeight="1" outlineLevel="1">
      <c r="A305" s="916"/>
      <c r="B305" s="1123"/>
      <c r="C305" s="1127"/>
      <c r="D305" s="1125"/>
      <c r="E305" s="1125"/>
      <c r="F305" s="1130"/>
      <c r="G305" s="95"/>
      <c r="H305" s="823"/>
      <c r="I305" s="1125"/>
      <c r="J305" s="1134"/>
      <c r="K305" s="1134"/>
      <c r="L305" s="916"/>
    </row>
    <row r="306" spans="1:12" s="103" customFormat="1" ht="15.75" hidden="1" customHeight="1" outlineLevel="1">
      <c r="A306" s="916"/>
      <c r="B306" s="1124"/>
      <c r="C306" s="1128"/>
      <c r="D306" s="1126"/>
      <c r="E306" s="1126"/>
      <c r="F306" s="1132"/>
      <c r="G306" s="100"/>
      <c r="H306" s="824"/>
      <c r="I306" s="1126"/>
      <c r="J306" s="1135"/>
      <c r="K306" s="1135"/>
      <c r="L306" s="916"/>
    </row>
    <row r="307" spans="1:12" s="103" customFormat="1" ht="15.75" hidden="1" customHeight="1" outlineLevel="1">
      <c r="A307" s="916"/>
      <c r="B307" s="1123">
        <v>99</v>
      </c>
      <c r="C307" s="1127"/>
      <c r="D307" s="1125"/>
      <c r="E307" s="1125" t="s">
        <v>18</v>
      </c>
      <c r="F307" s="1130" t="str">
        <f>VLOOKUP(E307,$N$13:$O$17,2,0)</f>
        <v>-</v>
      </c>
      <c r="G307" s="92"/>
      <c r="H307" s="823"/>
      <c r="I307" s="1125"/>
      <c r="J307" s="1133"/>
      <c r="K307" s="1133"/>
      <c r="L307" s="916"/>
    </row>
    <row r="308" spans="1:12" s="103" customFormat="1" ht="15.75" hidden="1" customHeight="1" outlineLevel="1">
      <c r="A308" s="916"/>
      <c r="B308" s="1123"/>
      <c r="C308" s="1127"/>
      <c r="D308" s="1125"/>
      <c r="E308" s="1125"/>
      <c r="F308" s="1130"/>
      <c r="G308" s="95"/>
      <c r="H308" s="823"/>
      <c r="I308" s="1125"/>
      <c r="J308" s="1134"/>
      <c r="K308" s="1134"/>
      <c r="L308" s="916"/>
    </row>
    <row r="309" spans="1:12" s="103" customFormat="1" ht="15.75" hidden="1" customHeight="1" outlineLevel="1">
      <c r="A309" s="916"/>
      <c r="B309" s="1124"/>
      <c r="C309" s="1128"/>
      <c r="D309" s="1126"/>
      <c r="E309" s="1126"/>
      <c r="F309" s="1132"/>
      <c r="G309" s="100"/>
      <c r="H309" s="824"/>
      <c r="I309" s="1126"/>
      <c r="J309" s="1135"/>
      <c r="K309" s="1135"/>
      <c r="L309" s="916"/>
    </row>
    <row r="310" spans="1:12" s="103" customFormat="1" ht="15.75" hidden="1" customHeight="1" outlineLevel="1">
      <c r="A310" s="916"/>
      <c r="B310" s="1123">
        <v>100</v>
      </c>
      <c r="C310" s="1127"/>
      <c r="D310" s="1125"/>
      <c r="E310" s="1125" t="s">
        <v>18</v>
      </c>
      <c r="F310" s="1130" t="str">
        <f>VLOOKUP(E310,$N$13:$O$17,2,0)</f>
        <v>-</v>
      </c>
      <c r="G310" s="92"/>
      <c r="H310" s="823"/>
      <c r="I310" s="1125"/>
      <c r="J310" s="1133"/>
      <c r="K310" s="1133"/>
      <c r="L310" s="916"/>
    </row>
    <row r="311" spans="1:12" s="103" customFormat="1" ht="15.75" hidden="1" customHeight="1" outlineLevel="1">
      <c r="A311" s="916"/>
      <c r="B311" s="1123"/>
      <c r="C311" s="1127"/>
      <c r="D311" s="1125"/>
      <c r="E311" s="1125"/>
      <c r="F311" s="1130"/>
      <c r="G311" s="95"/>
      <c r="H311" s="823"/>
      <c r="I311" s="1125"/>
      <c r="J311" s="1134"/>
      <c r="K311" s="1134"/>
      <c r="L311" s="916"/>
    </row>
    <row r="312" spans="1:12" s="103" customFormat="1" ht="15.75" hidden="1" customHeight="1" outlineLevel="1">
      <c r="A312" s="916"/>
      <c r="B312" s="1124"/>
      <c r="C312" s="1128"/>
      <c r="D312" s="1126"/>
      <c r="E312" s="1126"/>
      <c r="F312" s="1132"/>
      <c r="G312" s="100"/>
      <c r="H312" s="824"/>
      <c r="I312" s="1126"/>
      <c r="J312" s="1135"/>
      <c r="K312" s="1135"/>
      <c r="L312" s="916"/>
    </row>
    <row r="313" spans="1:12" s="103" customFormat="1" ht="15.75" hidden="1" customHeight="1" outlineLevel="1">
      <c r="A313" s="916"/>
      <c r="B313" s="1123">
        <v>101</v>
      </c>
      <c r="C313" s="1127"/>
      <c r="D313" s="1125"/>
      <c r="E313" s="1125" t="s">
        <v>18</v>
      </c>
      <c r="F313" s="1130" t="str">
        <f>VLOOKUP(E313,$N$13:$O$17,2,0)</f>
        <v>-</v>
      </c>
      <c r="G313" s="92"/>
      <c r="H313" s="823"/>
      <c r="I313" s="1125"/>
      <c r="J313" s="1133"/>
      <c r="K313" s="1133"/>
      <c r="L313" s="916"/>
    </row>
    <row r="314" spans="1:12" s="103" customFormat="1" ht="15.75" hidden="1" customHeight="1" outlineLevel="1">
      <c r="A314" s="916"/>
      <c r="B314" s="1123"/>
      <c r="C314" s="1127"/>
      <c r="D314" s="1125"/>
      <c r="E314" s="1125"/>
      <c r="F314" s="1130"/>
      <c r="G314" s="95"/>
      <c r="H314" s="823"/>
      <c r="I314" s="1125"/>
      <c r="J314" s="1134"/>
      <c r="K314" s="1134"/>
      <c r="L314" s="916"/>
    </row>
    <row r="315" spans="1:12" s="103" customFormat="1" ht="15.75" hidden="1" customHeight="1" outlineLevel="1">
      <c r="A315" s="916"/>
      <c r="B315" s="1124"/>
      <c r="C315" s="1128"/>
      <c r="D315" s="1126"/>
      <c r="E315" s="1126"/>
      <c r="F315" s="1132"/>
      <c r="G315" s="100"/>
      <c r="H315" s="824"/>
      <c r="I315" s="1126"/>
      <c r="J315" s="1135"/>
      <c r="K315" s="1135"/>
      <c r="L315" s="916"/>
    </row>
    <row r="316" spans="1:12" s="103" customFormat="1" ht="15.75" hidden="1" customHeight="1" outlineLevel="1">
      <c r="A316" s="916"/>
      <c r="B316" s="1123">
        <v>102</v>
      </c>
      <c r="C316" s="1127"/>
      <c r="D316" s="1125"/>
      <c r="E316" s="1125" t="s">
        <v>18</v>
      </c>
      <c r="F316" s="1130" t="str">
        <f>VLOOKUP(E316,$N$13:$O$17,2,0)</f>
        <v>-</v>
      </c>
      <c r="G316" s="92"/>
      <c r="H316" s="823"/>
      <c r="I316" s="1125"/>
      <c r="J316" s="1133"/>
      <c r="K316" s="1133"/>
      <c r="L316" s="916"/>
    </row>
    <row r="317" spans="1:12" s="103" customFormat="1" ht="15.75" hidden="1" customHeight="1" outlineLevel="1">
      <c r="A317" s="916"/>
      <c r="B317" s="1123"/>
      <c r="C317" s="1127"/>
      <c r="D317" s="1125"/>
      <c r="E317" s="1125"/>
      <c r="F317" s="1130"/>
      <c r="G317" s="95"/>
      <c r="H317" s="823"/>
      <c r="I317" s="1125"/>
      <c r="J317" s="1134"/>
      <c r="K317" s="1134"/>
      <c r="L317" s="916"/>
    </row>
    <row r="318" spans="1:12" s="103" customFormat="1" ht="15.75" hidden="1" customHeight="1" outlineLevel="1">
      <c r="A318" s="916"/>
      <c r="B318" s="1124"/>
      <c r="C318" s="1128"/>
      <c r="D318" s="1126"/>
      <c r="E318" s="1126"/>
      <c r="F318" s="1132"/>
      <c r="G318" s="100"/>
      <c r="H318" s="824"/>
      <c r="I318" s="1126"/>
      <c r="J318" s="1135"/>
      <c r="K318" s="1135"/>
      <c r="L318" s="916"/>
    </row>
    <row r="319" spans="1:12" s="103" customFormat="1" ht="15.75" hidden="1" customHeight="1" outlineLevel="1">
      <c r="A319" s="916"/>
      <c r="B319" s="1123">
        <v>103</v>
      </c>
      <c r="C319" s="1127"/>
      <c r="D319" s="1125"/>
      <c r="E319" s="1125" t="s">
        <v>18</v>
      </c>
      <c r="F319" s="1130" t="str">
        <f>VLOOKUP(E319,$N$13:$O$17,2,0)</f>
        <v>-</v>
      </c>
      <c r="G319" s="92"/>
      <c r="H319" s="823"/>
      <c r="I319" s="1125"/>
      <c r="J319" s="1133"/>
      <c r="K319" s="1133"/>
      <c r="L319" s="916"/>
    </row>
    <row r="320" spans="1:12" s="103" customFormat="1" ht="15.75" hidden="1" customHeight="1" outlineLevel="1">
      <c r="A320" s="916"/>
      <c r="B320" s="1123"/>
      <c r="C320" s="1127"/>
      <c r="D320" s="1125"/>
      <c r="E320" s="1125"/>
      <c r="F320" s="1130"/>
      <c r="G320" s="95"/>
      <c r="H320" s="823"/>
      <c r="I320" s="1125"/>
      <c r="J320" s="1134"/>
      <c r="K320" s="1134"/>
      <c r="L320" s="916"/>
    </row>
    <row r="321" spans="1:12" s="103" customFormat="1" ht="15.75" hidden="1" customHeight="1" outlineLevel="1">
      <c r="A321" s="916"/>
      <c r="B321" s="1124"/>
      <c r="C321" s="1128"/>
      <c r="D321" s="1126"/>
      <c r="E321" s="1126"/>
      <c r="F321" s="1132"/>
      <c r="G321" s="100"/>
      <c r="H321" s="824"/>
      <c r="I321" s="1126"/>
      <c r="J321" s="1135"/>
      <c r="K321" s="1135"/>
      <c r="L321" s="916"/>
    </row>
    <row r="322" spans="1:12" s="103" customFormat="1" ht="15.75" hidden="1" customHeight="1" outlineLevel="1">
      <c r="A322" s="916"/>
      <c r="B322" s="1123">
        <v>104</v>
      </c>
      <c r="C322" s="1127"/>
      <c r="D322" s="1125"/>
      <c r="E322" s="1125" t="s">
        <v>18</v>
      </c>
      <c r="F322" s="1130" t="str">
        <f>VLOOKUP(E322,$N$13:$O$17,2,0)</f>
        <v>-</v>
      </c>
      <c r="G322" s="92"/>
      <c r="H322" s="823"/>
      <c r="I322" s="1125"/>
      <c r="J322" s="1133"/>
      <c r="K322" s="1133"/>
      <c r="L322" s="916"/>
    </row>
    <row r="323" spans="1:12" s="103" customFormat="1" ht="15.75" hidden="1" customHeight="1" outlineLevel="1">
      <c r="A323" s="916"/>
      <c r="B323" s="1123"/>
      <c r="C323" s="1127"/>
      <c r="D323" s="1125"/>
      <c r="E323" s="1125"/>
      <c r="F323" s="1130"/>
      <c r="G323" s="95"/>
      <c r="H323" s="823"/>
      <c r="I323" s="1125"/>
      <c r="J323" s="1134"/>
      <c r="K323" s="1134"/>
      <c r="L323" s="916"/>
    </row>
    <row r="324" spans="1:12" s="103" customFormat="1" ht="15.75" hidden="1" customHeight="1" outlineLevel="1">
      <c r="A324" s="916"/>
      <c r="B324" s="1124"/>
      <c r="C324" s="1128"/>
      <c r="D324" s="1126"/>
      <c r="E324" s="1126"/>
      <c r="F324" s="1132"/>
      <c r="G324" s="100"/>
      <c r="H324" s="824"/>
      <c r="I324" s="1126"/>
      <c r="J324" s="1135"/>
      <c r="K324" s="1135"/>
      <c r="L324" s="916"/>
    </row>
    <row r="325" spans="1:12" s="103" customFormat="1" ht="15.75" hidden="1" customHeight="1" outlineLevel="1">
      <c r="A325" s="916"/>
      <c r="B325" s="1123">
        <v>105</v>
      </c>
      <c r="C325" s="1127"/>
      <c r="D325" s="1125"/>
      <c r="E325" s="1125" t="s">
        <v>18</v>
      </c>
      <c r="F325" s="1130" t="str">
        <f>VLOOKUP(E325,$N$13:$O$17,2,0)</f>
        <v>-</v>
      </c>
      <c r="G325" s="92"/>
      <c r="H325" s="823"/>
      <c r="I325" s="1125"/>
      <c r="J325" s="1133"/>
      <c r="K325" s="1133"/>
      <c r="L325" s="916"/>
    </row>
    <row r="326" spans="1:12" s="103" customFormat="1" ht="15.75" hidden="1" customHeight="1" outlineLevel="1">
      <c r="A326" s="916"/>
      <c r="B326" s="1123"/>
      <c r="C326" s="1127"/>
      <c r="D326" s="1125"/>
      <c r="E326" s="1125"/>
      <c r="F326" s="1130"/>
      <c r="G326" s="95"/>
      <c r="H326" s="823"/>
      <c r="I326" s="1125"/>
      <c r="J326" s="1134"/>
      <c r="K326" s="1134"/>
      <c r="L326" s="916"/>
    </row>
    <row r="327" spans="1:12" s="103" customFormat="1" ht="15.75" hidden="1" customHeight="1" outlineLevel="1">
      <c r="A327" s="916"/>
      <c r="B327" s="1124"/>
      <c r="C327" s="1128"/>
      <c r="D327" s="1126"/>
      <c r="E327" s="1126"/>
      <c r="F327" s="1132"/>
      <c r="G327" s="100"/>
      <c r="H327" s="824"/>
      <c r="I327" s="1126"/>
      <c r="J327" s="1135"/>
      <c r="K327" s="1135"/>
      <c r="L327" s="916"/>
    </row>
    <row r="328" spans="1:12" s="103" customFormat="1" ht="15.75" hidden="1" customHeight="1" outlineLevel="1">
      <c r="A328" s="916"/>
      <c r="B328" s="1123">
        <v>106</v>
      </c>
      <c r="C328" s="1127"/>
      <c r="D328" s="1125"/>
      <c r="E328" s="1125" t="s">
        <v>18</v>
      </c>
      <c r="F328" s="1130" t="str">
        <f>VLOOKUP(E328,$N$13:$O$17,2,0)</f>
        <v>-</v>
      </c>
      <c r="G328" s="92"/>
      <c r="H328" s="823"/>
      <c r="I328" s="1125"/>
      <c r="J328" s="1133"/>
      <c r="K328" s="1133"/>
      <c r="L328" s="916"/>
    </row>
    <row r="329" spans="1:12" s="103" customFormat="1" ht="15.75" hidden="1" customHeight="1" outlineLevel="1">
      <c r="A329" s="916"/>
      <c r="B329" s="1123"/>
      <c r="C329" s="1127"/>
      <c r="D329" s="1125"/>
      <c r="E329" s="1125"/>
      <c r="F329" s="1130"/>
      <c r="G329" s="95"/>
      <c r="H329" s="823"/>
      <c r="I329" s="1125"/>
      <c r="J329" s="1134"/>
      <c r="K329" s="1134"/>
      <c r="L329" s="916"/>
    </row>
    <row r="330" spans="1:12" s="103" customFormat="1" ht="15.75" hidden="1" customHeight="1" outlineLevel="1">
      <c r="A330" s="916"/>
      <c r="B330" s="1124"/>
      <c r="C330" s="1128"/>
      <c r="D330" s="1126"/>
      <c r="E330" s="1126"/>
      <c r="F330" s="1132"/>
      <c r="G330" s="100"/>
      <c r="H330" s="824"/>
      <c r="I330" s="1126"/>
      <c r="J330" s="1135"/>
      <c r="K330" s="1135"/>
      <c r="L330" s="916"/>
    </row>
    <row r="331" spans="1:12" s="103" customFormat="1" ht="15.75" hidden="1" customHeight="1" outlineLevel="1">
      <c r="A331" s="916"/>
      <c r="B331" s="1123">
        <v>107</v>
      </c>
      <c r="C331" s="1127"/>
      <c r="D331" s="1125"/>
      <c r="E331" s="1125" t="s">
        <v>18</v>
      </c>
      <c r="F331" s="1130" t="str">
        <f>VLOOKUP(E331,$N$13:$O$17,2,0)</f>
        <v>-</v>
      </c>
      <c r="G331" s="92"/>
      <c r="H331" s="823"/>
      <c r="I331" s="1125"/>
      <c r="J331" s="1133"/>
      <c r="K331" s="1133"/>
      <c r="L331" s="916"/>
    </row>
    <row r="332" spans="1:12" s="103" customFormat="1" ht="15.75" hidden="1" customHeight="1" outlineLevel="1">
      <c r="A332" s="916"/>
      <c r="B332" s="1123"/>
      <c r="C332" s="1127"/>
      <c r="D332" s="1125"/>
      <c r="E332" s="1125"/>
      <c r="F332" s="1130"/>
      <c r="G332" s="95"/>
      <c r="H332" s="823"/>
      <c r="I332" s="1125"/>
      <c r="J332" s="1134"/>
      <c r="K332" s="1134"/>
      <c r="L332" s="916"/>
    </row>
    <row r="333" spans="1:12" s="103" customFormat="1" ht="15.75" hidden="1" customHeight="1" outlineLevel="1">
      <c r="A333" s="916"/>
      <c r="B333" s="1124"/>
      <c r="C333" s="1128"/>
      <c r="D333" s="1126"/>
      <c r="E333" s="1126"/>
      <c r="F333" s="1132"/>
      <c r="G333" s="100"/>
      <c r="H333" s="824"/>
      <c r="I333" s="1126"/>
      <c r="J333" s="1135"/>
      <c r="K333" s="1135"/>
      <c r="L333" s="916"/>
    </row>
    <row r="334" spans="1:12" s="103" customFormat="1" ht="15.75" hidden="1" customHeight="1" outlineLevel="1">
      <c r="A334" s="916"/>
      <c r="B334" s="1123">
        <v>108</v>
      </c>
      <c r="C334" s="1127"/>
      <c r="D334" s="1125"/>
      <c r="E334" s="1125" t="s">
        <v>18</v>
      </c>
      <c r="F334" s="1130" t="str">
        <f>VLOOKUP(E334,$N$13:$O$17,2,0)</f>
        <v>-</v>
      </c>
      <c r="G334" s="92"/>
      <c r="H334" s="823"/>
      <c r="I334" s="1125"/>
      <c r="J334" s="1133"/>
      <c r="K334" s="1133"/>
      <c r="L334" s="916"/>
    </row>
    <row r="335" spans="1:12" s="103" customFormat="1" ht="15.75" hidden="1" customHeight="1" outlineLevel="1">
      <c r="A335" s="916"/>
      <c r="B335" s="1123"/>
      <c r="C335" s="1127"/>
      <c r="D335" s="1125"/>
      <c r="E335" s="1125"/>
      <c r="F335" s="1130"/>
      <c r="G335" s="95"/>
      <c r="H335" s="823"/>
      <c r="I335" s="1125"/>
      <c r="J335" s="1134"/>
      <c r="K335" s="1134"/>
      <c r="L335" s="916"/>
    </row>
    <row r="336" spans="1:12" s="103" customFormat="1" ht="15.75" hidden="1" customHeight="1" outlineLevel="1">
      <c r="A336" s="916"/>
      <c r="B336" s="1124"/>
      <c r="C336" s="1128"/>
      <c r="D336" s="1126"/>
      <c r="E336" s="1126"/>
      <c r="F336" s="1132"/>
      <c r="G336" s="100"/>
      <c r="H336" s="824"/>
      <c r="I336" s="1126"/>
      <c r="J336" s="1135"/>
      <c r="K336" s="1135"/>
      <c r="L336" s="916"/>
    </row>
    <row r="337" spans="1:12" s="103" customFormat="1" ht="15.75" hidden="1" customHeight="1" outlineLevel="1">
      <c r="A337" s="916"/>
      <c r="B337" s="1123">
        <v>109</v>
      </c>
      <c r="C337" s="1127"/>
      <c r="D337" s="1125"/>
      <c r="E337" s="1125" t="s">
        <v>18</v>
      </c>
      <c r="F337" s="1130" t="str">
        <f>VLOOKUP(E337,$N$13:$O$17,2,0)</f>
        <v>-</v>
      </c>
      <c r="G337" s="92"/>
      <c r="H337" s="823"/>
      <c r="I337" s="1125"/>
      <c r="J337" s="1133"/>
      <c r="K337" s="1133"/>
      <c r="L337" s="916"/>
    </row>
    <row r="338" spans="1:12" s="103" customFormat="1" ht="15.75" hidden="1" customHeight="1" outlineLevel="1">
      <c r="A338" s="916"/>
      <c r="B338" s="1123"/>
      <c r="C338" s="1127"/>
      <c r="D338" s="1125"/>
      <c r="E338" s="1125"/>
      <c r="F338" s="1130"/>
      <c r="G338" s="95"/>
      <c r="H338" s="823"/>
      <c r="I338" s="1125"/>
      <c r="J338" s="1134"/>
      <c r="K338" s="1134"/>
      <c r="L338" s="916"/>
    </row>
    <row r="339" spans="1:12" s="103" customFormat="1" ht="15.75" hidden="1" customHeight="1" outlineLevel="1">
      <c r="A339" s="916"/>
      <c r="B339" s="1124"/>
      <c r="C339" s="1128"/>
      <c r="D339" s="1126"/>
      <c r="E339" s="1126"/>
      <c r="F339" s="1132"/>
      <c r="G339" s="100"/>
      <c r="H339" s="824"/>
      <c r="I339" s="1126"/>
      <c r="J339" s="1135"/>
      <c r="K339" s="1135"/>
      <c r="L339" s="916"/>
    </row>
    <row r="340" spans="1:12" s="103" customFormat="1" ht="15.75" hidden="1" customHeight="1" outlineLevel="1">
      <c r="A340" s="916"/>
      <c r="B340" s="1123">
        <v>110</v>
      </c>
      <c r="C340" s="1127"/>
      <c r="D340" s="1125"/>
      <c r="E340" s="1125" t="s">
        <v>18</v>
      </c>
      <c r="F340" s="1130" t="str">
        <f>VLOOKUP(E340,$N$13:$O$17,2,0)</f>
        <v>-</v>
      </c>
      <c r="G340" s="92"/>
      <c r="H340" s="823"/>
      <c r="I340" s="1125"/>
      <c r="J340" s="1133"/>
      <c r="K340" s="1133"/>
      <c r="L340" s="916"/>
    </row>
    <row r="341" spans="1:12" s="103" customFormat="1" ht="15.75" hidden="1" customHeight="1" outlineLevel="1">
      <c r="A341" s="916"/>
      <c r="B341" s="1123"/>
      <c r="C341" s="1127"/>
      <c r="D341" s="1125"/>
      <c r="E341" s="1125"/>
      <c r="F341" s="1130"/>
      <c r="G341" s="95"/>
      <c r="H341" s="823"/>
      <c r="I341" s="1125"/>
      <c r="J341" s="1134"/>
      <c r="K341" s="1134"/>
      <c r="L341" s="916"/>
    </row>
    <row r="342" spans="1:12" s="103" customFormat="1" ht="15.75" hidden="1" customHeight="1" outlineLevel="1">
      <c r="A342" s="916"/>
      <c r="B342" s="1124"/>
      <c r="C342" s="1128"/>
      <c r="D342" s="1126"/>
      <c r="E342" s="1126"/>
      <c r="F342" s="1132"/>
      <c r="G342" s="100"/>
      <c r="H342" s="824"/>
      <c r="I342" s="1126"/>
      <c r="J342" s="1135"/>
      <c r="K342" s="1135"/>
      <c r="L342" s="916"/>
    </row>
    <row r="343" spans="1:12" s="103" customFormat="1" ht="15.75" hidden="1" customHeight="1" outlineLevel="1">
      <c r="A343" s="916"/>
      <c r="B343" s="1123">
        <v>111</v>
      </c>
      <c r="C343" s="1127"/>
      <c r="D343" s="1125"/>
      <c r="E343" s="1125" t="s">
        <v>18</v>
      </c>
      <c r="F343" s="1130" t="str">
        <f>VLOOKUP(E343,$N$13:$O$17,2,0)</f>
        <v>-</v>
      </c>
      <c r="G343" s="92"/>
      <c r="H343" s="823"/>
      <c r="I343" s="1125"/>
      <c r="J343" s="1133"/>
      <c r="K343" s="1133"/>
      <c r="L343" s="916"/>
    </row>
    <row r="344" spans="1:12" s="103" customFormat="1" ht="15.75" hidden="1" customHeight="1" outlineLevel="1">
      <c r="A344" s="916"/>
      <c r="B344" s="1123"/>
      <c r="C344" s="1127"/>
      <c r="D344" s="1125"/>
      <c r="E344" s="1125"/>
      <c r="F344" s="1130"/>
      <c r="G344" s="95"/>
      <c r="H344" s="823"/>
      <c r="I344" s="1125"/>
      <c r="J344" s="1134"/>
      <c r="K344" s="1134"/>
      <c r="L344" s="916"/>
    </row>
    <row r="345" spans="1:12" s="103" customFormat="1" ht="15.75" hidden="1" customHeight="1" outlineLevel="1">
      <c r="A345" s="916"/>
      <c r="B345" s="1124"/>
      <c r="C345" s="1128"/>
      <c r="D345" s="1126"/>
      <c r="E345" s="1126"/>
      <c r="F345" s="1132"/>
      <c r="G345" s="100"/>
      <c r="H345" s="824"/>
      <c r="I345" s="1126"/>
      <c r="J345" s="1135"/>
      <c r="K345" s="1135"/>
      <c r="L345" s="916"/>
    </row>
    <row r="346" spans="1:12" s="103" customFormat="1" ht="15.75" hidden="1" customHeight="1" outlineLevel="1">
      <c r="A346" s="916"/>
      <c r="B346" s="1123">
        <v>112</v>
      </c>
      <c r="C346" s="1127"/>
      <c r="D346" s="1125"/>
      <c r="E346" s="1125" t="s">
        <v>18</v>
      </c>
      <c r="F346" s="1130" t="str">
        <f>VLOOKUP(E346,$N$13:$O$17,2,0)</f>
        <v>-</v>
      </c>
      <c r="G346" s="92"/>
      <c r="H346" s="823"/>
      <c r="I346" s="1125"/>
      <c r="J346" s="1133"/>
      <c r="K346" s="1133"/>
      <c r="L346" s="916"/>
    </row>
    <row r="347" spans="1:12" s="103" customFormat="1" ht="15.75" hidden="1" customHeight="1" outlineLevel="1">
      <c r="A347" s="916"/>
      <c r="B347" s="1123"/>
      <c r="C347" s="1127"/>
      <c r="D347" s="1125"/>
      <c r="E347" s="1125"/>
      <c r="F347" s="1130"/>
      <c r="G347" s="95"/>
      <c r="H347" s="823"/>
      <c r="I347" s="1125"/>
      <c r="J347" s="1134"/>
      <c r="K347" s="1134"/>
      <c r="L347" s="916"/>
    </row>
    <row r="348" spans="1:12" s="103" customFormat="1" ht="15.75" hidden="1" customHeight="1" outlineLevel="1">
      <c r="A348" s="916"/>
      <c r="B348" s="1124"/>
      <c r="C348" s="1128"/>
      <c r="D348" s="1126"/>
      <c r="E348" s="1126"/>
      <c r="F348" s="1132"/>
      <c r="G348" s="100"/>
      <c r="H348" s="824"/>
      <c r="I348" s="1126"/>
      <c r="J348" s="1135"/>
      <c r="K348" s="1135"/>
      <c r="L348" s="916"/>
    </row>
    <row r="349" spans="1:12" s="103" customFormat="1" ht="15.75" hidden="1" customHeight="1" outlineLevel="1">
      <c r="A349" s="916"/>
      <c r="B349" s="1123">
        <v>113</v>
      </c>
      <c r="C349" s="1127"/>
      <c r="D349" s="1125"/>
      <c r="E349" s="1125" t="s">
        <v>18</v>
      </c>
      <c r="F349" s="1130" t="str">
        <f>VLOOKUP(E349,$N$13:$O$17,2,0)</f>
        <v>-</v>
      </c>
      <c r="G349" s="92"/>
      <c r="H349" s="823"/>
      <c r="I349" s="1125"/>
      <c r="J349" s="1133"/>
      <c r="K349" s="1133"/>
      <c r="L349" s="916"/>
    </row>
    <row r="350" spans="1:12" s="103" customFormat="1" ht="15.75" hidden="1" customHeight="1" outlineLevel="1">
      <c r="A350" s="916"/>
      <c r="B350" s="1123"/>
      <c r="C350" s="1127"/>
      <c r="D350" s="1125"/>
      <c r="E350" s="1125"/>
      <c r="F350" s="1130"/>
      <c r="G350" s="95"/>
      <c r="H350" s="823"/>
      <c r="I350" s="1125"/>
      <c r="J350" s="1134"/>
      <c r="K350" s="1134"/>
      <c r="L350" s="916"/>
    </row>
    <row r="351" spans="1:12" s="103" customFormat="1" ht="15.75" hidden="1" customHeight="1" outlineLevel="1">
      <c r="A351" s="916"/>
      <c r="B351" s="1124"/>
      <c r="C351" s="1128"/>
      <c r="D351" s="1126"/>
      <c r="E351" s="1126"/>
      <c r="F351" s="1132"/>
      <c r="G351" s="100"/>
      <c r="H351" s="824"/>
      <c r="I351" s="1126"/>
      <c r="J351" s="1135"/>
      <c r="K351" s="1135"/>
      <c r="L351" s="916"/>
    </row>
    <row r="352" spans="1:12" s="103" customFormat="1" ht="15.75" hidden="1" customHeight="1" outlineLevel="1">
      <c r="A352" s="916"/>
      <c r="B352" s="1123">
        <v>114</v>
      </c>
      <c r="C352" s="1127"/>
      <c r="D352" s="1125"/>
      <c r="E352" s="1125" t="s">
        <v>18</v>
      </c>
      <c r="F352" s="1130" t="str">
        <f>VLOOKUP(E352,$N$13:$O$17,2,0)</f>
        <v>-</v>
      </c>
      <c r="G352" s="92"/>
      <c r="H352" s="823"/>
      <c r="I352" s="1125"/>
      <c r="J352" s="1133"/>
      <c r="K352" s="1133"/>
      <c r="L352" s="916"/>
    </row>
    <row r="353" spans="1:12" s="103" customFormat="1" ht="15.75" hidden="1" customHeight="1" outlineLevel="1">
      <c r="A353" s="916"/>
      <c r="B353" s="1123"/>
      <c r="C353" s="1127"/>
      <c r="D353" s="1125"/>
      <c r="E353" s="1125"/>
      <c r="F353" s="1130"/>
      <c r="G353" s="95"/>
      <c r="H353" s="823"/>
      <c r="I353" s="1125"/>
      <c r="J353" s="1134"/>
      <c r="K353" s="1134"/>
      <c r="L353" s="916"/>
    </row>
    <row r="354" spans="1:12" s="103" customFormat="1" ht="15.75" hidden="1" customHeight="1" outlineLevel="1">
      <c r="A354" s="916"/>
      <c r="B354" s="1124"/>
      <c r="C354" s="1128"/>
      <c r="D354" s="1126"/>
      <c r="E354" s="1126"/>
      <c r="F354" s="1132"/>
      <c r="G354" s="100"/>
      <c r="H354" s="824"/>
      <c r="I354" s="1126"/>
      <c r="J354" s="1135"/>
      <c r="K354" s="1135"/>
      <c r="L354" s="916"/>
    </row>
    <row r="355" spans="1:12" s="103" customFormat="1" ht="15.75" hidden="1" customHeight="1" outlineLevel="1">
      <c r="A355" s="916"/>
      <c r="B355" s="1123">
        <v>115</v>
      </c>
      <c r="C355" s="1127"/>
      <c r="D355" s="1125"/>
      <c r="E355" s="1125" t="s">
        <v>18</v>
      </c>
      <c r="F355" s="1130" t="str">
        <f>VLOOKUP(E355,$N$13:$O$17,2,0)</f>
        <v>-</v>
      </c>
      <c r="G355" s="92"/>
      <c r="H355" s="823"/>
      <c r="I355" s="1125"/>
      <c r="J355" s="1133"/>
      <c r="K355" s="1133"/>
      <c r="L355" s="916"/>
    </row>
    <row r="356" spans="1:12" s="103" customFormat="1" ht="15.75" hidden="1" customHeight="1" outlineLevel="1">
      <c r="A356" s="916"/>
      <c r="B356" s="1123"/>
      <c r="C356" s="1127"/>
      <c r="D356" s="1125"/>
      <c r="E356" s="1125"/>
      <c r="F356" s="1130"/>
      <c r="G356" s="95"/>
      <c r="H356" s="823"/>
      <c r="I356" s="1125"/>
      <c r="J356" s="1134"/>
      <c r="K356" s="1134"/>
      <c r="L356" s="916"/>
    </row>
    <row r="357" spans="1:12" s="103" customFormat="1" ht="15.75" hidden="1" customHeight="1" outlineLevel="1">
      <c r="A357" s="916"/>
      <c r="B357" s="1124"/>
      <c r="C357" s="1128"/>
      <c r="D357" s="1126"/>
      <c r="E357" s="1126"/>
      <c r="F357" s="1132"/>
      <c r="G357" s="100"/>
      <c r="H357" s="824"/>
      <c r="I357" s="1126"/>
      <c r="J357" s="1135"/>
      <c r="K357" s="1135"/>
      <c r="L357" s="916"/>
    </row>
    <row r="358" spans="1:12" s="103" customFormat="1" ht="15.75" hidden="1" customHeight="1" outlineLevel="1">
      <c r="A358" s="916"/>
      <c r="B358" s="1123">
        <v>116</v>
      </c>
      <c r="C358" s="1127"/>
      <c r="D358" s="1125"/>
      <c r="E358" s="1125" t="s">
        <v>18</v>
      </c>
      <c r="F358" s="1130" t="str">
        <f>VLOOKUP(E358,$N$13:$O$17,2,0)</f>
        <v>-</v>
      </c>
      <c r="G358" s="92"/>
      <c r="H358" s="823"/>
      <c r="I358" s="1125"/>
      <c r="J358" s="1133"/>
      <c r="K358" s="1133"/>
      <c r="L358" s="916"/>
    </row>
    <row r="359" spans="1:12" s="103" customFormat="1" ht="15.75" hidden="1" customHeight="1" outlineLevel="1">
      <c r="A359" s="916"/>
      <c r="B359" s="1123"/>
      <c r="C359" s="1127"/>
      <c r="D359" s="1125"/>
      <c r="E359" s="1125"/>
      <c r="F359" s="1130"/>
      <c r="G359" s="95"/>
      <c r="H359" s="823"/>
      <c r="I359" s="1125"/>
      <c r="J359" s="1134"/>
      <c r="K359" s="1134"/>
      <c r="L359" s="916"/>
    </row>
    <row r="360" spans="1:12" s="103" customFormat="1" ht="15.75" hidden="1" customHeight="1" outlineLevel="1">
      <c r="A360" s="916"/>
      <c r="B360" s="1124"/>
      <c r="C360" s="1128"/>
      <c r="D360" s="1126"/>
      <c r="E360" s="1126"/>
      <c r="F360" s="1132"/>
      <c r="G360" s="100"/>
      <c r="H360" s="824"/>
      <c r="I360" s="1126"/>
      <c r="J360" s="1135"/>
      <c r="K360" s="1135"/>
      <c r="L360" s="916"/>
    </row>
    <row r="361" spans="1:12" s="103" customFormat="1" ht="15.75" hidden="1" customHeight="1" outlineLevel="1">
      <c r="A361" s="916"/>
      <c r="B361" s="1123">
        <v>117</v>
      </c>
      <c r="C361" s="1127"/>
      <c r="D361" s="1125"/>
      <c r="E361" s="1125" t="s">
        <v>18</v>
      </c>
      <c r="F361" s="1130" t="str">
        <f>VLOOKUP(E361,$N$13:$O$17,2,0)</f>
        <v>-</v>
      </c>
      <c r="G361" s="92"/>
      <c r="H361" s="823"/>
      <c r="I361" s="1125"/>
      <c r="J361" s="1133"/>
      <c r="K361" s="1133"/>
      <c r="L361" s="916"/>
    </row>
    <row r="362" spans="1:12" s="103" customFormat="1" ht="15.75" hidden="1" customHeight="1" outlineLevel="1">
      <c r="A362" s="916"/>
      <c r="B362" s="1123"/>
      <c r="C362" s="1127"/>
      <c r="D362" s="1125"/>
      <c r="E362" s="1125"/>
      <c r="F362" s="1130"/>
      <c r="G362" s="95"/>
      <c r="H362" s="823"/>
      <c r="I362" s="1125"/>
      <c r="J362" s="1134"/>
      <c r="K362" s="1134"/>
      <c r="L362" s="916"/>
    </row>
    <row r="363" spans="1:12" s="103" customFormat="1" ht="15.75" hidden="1" customHeight="1" outlineLevel="1">
      <c r="A363" s="916"/>
      <c r="B363" s="1124"/>
      <c r="C363" s="1128"/>
      <c r="D363" s="1126"/>
      <c r="E363" s="1126"/>
      <c r="F363" s="1132"/>
      <c r="G363" s="100"/>
      <c r="H363" s="824"/>
      <c r="I363" s="1126"/>
      <c r="J363" s="1135"/>
      <c r="K363" s="1135"/>
      <c r="L363" s="916"/>
    </row>
    <row r="364" spans="1:12" s="103" customFormat="1" ht="15.75" hidden="1" customHeight="1" outlineLevel="1">
      <c r="A364" s="916"/>
      <c r="B364" s="1123">
        <v>118</v>
      </c>
      <c r="C364" s="1127"/>
      <c r="D364" s="1125"/>
      <c r="E364" s="1125" t="s">
        <v>18</v>
      </c>
      <c r="F364" s="1130" t="str">
        <f>VLOOKUP(E364,$N$13:$O$17,2,0)</f>
        <v>-</v>
      </c>
      <c r="G364" s="92"/>
      <c r="H364" s="823"/>
      <c r="I364" s="1125"/>
      <c r="J364" s="1133"/>
      <c r="K364" s="1133"/>
      <c r="L364" s="916"/>
    </row>
    <row r="365" spans="1:12" s="103" customFormat="1" ht="15.75" hidden="1" customHeight="1" outlineLevel="1">
      <c r="A365" s="916"/>
      <c r="B365" s="1123"/>
      <c r="C365" s="1127"/>
      <c r="D365" s="1125"/>
      <c r="E365" s="1125"/>
      <c r="F365" s="1130"/>
      <c r="G365" s="95"/>
      <c r="H365" s="823"/>
      <c r="I365" s="1125"/>
      <c r="J365" s="1134"/>
      <c r="K365" s="1134"/>
      <c r="L365" s="916"/>
    </row>
    <row r="366" spans="1:12" s="103" customFormat="1" ht="15.75" hidden="1" customHeight="1" outlineLevel="1">
      <c r="A366" s="916"/>
      <c r="B366" s="1124"/>
      <c r="C366" s="1128"/>
      <c r="D366" s="1126"/>
      <c r="E366" s="1126"/>
      <c r="F366" s="1132"/>
      <c r="G366" s="100"/>
      <c r="H366" s="824"/>
      <c r="I366" s="1126"/>
      <c r="J366" s="1135"/>
      <c r="K366" s="1135"/>
      <c r="L366" s="916"/>
    </row>
    <row r="367" spans="1:12" s="103" customFormat="1" ht="15.75" hidden="1" customHeight="1" outlineLevel="1">
      <c r="A367" s="916"/>
      <c r="B367" s="1123">
        <v>119</v>
      </c>
      <c r="C367" s="1127"/>
      <c r="D367" s="1125"/>
      <c r="E367" s="1125" t="s">
        <v>18</v>
      </c>
      <c r="F367" s="1130" t="str">
        <f>VLOOKUP(E367,$N$13:$O$17,2,0)</f>
        <v>-</v>
      </c>
      <c r="G367" s="92"/>
      <c r="H367" s="823"/>
      <c r="I367" s="1125"/>
      <c r="J367" s="1133"/>
      <c r="K367" s="1133"/>
      <c r="L367" s="916"/>
    </row>
    <row r="368" spans="1:12" s="103" customFormat="1" ht="15.75" hidden="1" customHeight="1" outlineLevel="1">
      <c r="A368" s="916"/>
      <c r="B368" s="1123"/>
      <c r="C368" s="1127"/>
      <c r="D368" s="1125"/>
      <c r="E368" s="1125"/>
      <c r="F368" s="1130"/>
      <c r="G368" s="95"/>
      <c r="H368" s="823"/>
      <c r="I368" s="1125"/>
      <c r="J368" s="1134"/>
      <c r="K368" s="1134"/>
      <c r="L368" s="916"/>
    </row>
    <row r="369" spans="1:12" s="103" customFormat="1" ht="15.75" hidden="1" customHeight="1" outlineLevel="1">
      <c r="A369" s="916"/>
      <c r="B369" s="1124"/>
      <c r="C369" s="1128"/>
      <c r="D369" s="1126"/>
      <c r="E369" s="1126"/>
      <c r="F369" s="1132"/>
      <c r="G369" s="100"/>
      <c r="H369" s="824"/>
      <c r="I369" s="1126"/>
      <c r="J369" s="1135"/>
      <c r="K369" s="1135"/>
      <c r="L369" s="916"/>
    </row>
    <row r="370" spans="1:12" s="103" customFormat="1" ht="15.75" hidden="1" customHeight="1" outlineLevel="1">
      <c r="A370" s="916"/>
      <c r="B370" s="1123">
        <v>120</v>
      </c>
      <c r="C370" s="1127"/>
      <c r="D370" s="1125"/>
      <c r="E370" s="1125" t="s">
        <v>18</v>
      </c>
      <c r="F370" s="1130" t="str">
        <f>VLOOKUP(E370,$N$13:$O$17,2,0)</f>
        <v>-</v>
      </c>
      <c r="G370" s="92"/>
      <c r="H370" s="823"/>
      <c r="I370" s="1125"/>
      <c r="J370" s="1133"/>
      <c r="K370" s="1133"/>
      <c r="L370" s="916"/>
    </row>
    <row r="371" spans="1:12" s="103" customFormat="1" ht="15.75" hidden="1" customHeight="1" outlineLevel="1">
      <c r="A371" s="916"/>
      <c r="B371" s="1123"/>
      <c r="C371" s="1127"/>
      <c r="D371" s="1125"/>
      <c r="E371" s="1125"/>
      <c r="F371" s="1130"/>
      <c r="G371" s="95"/>
      <c r="H371" s="823"/>
      <c r="I371" s="1125"/>
      <c r="J371" s="1134"/>
      <c r="K371" s="1134"/>
      <c r="L371" s="916"/>
    </row>
    <row r="372" spans="1:12" s="103" customFormat="1" ht="15.75" hidden="1" customHeight="1" outlineLevel="1">
      <c r="A372" s="916"/>
      <c r="B372" s="1124"/>
      <c r="C372" s="1128"/>
      <c r="D372" s="1126"/>
      <c r="E372" s="1126"/>
      <c r="F372" s="1132"/>
      <c r="G372" s="100"/>
      <c r="H372" s="824"/>
      <c r="I372" s="1126"/>
      <c r="J372" s="1135"/>
      <c r="K372" s="1135"/>
      <c r="L372" s="916"/>
    </row>
    <row r="373" spans="1:12" s="103" customFormat="1" ht="15.75" hidden="1" customHeight="1" outlineLevel="1">
      <c r="A373" s="916"/>
      <c r="B373" s="1123">
        <v>121</v>
      </c>
      <c r="C373" s="1127"/>
      <c r="D373" s="1125"/>
      <c r="E373" s="1125" t="s">
        <v>18</v>
      </c>
      <c r="F373" s="1130" t="str">
        <f>VLOOKUP(E373,$N$13:$O$17,2,0)</f>
        <v>-</v>
      </c>
      <c r="G373" s="92"/>
      <c r="H373" s="823"/>
      <c r="I373" s="1125"/>
      <c r="J373" s="1133"/>
      <c r="K373" s="1133"/>
      <c r="L373" s="916"/>
    </row>
    <row r="374" spans="1:12" s="103" customFormat="1" ht="15.75" hidden="1" customHeight="1" outlineLevel="1">
      <c r="A374" s="916"/>
      <c r="B374" s="1123"/>
      <c r="C374" s="1127"/>
      <c r="D374" s="1125"/>
      <c r="E374" s="1125"/>
      <c r="F374" s="1130"/>
      <c r="G374" s="95"/>
      <c r="H374" s="823"/>
      <c r="I374" s="1125"/>
      <c r="J374" s="1134"/>
      <c r="K374" s="1134"/>
      <c r="L374" s="916"/>
    </row>
    <row r="375" spans="1:12" s="103" customFormat="1" ht="15.75" hidden="1" customHeight="1" outlineLevel="1">
      <c r="A375" s="916"/>
      <c r="B375" s="1124"/>
      <c r="C375" s="1128"/>
      <c r="D375" s="1126"/>
      <c r="E375" s="1126"/>
      <c r="F375" s="1132"/>
      <c r="G375" s="100"/>
      <c r="H375" s="824"/>
      <c r="I375" s="1126"/>
      <c r="J375" s="1135"/>
      <c r="K375" s="1135"/>
      <c r="L375" s="916"/>
    </row>
    <row r="376" spans="1:12" s="103" customFormat="1" ht="15.75" hidden="1" customHeight="1" outlineLevel="1">
      <c r="A376" s="916"/>
      <c r="B376" s="1123">
        <v>122</v>
      </c>
      <c r="C376" s="1127"/>
      <c r="D376" s="1125"/>
      <c r="E376" s="1125" t="s">
        <v>18</v>
      </c>
      <c r="F376" s="1130" t="str">
        <f>VLOOKUP(E376,$N$13:$O$17,2,0)</f>
        <v>-</v>
      </c>
      <c r="G376" s="92"/>
      <c r="H376" s="823"/>
      <c r="I376" s="1125"/>
      <c r="J376" s="1133"/>
      <c r="K376" s="1133"/>
      <c r="L376" s="916"/>
    </row>
    <row r="377" spans="1:12" s="103" customFormat="1" ht="15.75" hidden="1" customHeight="1" outlineLevel="1">
      <c r="A377" s="916"/>
      <c r="B377" s="1123"/>
      <c r="C377" s="1127"/>
      <c r="D377" s="1125"/>
      <c r="E377" s="1125"/>
      <c r="F377" s="1130"/>
      <c r="G377" s="95"/>
      <c r="H377" s="823"/>
      <c r="I377" s="1125"/>
      <c r="J377" s="1134"/>
      <c r="K377" s="1134"/>
      <c r="L377" s="916"/>
    </row>
    <row r="378" spans="1:12" s="103" customFormat="1" ht="15.75" hidden="1" customHeight="1" outlineLevel="1">
      <c r="A378" s="916"/>
      <c r="B378" s="1124"/>
      <c r="C378" s="1128"/>
      <c r="D378" s="1126"/>
      <c r="E378" s="1126"/>
      <c r="F378" s="1132"/>
      <c r="G378" s="100"/>
      <c r="H378" s="824"/>
      <c r="I378" s="1126"/>
      <c r="J378" s="1135"/>
      <c r="K378" s="1135"/>
      <c r="L378" s="916"/>
    </row>
    <row r="379" spans="1:12" s="103" customFormat="1" ht="15.75" hidden="1" customHeight="1" outlineLevel="1">
      <c r="A379" s="916"/>
      <c r="B379" s="1123">
        <v>123</v>
      </c>
      <c r="C379" s="1127"/>
      <c r="D379" s="1125"/>
      <c r="E379" s="1125" t="s">
        <v>18</v>
      </c>
      <c r="F379" s="1130" t="str">
        <f>VLOOKUP(E379,$N$13:$O$17,2,0)</f>
        <v>-</v>
      </c>
      <c r="G379" s="92"/>
      <c r="H379" s="823"/>
      <c r="I379" s="1125"/>
      <c r="J379" s="1133"/>
      <c r="K379" s="1133"/>
      <c r="L379" s="916"/>
    </row>
    <row r="380" spans="1:12" s="103" customFormat="1" ht="15.75" hidden="1" customHeight="1" outlineLevel="1">
      <c r="A380" s="916"/>
      <c r="B380" s="1123"/>
      <c r="C380" s="1127"/>
      <c r="D380" s="1125"/>
      <c r="E380" s="1125"/>
      <c r="F380" s="1130"/>
      <c r="G380" s="95"/>
      <c r="H380" s="823"/>
      <c r="I380" s="1125"/>
      <c r="J380" s="1134"/>
      <c r="K380" s="1134"/>
      <c r="L380" s="916"/>
    </row>
    <row r="381" spans="1:12" s="103" customFormat="1" ht="15.75" hidden="1" customHeight="1" outlineLevel="1">
      <c r="A381" s="916"/>
      <c r="B381" s="1124"/>
      <c r="C381" s="1128"/>
      <c r="D381" s="1126"/>
      <c r="E381" s="1126"/>
      <c r="F381" s="1132"/>
      <c r="G381" s="100"/>
      <c r="H381" s="824"/>
      <c r="I381" s="1126"/>
      <c r="J381" s="1135"/>
      <c r="K381" s="1135"/>
      <c r="L381" s="916"/>
    </row>
    <row r="382" spans="1:12" s="103" customFormat="1" ht="15.75" hidden="1" customHeight="1" outlineLevel="1">
      <c r="A382" s="916"/>
      <c r="B382" s="1123">
        <v>124</v>
      </c>
      <c r="C382" s="1127"/>
      <c r="D382" s="1125"/>
      <c r="E382" s="1125" t="s">
        <v>18</v>
      </c>
      <c r="F382" s="1130" t="str">
        <f>VLOOKUP(E382,$N$13:$O$17,2,0)</f>
        <v>-</v>
      </c>
      <c r="G382" s="92"/>
      <c r="H382" s="823"/>
      <c r="I382" s="1125"/>
      <c r="J382" s="1133"/>
      <c r="K382" s="1133"/>
      <c r="L382" s="916"/>
    </row>
    <row r="383" spans="1:12" s="103" customFormat="1" ht="15.75" hidden="1" customHeight="1" outlineLevel="1">
      <c r="A383" s="916"/>
      <c r="B383" s="1123"/>
      <c r="C383" s="1127"/>
      <c r="D383" s="1125"/>
      <c r="E383" s="1125"/>
      <c r="F383" s="1130"/>
      <c r="G383" s="95"/>
      <c r="H383" s="823"/>
      <c r="I383" s="1125"/>
      <c r="J383" s="1134"/>
      <c r="K383" s="1134"/>
      <c r="L383" s="916"/>
    </row>
    <row r="384" spans="1:12" s="103" customFormat="1" ht="15.75" hidden="1" customHeight="1" outlineLevel="1">
      <c r="A384" s="916"/>
      <c r="B384" s="1124"/>
      <c r="C384" s="1128"/>
      <c r="D384" s="1126"/>
      <c r="E384" s="1126"/>
      <c r="F384" s="1132"/>
      <c r="G384" s="100"/>
      <c r="H384" s="824"/>
      <c r="I384" s="1126"/>
      <c r="J384" s="1135"/>
      <c r="K384" s="1135"/>
      <c r="L384" s="916"/>
    </row>
    <row r="385" spans="1:12" s="103" customFormat="1" ht="15.75" hidden="1" customHeight="1" outlineLevel="1">
      <c r="A385" s="916"/>
      <c r="B385" s="1123">
        <v>125</v>
      </c>
      <c r="C385" s="1127"/>
      <c r="D385" s="1125"/>
      <c r="E385" s="1125" t="s">
        <v>18</v>
      </c>
      <c r="F385" s="1130" t="str">
        <f>VLOOKUP(E385,$N$13:$O$17,2,0)</f>
        <v>-</v>
      </c>
      <c r="G385" s="92"/>
      <c r="H385" s="823"/>
      <c r="I385" s="1125"/>
      <c r="J385" s="1133"/>
      <c r="K385" s="1133"/>
      <c r="L385" s="916"/>
    </row>
    <row r="386" spans="1:12" s="103" customFormat="1" ht="15.75" hidden="1" customHeight="1" outlineLevel="1">
      <c r="A386" s="916"/>
      <c r="B386" s="1123"/>
      <c r="C386" s="1127"/>
      <c r="D386" s="1125"/>
      <c r="E386" s="1125"/>
      <c r="F386" s="1130"/>
      <c r="G386" s="95"/>
      <c r="H386" s="823"/>
      <c r="I386" s="1125"/>
      <c r="J386" s="1134"/>
      <c r="K386" s="1134"/>
      <c r="L386" s="916"/>
    </row>
    <row r="387" spans="1:12" s="103" customFormat="1" ht="15.75" hidden="1" customHeight="1" outlineLevel="1">
      <c r="A387" s="916"/>
      <c r="B387" s="1124"/>
      <c r="C387" s="1128"/>
      <c r="D387" s="1126"/>
      <c r="E387" s="1126"/>
      <c r="F387" s="1132"/>
      <c r="G387" s="100"/>
      <c r="H387" s="824"/>
      <c r="I387" s="1126"/>
      <c r="J387" s="1135"/>
      <c r="K387" s="1135"/>
      <c r="L387" s="916"/>
    </row>
    <row r="388" spans="1:12" s="103" customFormat="1" ht="15.75" hidden="1" customHeight="1" outlineLevel="1">
      <c r="A388" s="916"/>
      <c r="B388" s="1123">
        <v>126</v>
      </c>
      <c r="C388" s="1127"/>
      <c r="D388" s="1125"/>
      <c r="E388" s="1125" t="s">
        <v>18</v>
      </c>
      <c r="F388" s="1130" t="str">
        <f>VLOOKUP(E388,$N$13:$O$17,2,0)</f>
        <v>-</v>
      </c>
      <c r="G388" s="92"/>
      <c r="H388" s="823"/>
      <c r="I388" s="1125"/>
      <c r="J388" s="1133"/>
      <c r="K388" s="1133"/>
      <c r="L388" s="916"/>
    </row>
    <row r="389" spans="1:12" s="103" customFormat="1" ht="15.75" hidden="1" customHeight="1" outlineLevel="1">
      <c r="A389" s="916"/>
      <c r="B389" s="1123"/>
      <c r="C389" s="1127"/>
      <c r="D389" s="1125"/>
      <c r="E389" s="1125"/>
      <c r="F389" s="1130"/>
      <c r="G389" s="95"/>
      <c r="H389" s="823"/>
      <c r="I389" s="1125"/>
      <c r="J389" s="1134"/>
      <c r="K389" s="1134"/>
      <c r="L389" s="916"/>
    </row>
    <row r="390" spans="1:12" s="103" customFormat="1" ht="15.75" hidden="1" customHeight="1" outlineLevel="1">
      <c r="A390" s="916"/>
      <c r="B390" s="1124"/>
      <c r="C390" s="1128"/>
      <c r="D390" s="1126"/>
      <c r="E390" s="1126"/>
      <c r="F390" s="1132"/>
      <c r="G390" s="100"/>
      <c r="H390" s="824"/>
      <c r="I390" s="1126"/>
      <c r="J390" s="1135"/>
      <c r="K390" s="1135"/>
      <c r="L390" s="916"/>
    </row>
    <row r="391" spans="1:12" s="103" customFormat="1" ht="15.75" hidden="1" customHeight="1" outlineLevel="1">
      <c r="A391" s="916"/>
      <c r="B391" s="1123">
        <v>127</v>
      </c>
      <c r="C391" s="1127"/>
      <c r="D391" s="1125"/>
      <c r="E391" s="1125" t="s">
        <v>18</v>
      </c>
      <c r="F391" s="1130" t="str">
        <f>VLOOKUP(E391,$N$13:$O$17,2,0)</f>
        <v>-</v>
      </c>
      <c r="G391" s="92"/>
      <c r="H391" s="823"/>
      <c r="I391" s="1125"/>
      <c r="J391" s="1133"/>
      <c r="K391" s="1133"/>
      <c r="L391" s="916"/>
    </row>
    <row r="392" spans="1:12" s="103" customFormat="1" ht="15.75" hidden="1" customHeight="1" outlineLevel="1">
      <c r="A392" s="916"/>
      <c r="B392" s="1123"/>
      <c r="C392" s="1127"/>
      <c r="D392" s="1125"/>
      <c r="E392" s="1125"/>
      <c r="F392" s="1130"/>
      <c r="G392" s="95"/>
      <c r="H392" s="823"/>
      <c r="I392" s="1125"/>
      <c r="J392" s="1134"/>
      <c r="K392" s="1134"/>
      <c r="L392" s="916"/>
    </row>
    <row r="393" spans="1:12" s="103" customFormat="1" ht="15.75" hidden="1" customHeight="1" outlineLevel="1">
      <c r="A393" s="916"/>
      <c r="B393" s="1124"/>
      <c r="C393" s="1128"/>
      <c r="D393" s="1126"/>
      <c r="E393" s="1126"/>
      <c r="F393" s="1132"/>
      <c r="G393" s="100"/>
      <c r="H393" s="824"/>
      <c r="I393" s="1126"/>
      <c r="J393" s="1135"/>
      <c r="K393" s="1135"/>
      <c r="L393" s="916"/>
    </row>
    <row r="394" spans="1:12" s="103" customFormat="1" ht="15.75" hidden="1" customHeight="1" outlineLevel="1">
      <c r="A394" s="916"/>
      <c r="B394" s="1123">
        <v>128</v>
      </c>
      <c r="C394" s="1127"/>
      <c r="D394" s="1125"/>
      <c r="E394" s="1125" t="s">
        <v>18</v>
      </c>
      <c r="F394" s="1130" t="str">
        <f>VLOOKUP(E394,$N$13:$O$17,2,0)</f>
        <v>-</v>
      </c>
      <c r="G394" s="92"/>
      <c r="H394" s="823"/>
      <c r="I394" s="1125"/>
      <c r="J394" s="1133"/>
      <c r="K394" s="1133"/>
      <c r="L394" s="916"/>
    </row>
    <row r="395" spans="1:12" s="103" customFormat="1" ht="15.75" hidden="1" customHeight="1" outlineLevel="1">
      <c r="A395" s="916"/>
      <c r="B395" s="1123"/>
      <c r="C395" s="1127"/>
      <c r="D395" s="1125"/>
      <c r="E395" s="1125"/>
      <c r="F395" s="1130"/>
      <c r="G395" s="95"/>
      <c r="H395" s="823"/>
      <c r="I395" s="1125"/>
      <c r="J395" s="1134"/>
      <c r="K395" s="1134"/>
      <c r="L395" s="916"/>
    </row>
    <row r="396" spans="1:12" s="103" customFormat="1" ht="15.75" hidden="1" customHeight="1" outlineLevel="1">
      <c r="A396" s="916"/>
      <c r="B396" s="1124"/>
      <c r="C396" s="1128"/>
      <c r="D396" s="1126"/>
      <c r="E396" s="1126"/>
      <c r="F396" s="1132"/>
      <c r="G396" s="100"/>
      <c r="H396" s="824"/>
      <c r="I396" s="1126"/>
      <c r="J396" s="1135"/>
      <c r="K396" s="1135"/>
      <c r="L396" s="916"/>
    </row>
    <row r="397" spans="1:12" s="103" customFormat="1" ht="15.75" hidden="1" customHeight="1" outlineLevel="1">
      <c r="A397" s="916"/>
      <c r="B397" s="1123">
        <v>129</v>
      </c>
      <c r="C397" s="1127"/>
      <c r="D397" s="1125"/>
      <c r="E397" s="1125" t="s">
        <v>18</v>
      </c>
      <c r="F397" s="1130" t="str">
        <f>VLOOKUP(E397,$N$13:$O$17,2,0)</f>
        <v>-</v>
      </c>
      <c r="G397" s="92"/>
      <c r="H397" s="823"/>
      <c r="I397" s="1125"/>
      <c r="J397" s="1133"/>
      <c r="K397" s="1133"/>
      <c r="L397" s="916"/>
    </row>
    <row r="398" spans="1:12" s="103" customFormat="1" ht="15.75" hidden="1" customHeight="1" outlineLevel="1">
      <c r="A398" s="916"/>
      <c r="B398" s="1123"/>
      <c r="C398" s="1127"/>
      <c r="D398" s="1125"/>
      <c r="E398" s="1125"/>
      <c r="F398" s="1130"/>
      <c r="G398" s="95"/>
      <c r="H398" s="823"/>
      <c r="I398" s="1125"/>
      <c r="J398" s="1134"/>
      <c r="K398" s="1134"/>
      <c r="L398" s="916"/>
    </row>
    <row r="399" spans="1:12" s="103" customFormat="1" ht="15.75" hidden="1" customHeight="1" outlineLevel="1">
      <c r="A399" s="916"/>
      <c r="B399" s="1124"/>
      <c r="C399" s="1128"/>
      <c r="D399" s="1126"/>
      <c r="E399" s="1126"/>
      <c r="F399" s="1132"/>
      <c r="G399" s="100"/>
      <c r="H399" s="824"/>
      <c r="I399" s="1126"/>
      <c r="J399" s="1135"/>
      <c r="K399" s="1135"/>
      <c r="L399" s="916"/>
    </row>
    <row r="400" spans="1:12" s="103" customFormat="1" ht="15.75" hidden="1" customHeight="1" outlineLevel="1">
      <c r="A400" s="916"/>
      <c r="B400" s="1123">
        <v>130</v>
      </c>
      <c r="C400" s="1127"/>
      <c r="D400" s="1125"/>
      <c r="E400" s="1125" t="s">
        <v>18</v>
      </c>
      <c r="F400" s="1130" t="str">
        <f>VLOOKUP(E400,$N$13:$O$17,2,0)</f>
        <v>-</v>
      </c>
      <c r="G400" s="92"/>
      <c r="H400" s="823"/>
      <c r="I400" s="1125"/>
      <c r="J400" s="1133"/>
      <c r="K400" s="1133"/>
      <c r="L400" s="916"/>
    </row>
    <row r="401" spans="1:12" s="103" customFormat="1" ht="15.75" hidden="1" customHeight="1" outlineLevel="1">
      <c r="A401" s="916"/>
      <c r="B401" s="1123"/>
      <c r="C401" s="1127"/>
      <c r="D401" s="1125"/>
      <c r="E401" s="1125"/>
      <c r="F401" s="1130"/>
      <c r="G401" s="95"/>
      <c r="H401" s="823"/>
      <c r="I401" s="1125"/>
      <c r="J401" s="1134"/>
      <c r="K401" s="1134"/>
      <c r="L401" s="916"/>
    </row>
    <row r="402" spans="1:12" s="103" customFormat="1" ht="15.75" hidden="1" customHeight="1" outlineLevel="1">
      <c r="A402" s="916"/>
      <c r="B402" s="1124"/>
      <c r="C402" s="1128"/>
      <c r="D402" s="1126"/>
      <c r="E402" s="1126"/>
      <c r="F402" s="1132"/>
      <c r="G402" s="100"/>
      <c r="H402" s="824"/>
      <c r="I402" s="1126"/>
      <c r="J402" s="1135"/>
      <c r="K402" s="1135"/>
      <c r="L402" s="916"/>
    </row>
    <row r="403" spans="1:12" s="103" customFormat="1" ht="15.75" hidden="1" customHeight="1" outlineLevel="1">
      <c r="A403" s="916"/>
      <c r="B403" s="1123">
        <v>131</v>
      </c>
      <c r="C403" s="1127"/>
      <c r="D403" s="1125"/>
      <c r="E403" s="1125" t="s">
        <v>18</v>
      </c>
      <c r="F403" s="1130" t="str">
        <f>VLOOKUP(E403,$N$13:$O$17,2,0)</f>
        <v>-</v>
      </c>
      <c r="G403" s="92"/>
      <c r="H403" s="823"/>
      <c r="I403" s="1125"/>
      <c r="J403" s="1133"/>
      <c r="K403" s="1133"/>
      <c r="L403" s="916"/>
    </row>
    <row r="404" spans="1:12" s="103" customFormat="1" ht="15.75" hidden="1" customHeight="1" outlineLevel="1">
      <c r="A404" s="916"/>
      <c r="B404" s="1123"/>
      <c r="C404" s="1127"/>
      <c r="D404" s="1125"/>
      <c r="E404" s="1125"/>
      <c r="F404" s="1130"/>
      <c r="G404" s="95"/>
      <c r="H404" s="823"/>
      <c r="I404" s="1125"/>
      <c r="J404" s="1134"/>
      <c r="K404" s="1134"/>
      <c r="L404" s="916"/>
    </row>
    <row r="405" spans="1:12" s="103" customFormat="1" ht="15.75" hidden="1" customHeight="1" outlineLevel="1">
      <c r="A405" s="916"/>
      <c r="B405" s="1124"/>
      <c r="C405" s="1128"/>
      <c r="D405" s="1126"/>
      <c r="E405" s="1126"/>
      <c r="F405" s="1132"/>
      <c r="G405" s="100"/>
      <c r="H405" s="824"/>
      <c r="I405" s="1126"/>
      <c r="J405" s="1135"/>
      <c r="K405" s="1135"/>
      <c r="L405" s="916"/>
    </row>
    <row r="406" spans="1:12" s="103" customFormat="1" ht="15.75" hidden="1" customHeight="1" outlineLevel="1">
      <c r="A406" s="916"/>
      <c r="B406" s="1123">
        <v>132</v>
      </c>
      <c r="C406" s="1127"/>
      <c r="D406" s="1125"/>
      <c r="E406" s="1125" t="s">
        <v>18</v>
      </c>
      <c r="F406" s="1130" t="str">
        <f>VLOOKUP(E406,$N$13:$O$17,2,0)</f>
        <v>-</v>
      </c>
      <c r="G406" s="92"/>
      <c r="H406" s="823"/>
      <c r="I406" s="1125"/>
      <c r="J406" s="1133"/>
      <c r="K406" s="1133"/>
      <c r="L406" s="916"/>
    </row>
    <row r="407" spans="1:12" s="103" customFormat="1" ht="15.75" hidden="1" customHeight="1" outlineLevel="1">
      <c r="A407" s="916"/>
      <c r="B407" s="1123"/>
      <c r="C407" s="1127"/>
      <c r="D407" s="1125"/>
      <c r="E407" s="1125"/>
      <c r="F407" s="1130"/>
      <c r="G407" s="95"/>
      <c r="H407" s="823"/>
      <c r="I407" s="1125"/>
      <c r="J407" s="1134"/>
      <c r="K407" s="1134"/>
      <c r="L407" s="916"/>
    </row>
    <row r="408" spans="1:12" s="103" customFormat="1" ht="15.75" hidden="1" customHeight="1" outlineLevel="1">
      <c r="A408" s="916"/>
      <c r="B408" s="1124"/>
      <c r="C408" s="1128"/>
      <c r="D408" s="1126"/>
      <c r="E408" s="1126"/>
      <c r="F408" s="1132"/>
      <c r="G408" s="100"/>
      <c r="H408" s="824"/>
      <c r="I408" s="1126"/>
      <c r="J408" s="1135"/>
      <c r="K408" s="1135"/>
      <c r="L408" s="916"/>
    </row>
    <row r="409" spans="1:12" s="103" customFormat="1" ht="15.75" hidden="1" customHeight="1" outlineLevel="1">
      <c r="A409" s="916"/>
      <c r="B409" s="1123">
        <v>133</v>
      </c>
      <c r="C409" s="1127"/>
      <c r="D409" s="1125"/>
      <c r="E409" s="1125" t="s">
        <v>18</v>
      </c>
      <c r="F409" s="1130" t="str">
        <f>VLOOKUP(E409,$N$13:$O$17,2,0)</f>
        <v>-</v>
      </c>
      <c r="G409" s="92"/>
      <c r="H409" s="823"/>
      <c r="I409" s="1125"/>
      <c r="J409" s="1133"/>
      <c r="K409" s="1133"/>
      <c r="L409" s="916"/>
    </row>
    <row r="410" spans="1:12" s="103" customFormat="1" ht="15.75" hidden="1" customHeight="1" outlineLevel="1">
      <c r="A410" s="916"/>
      <c r="B410" s="1123"/>
      <c r="C410" s="1127"/>
      <c r="D410" s="1125"/>
      <c r="E410" s="1125"/>
      <c r="F410" s="1130"/>
      <c r="G410" s="95"/>
      <c r="H410" s="823"/>
      <c r="I410" s="1125"/>
      <c r="J410" s="1134"/>
      <c r="K410" s="1134"/>
      <c r="L410" s="916"/>
    </row>
    <row r="411" spans="1:12" s="103" customFormat="1" ht="15.75" hidden="1" customHeight="1" outlineLevel="1">
      <c r="A411" s="916"/>
      <c r="B411" s="1124"/>
      <c r="C411" s="1128"/>
      <c r="D411" s="1126"/>
      <c r="E411" s="1126"/>
      <c r="F411" s="1132"/>
      <c r="G411" s="100"/>
      <c r="H411" s="824"/>
      <c r="I411" s="1126"/>
      <c r="J411" s="1135"/>
      <c r="K411" s="1135"/>
      <c r="L411" s="916"/>
    </row>
    <row r="412" spans="1:12" s="103" customFormat="1" ht="15.75" hidden="1" customHeight="1" outlineLevel="1">
      <c r="A412" s="916"/>
      <c r="B412" s="1123">
        <v>134</v>
      </c>
      <c r="C412" s="1127"/>
      <c r="D412" s="1125"/>
      <c r="E412" s="1125" t="s">
        <v>18</v>
      </c>
      <c r="F412" s="1130" t="str">
        <f>VLOOKUP(E412,$N$13:$O$17,2,0)</f>
        <v>-</v>
      </c>
      <c r="G412" s="92"/>
      <c r="H412" s="823"/>
      <c r="I412" s="1125"/>
      <c r="J412" s="1133"/>
      <c r="K412" s="1133"/>
      <c r="L412" s="916"/>
    </row>
    <row r="413" spans="1:12" s="103" customFormat="1" ht="15.75" hidden="1" customHeight="1" outlineLevel="1">
      <c r="A413" s="916"/>
      <c r="B413" s="1123"/>
      <c r="C413" s="1127"/>
      <c r="D413" s="1125"/>
      <c r="E413" s="1125"/>
      <c r="F413" s="1130"/>
      <c r="G413" s="95"/>
      <c r="H413" s="823"/>
      <c r="I413" s="1125"/>
      <c r="J413" s="1134"/>
      <c r="K413" s="1134"/>
      <c r="L413" s="916"/>
    </row>
    <row r="414" spans="1:12" s="103" customFormat="1" ht="15.75" hidden="1" customHeight="1" outlineLevel="1">
      <c r="A414" s="916"/>
      <c r="B414" s="1124"/>
      <c r="C414" s="1128"/>
      <c r="D414" s="1126"/>
      <c r="E414" s="1126"/>
      <c r="F414" s="1132"/>
      <c r="G414" s="100"/>
      <c r="H414" s="824"/>
      <c r="I414" s="1126"/>
      <c r="J414" s="1135"/>
      <c r="K414" s="1135"/>
      <c r="L414" s="916"/>
    </row>
    <row r="415" spans="1:12" s="103" customFormat="1" ht="15.75" hidden="1" customHeight="1" outlineLevel="1">
      <c r="A415" s="916"/>
      <c r="B415" s="1123">
        <v>135</v>
      </c>
      <c r="C415" s="1127"/>
      <c r="D415" s="1125"/>
      <c r="E415" s="1125" t="s">
        <v>18</v>
      </c>
      <c r="F415" s="1130" t="str">
        <f>VLOOKUP(E415,$N$13:$O$17,2,0)</f>
        <v>-</v>
      </c>
      <c r="G415" s="92"/>
      <c r="H415" s="823"/>
      <c r="I415" s="1125"/>
      <c r="J415" s="1133"/>
      <c r="K415" s="1133"/>
      <c r="L415" s="916"/>
    </row>
    <row r="416" spans="1:12" s="103" customFormat="1" ht="15.75" hidden="1" customHeight="1" outlineLevel="1">
      <c r="A416" s="916"/>
      <c r="B416" s="1123"/>
      <c r="C416" s="1127"/>
      <c r="D416" s="1125"/>
      <c r="E416" s="1125"/>
      <c r="F416" s="1130"/>
      <c r="G416" s="95"/>
      <c r="H416" s="823"/>
      <c r="I416" s="1125"/>
      <c r="J416" s="1134"/>
      <c r="K416" s="1134"/>
      <c r="L416" s="916"/>
    </row>
    <row r="417" spans="1:12" s="103" customFormat="1" ht="15.75" hidden="1" customHeight="1" outlineLevel="1">
      <c r="A417" s="916"/>
      <c r="B417" s="1124"/>
      <c r="C417" s="1128"/>
      <c r="D417" s="1126"/>
      <c r="E417" s="1126"/>
      <c r="F417" s="1132"/>
      <c r="G417" s="100"/>
      <c r="H417" s="824"/>
      <c r="I417" s="1126"/>
      <c r="J417" s="1135"/>
      <c r="K417" s="1135"/>
      <c r="L417" s="916"/>
    </row>
    <row r="418" spans="1:12" s="103" customFormat="1" ht="15.75" hidden="1" customHeight="1" outlineLevel="1">
      <c r="A418" s="916"/>
      <c r="B418" s="1123">
        <v>136</v>
      </c>
      <c r="C418" s="1127"/>
      <c r="D418" s="1125"/>
      <c r="E418" s="1125" t="s">
        <v>18</v>
      </c>
      <c r="F418" s="1130" t="str">
        <f>VLOOKUP(E418,$N$13:$O$17,2,0)</f>
        <v>-</v>
      </c>
      <c r="G418" s="92"/>
      <c r="H418" s="823"/>
      <c r="I418" s="1125"/>
      <c r="J418" s="1133"/>
      <c r="K418" s="1133"/>
      <c r="L418" s="916"/>
    </row>
    <row r="419" spans="1:12" s="103" customFormat="1" ht="15.75" hidden="1" customHeight="1" outlineLevel="1">
      <c r="A419" s="916"/>
      <c r="B419" s="1123"/>
      <c r="C419" s="1127"/>
      <c r="D419" s="1125"/>
      <c r="E419" s="1125"/>
      <c r="F419" s="1130"/>
      <c r="G419" s="95"/>
      <c r="H419" s="823"/>
      <c r="I419" s="1125"/>
      <c r="J419" s="1134"/>
      <c r="K419" s="1134"/>
      <c r="L419" s="916"/>
    </row>
    <row r="420" spans="1:12" s="103" customFormat="1" ht="15.75" hidden="1" customHeight="1" outlineLevel="1">
      <c r="A420" s="916"/>
      <c r="B420" s="1124"/>
      <c r="C420" s="1128"/>
      <c r="D420" s="1126"/>
      <c r="E420" s="1126"/>
      <c r="F420" s="1132"/>
      <c r="G420" s="100"/>
      <c r="H420" s="824"/>
      <c r="I420" s="1126"/>
      <c r="J420" s="1135"/>
      <c r="K420" s="1135"/>
      <c r="L420" s="916"/>
    </row>
    <row r="421" spans="1:12" s="103" customFormat="1" ht="15.75" hidden="1" customHeight="1" outlineLevel="1">
      <c r="A421" s="916"/>
      <c r="B421" s="1123">
        <v>137</v>
      </c>
      <c r="C421" s="1127"/>
      <c r="D421" s="1125"/>
      <c r="E421" s="1125" t="s">
        <v>18</v>
      </c>
      <c r="F421" s="1130" t="str">
        <f>VLOOKUP(E421,$N$13:$O$17,2,0)</f>
        <v>-</v>
      </c>
      <c r="G421" s="92"/>
      <c r="H421" s="823"/>
      <c r="I421" s="1125"/>
      <c r="J421" s="1133"/>
      <c r="K421" s="1133"/>
      <c r="L421" s="916"/>
    </row>
    <row r="422" spans="1:12" s="103" customFormat="1" ht="15.75" hidden="1" customHeight="1" outlineLevel="1">
      <c r="A422" s="916"/>
      <c r="B422" s="1123"/>
      <c r="C422" s="1127"/>
      <c r="D422" s="1125"/>
      <c r="E422" s="1125"/>
      <c r="F422" s="1130"/>
      <c r="G422" s="95"/>
      <c r="H422" s="823"/>
      <c r="I422" s="1125"/>
      <c r="J422" s="1134"/>
      <c r="K422" s="1134"/>
      <c r="L422" s="916"/>
    </row>
    <row r="423" spans="1:12" s="103" customFormat="1" ht="15.75" hidden="1" customHeight="1" outlineLevel="1">
      <c r="A423" s="916"/>
      <c r="B423" s="1124"/>
      <c r="C423" s="1128"/>
      <c r="D423" s="1126"/>
      <c r="E423" s="1126"/>
      <c r="F423" s="1132"/>
      <c r="G423" s="100"/>
      <c r="H423" s="824"/>
      <c r="I423" s="1126"/>
      <c r="J423" s="1135"/>
      <c r="K423" s="1135"/>
      <c r="L423" s="916"/>
    </row>
    <row r="424" spans="1:12" s="103" customFormat="1" ht="15.75" hidden="1" customHeight="1" outlineLevel="1">
      <c r="A424" s="916"/>
      <c r="B424" s="1123">
        <v>138</v>
      </c>
      <c r="C424" s="1127"/>
      <c r="D424" s="1125"/>
      <c r="E424" s="1125" t="s">
        <v>18</v>
      </c>
      <c r="F424" s="1130" t="str">
        <f>VLOOKUP(E424,$N$13:$O$17,2,0)</f>
        <v>-</v>
      </c>
      <c r="G424" s="92"/>
      <c r="H424" s="823"/>
      <c r="I424" s="1125"/>
      <c r="J424" s="1133"/>
      <c r="K424" s="1133"/>
      <c r="L424" s="916"/>
    </row>
    <row r="425" spans="1:12" s="103" customFormat="1" ht="15.75" hidden="1" customHeight="1" outlineLevel="1">
      <c r="A425" s="916"/>
      <c r="B425" s="1123"/>
      <c r="C425" s="1127"/>
      <c r="D425" s="1125"/>
      <c r="E425" s="1125"/>
      <c r="F425" s="1130"/>
      <c r="G425" s="95"/>
      <c r="H425" s="823"/>
      <c r="I425" s="1125"/>
      <c r="J425" s="1134"/>
      <c r="K425" s="1134"/>
      <c r="L425" s="916"/>
    </row>
    <row r="426" spans="1:12" s="103" customFormat="1" ht="15.75" hidden="1" customHeight="1" outlineLevel="1">
      <c r="A426" s="916"/>
      <c r="B426" s="1124"/>
      <c r="C426" s="1128"/>
      <c r="D426" s="1126"/>
      <c r="E426" s="1126"/>
      <c r="F426" s="1132"/>
      <c r="G426" s="100"/>
      <c r="H426" s="824"/>
      <c r="I426" s="1126"/>
      <c r="J426" s="1135"/>
      <c r="K426" s="1135"/>
      <c r="L426" s="916"/>
    </row>
    <row r="427" spans="1:12" s="103" customFormat="1" ht="15.75" hidden="1" customHeight="1" outlineLevel="1">
      <c r="A427" s="916"/>
      <c r="B427" s="1123">
        <v>139</v>
      </c>
      <c r="C427" s="1127"/>
      <c r="D427" s="1125"/>
      <c r="E427" s="1125" t="s">
        <v>18</v>
      </c>
      <c r="F427" s="1130" t="str">
        <f>VLOOKUP(E427,$N$13:$O$17,2,0)</f>
        <v>-</v>
      </c>
      <c r="G427" s="92"/>
      <c r="H427" s="823"/>
      <c r="I427" s="1125"/>
      <c r="J427" s="1133"/>
      <c r="K427" s="1133"/>
      <c r="L427" s="916"/>
    </row>
    <row r="428" spans="1:12" s="103" customFormat="1" ht="15.75" hidden="1" customHeight="1" outlineLevel="1">
      <c r="A428" s="916"/>
      <c r="B428" s="1123"/>
      <c r="C428" s="1127"/>
      <c r="D428" s="1125"/>
      <c r="E428" s="1125"/>
      <c r="F428" s="1130"/>
      <c r="G428" s="95"/>
      <c r="H428" s="823"/>
      <c r="I428" s="1125"/>
      <c r="J428" s="1134"/>
      <c r="K428" s="1134"/>
      <c r="L428" s="916"/>
    </row>
    <row r="429" spans="1:12" s="103" customFormat="1" ht="15.75" hidden="1" customHeight="1" outlineLevel="1">
      <c r="A429" s="916"/>
      <c r="B429" s="1124"/>
      <c r="C429" s="1128"/>
      <c r="D429" s="1126"/>
      <c r="E429" s="1126"/>
      <c r="F429" s="1132"/>
      <c r="G429" s="100"/>
      <c r="H429" s="824"/>
      <c r="I429" s="1126"/>
      <c r="J429" s="1135"/>
      <c r="K429" s="1135"/>
      <c r="L429" s="916"/>
    </row>
    <row r="430" spans="1:12" s="103" customFormat="1" ht="15.75" hidden="1" customHeight="1" outlineLevel="1">
      <c r="A430" s="916"/>
      <c r="B430" s="1123">
        <v>140</v>
      </c>
      <c r="C430" s="1127"/>
      <c r="D430" s="1125"/>
      <c r="E430" s="1125" t="s">
        <v>18</v>
      </c>
      <c r="F430" s="1130" t="str">
        <f>VLOOKUP(E430,$N$13:$O$17,2,0)</f>
        <v>-</v>
      </c>
      <c r="G430" s="92"/>
      <c r="H430" s="823"/>
      <c r="I430" s="1125"/>
      <c r="J430" s="1133"/>
      <c r="K430" s="1133"/>
      <c r="L430" s="916"/>
    </row>
    <row r="431" spans="1:12" s="103" customFormat="1" ht="15.75" hidden="1" customHeight="1" outlineLevel="1">
      <c r="A431" s="916"/>
      <c r="B431" s="1123"/>
      <c r="C431" s="1127"/>
      <c r="D431" s="1125"/>
      <c r="E431" s="1125"/>
      <c r="F431" s="1130"/>
      <c r="G431" s="95"/>
      <c r="H431" s="823"/>
      <c r="I431" s="1125"/>
      <c r="J431" s="1134"/>
      <c r="K431" s="1134"/>
      <c r="L431" s="916"/>
    </row>
    <row r="432" spans="1:12" s="103" customFormat="1" ht="15.75" hidden="1" customHeight="1" outlineLevel="1">
      <c r="A432" s="916"/>
      <c r="B432" s="1124"/>
      <c r="C432" s="1128"/>
      <c r="D432" s="1126"/>
      <c r="E432" s="1126"/>
      <c r="F432" s="1132"/>
      <c r="G432" s="100"/>
      <c r="H432" s="824"/>
      <c r="I432" s="1126"/>
      <c r="J432" s="1135"/>
      <c r="K432" s="1135"/>
      <c r="L432" s="916"/>
    </row>
    <row r="433" spans="1:12" s="103" customFormat="1" ht="15.75" hidden="1" customHeight="1" outlineLevel="1">
      <c r="A433" s="916"/>
      <c r="B433" s="1123">
        <v>141</v>
      </c>
      <c r="C433" s="1127"/>
      <c r="D433" s="1125"/>
      <c r="E433" s="1125" t="s">
        <v>18</v>
      </c>
      <c r="F433" s="1130" t="str">
        <f>VLOOKUP(E433,$N$13:$O$17,2,0)</f>
        <v>-</v>
      </c>
      <c r="G433" s="92"/>
      <c r="H433" s="823"/>
      <c r="I433" s="1125"/>
      <c r="J433" s="1133"/>
      <c r="K433" s="1133"/>
      <c r="L433" s="916"/>
    </row>
    <row r="434" spans="1:12" s="103" customFormat="1" ht="15.75" hidden="1" customHeight="1" outlineLevel="1">
      <c r="A434" s="916"/>
      <c r="B434" s="1123"/>
      <c r="C434" s="1127"/>
      <c r="D434" s="1125"/>
      <c r="E434" s="1125"/>
      <c r="F434" s="1130"/>
      <c r="G434" s="95"/>
      <c r="H434" s="823"/>
      <c r="I434" s="1125"/>
      <c r="J434" s="1134"/>
      <c r="K434" s="1134"/>
      <c r="L434" s="916"/>
    </row>
    <row r="435" spans="1:12" s="103" customFormat="1" ht="15.75" hidden="1" customHeight="1" outlineLevel="1">
      <c r="A435" s="916"/>
      <c r="B435" s="1124"/>
      <c r="C435" s="1128"/>
      <c r="D435" s="1126"/>
      <c r="E435" s="1126"/>
      <c r="F435" s="1132"/>
      <c r="G435" s="100"/>
      <c r="H435" s="824"/>
      <c r="I435" s="1126"/>
      <c r="J435" s="1135"/>
      <c r="K435" s="1135"/>
      <c r="L435" s="916"/>
    </row>
    <row r="436" spans="1:12" s="103" customFormat="1" ht="15.75" hidden="1" customHeight="1" outlineLevel="1">
      <c r="A436" s="916"/>
      <c r="B436" s="1123">
        <v>142</v>
      </c>
      <c r="C436" s="1127"/>
      <c r="D436" s="1125"/>
      <c r="E436" s="1125" t="s">
        <v>18</v>
      </c>
      <c r="F436" s="1130" t="str">
        <f>VLOOKUP(E436,$N$13:$O$17,2,0)</f>
        <v>-</v>
      </c>
      <c r="G436" s="92"/>
      <c r="H436" s="823"/>
      <c r="I436" s="1125"/>
      <c r="J436" s="1133"/>
      <c r="K436" s="1133"/>
      <c r="L436" s="916"/>
    </row>
    <row r="437" spans="1:12" s="103" customFormat="1" ht="15.75" hidden="1" customHeight="1" outlineLevel="1">
      <c r="A437" s="916"/>
      <c r="B437" s="1123"/>
      <c r="C437" s="1127"/>
      <c r="D437" s="1125"/>
      <c r="E437" s="1125"/>
      <c r="F437" s="1130"/>
      <c r="G437" s="95"/>
      <c r="H437" s="823"/>
      <c r="I437" s="1125"/>
      <c r="J437" s="1134"/>
      <c r="K437" s="1134"/>
      <c r="L437" s="916"/>
    </row>
    <row r="438" spans="1:12" s="103" customFormat="1" ht="15.75" hidden="1" customHeight="1" outlineLevel="1">
      <c r="A438" s="916"/>
      <c r="B438" s="1124"/>
      <c r="C438" s="1128"/>
      <c r="D438" s="1126"/>
      <c r="E438" s="1126"/>
      <c r="F438" s="1132"/>
      <c r="G438" s="100"/>
      <c r="H438" s="824"/>
      <c r="I438" s="1126"/>
      <c r="J438" s="1135"/>
      <c r="K438" s="1135"/>
      <c r="L438" s="916"/>
    </row>
    <row r="439" spans="1:12" s="103" customFormat="1" ht="15.75" hidden="1" customHeight="1" outlineLevel="1">
      <c r="A439" s="916"/>
      <c r="B439" s="1123">
        <v>143</v>
      </c>
      <c r="C439" s="1127"/>
      <c r="D439" s="1125"/>
      <c r="E439" s="1125" t="s">
        <v>18</v>
      </c>
      <c r="F439" s="1130" t="str">
        <f>VLOOKUP(E439,$N$13:$O$17,2,0)</f>
        <v>-</v>
      </c>
      <c r="G439" s="92"/>
      <c r="H439" s="823"/>
      <c r="I439" s="1125"/>
      <c r="J439" s="1133"/>
      <c r="K439" s="1133"/>
      <c r="L439" s="916"/>
    </row>
    <row r="440" spans="1:12" s="103" customFormat="1" ht="15.75" hidden="1" customHeight="1" outlineLevel="1">
      <c r="A440" s="916"/>
      <c r="B440" s="1123"/>
      <c r="C440" s="1127"/>
      <c r="D440" s="1125"/>
      <c r="E440" s="1125"/>
      <c r="F440" s="1130"/>
      <c r="G440" s="95"/>
      <c r="H440" s="823"/>
      <c r="I440" s="1125"/>
      <c r="J440" s="1134"/>
      <c r="K440" s="1134"/>
      <c r="L440" s="916"/>
    </row>
    <row r="441" spans="1:12" s="103" customFormat="1" ht="15.75" hidden="1" customHeight="1" outlineLevel="1">
      <c r="A441" s="916"/>
      <c r="B441" s="1124"/>
      <c r="C441" s="1128"/>
      <c r="D441" s="1126"/>
      <c r="E441" s="1126"/>
      <c r="F441" s="1132"/>
      <c r="G441" s="100"/>
      <c r="H441" s="824"/>
      <c r="I441" s="1126"/>
      <c r="J441" s="1135"/>
      <c r="K441" s="1135"/>
      <c r="L441" s="916"/>
    </row>
    <row r="442" spans="1:12" s="103" customFormat="1" ht="15.75" hidden="1" customHeight="1" outlineLevel="1">
      <c r="A442" s="916"/>
      <c r="B442" s="1123">
        <v>144</v>
      </c>
      <c r="C442" s="1127"/>
      <c r="D442" s="1125"/>
      <c r="E442" s="1125" t="s">
        <v>18</v>
      </c>
      <c r="F442" s="1130" t="str">
        <f>VLOOKUP(E442,$N$13:$O$17,2,0)</f>
        <v>-</v>
      </c>
      <c r="G442" s="92"/>
      <c r="H442" s="823"/>
      <c r="I442" s="1125"/>
      <c r="J442" s="1133"/>
      <c r="K442" s="1133"/>
      <c r="L442" s="916"/>
    </row>
    <row r="443" spans="1:12" s="103" customFormat="1" ht="15.75" hidden="1" customHeight="1" outlineLevel="1">
      <c r="A443" s="916"/>
      <c r="B443" s="1123"/>
      <c r="C443" s="1127"/>
      <c r="D443" s="1125"/>
      <c r="E443" s="1125"/>
      <c r="F443" s="1130"/>
      <c r="G443" s="95"/>
      <c r="H443" s="823"/>
      <c r="I443" s="1125"/>
      <c r="J443" s="1134"/>
      <c r="K443" s="1134"/>
      <c r="L443" s="916"/>
    </row>
    <row r="444" spans="1:12" s="103" customFormat="1" ht="15.75" hidden="1" customHeight="1" outlineLevel="1">
      <c r="A444" s="916"/>
      <c r="B444" s="1124"/>
      <c r="C444" s="1128"/>
      <c r="D444" s="1126"/>
      <c r="E444" s="1126"/>
      <c r="F444" s="1132"/>
      <c r="G444" s="100"/>
      <c r="H444" s="824"/>
      <c r="I444" s="1126"/>
      <c r="J444" s="1135"/>
      <c r="K444" s="1135"/>
      <c r="L444" s="916"/>
    </row>
    <row r="445" spans="1:12" s="103" customFormat="1" ht="15.75" hidden="1" customHeight="1" outlineLevel="1">
      <c r="A445" s="916"/>
      <c r="B445" s="1123">
        <v>145</v>
      </c>
      <c r="C445" s="1127"/>
      <c r="D445" s="1125"/>
      <c r="E445" s="1125" t="s">
        <v>18</v>
      </c>
      <c r="F445" s="1130" t="str">
        <f>VLOOKUP(E445,$N$13:$O$17,2,0)</f>
        <v>-</v>
      </c>
      <c r="G445" s="92"/>
      <c r="H445" s="823"/>
      <c r="I445" s="1125"/>
      <c r="J445" s="1133"/>
      <c r="K445" s="1133"/>
      <c r="L445" s="916"/>
    </row>
    <row r="446" spans="1:12" s="103" customFormat="1" ht="15.75" hidden="1" customHeight="1" outlineLevel="1">
      <c r="A446" s="916"/>
      <c r="B446" s="1123"/>
      <c r="C446" s="1127"/>
      <c r="D446" s="1125"/>
      <c r="E446" s="1125"/>
      <c r="F446" s="1130"/>
      <c r="G446" s="95"/>
      <c r="H446" s="823"/>
      <c r="I446" s="1125"/>
      <c r="J446" s="1134"/>
      <c r="K446" s="1134"/>
      <c r="L446" s="916"/>
    </row>
    <row r="447" spans="1:12" s="103" customFormat="1" ht="15.75" hidden="1" customHeight="1" outlineLevel="1">
      <c r="A447" s="916"/>
      <c r="B447" s="1124"/>
      <c r="C447" s="1128"/>
      <c r="D447" s="1126"/>
      <c r="E447" s="1126"/>
      <c r="F447" s="1132"/>
      <c r="G447" s="100"/>
      <c r="H447" s="824"/>
      <c r="I447" s="1126"/>
      <c r="J447" s="1135"/>
      <c r="K447" s="1135"/>
      <c r="L447" s="916"/>
    </row>
    <row r="448" spans="1:12" s="103" customFormat="1" ht="15.75" hidden="1" customHeight="1" outlineLevel="1">
      <c r="A448" s="916"/>
      <c r="B448" s="1123">
        <v>146</v>
      </c>
      <c r="C448" s="1127"/>
      <c r="D448" s="1125"/>
      <c r="E448" s="1125" t="s">
        <v>18</v>
      </c>
      <c r="F448" s="1130" t="str">
        <f>VLOOKUP(E448,$N$13:$O$17,2,0)</f>
        <v>-</v>
      </c>
      <c r="G448" s="92"/>
      <c r="H448" s="823"/>
      <c r="I448" s="1125"/>
      <c r="J448" s="1133"/>
      <c r="K448" s="1133"/>
      <c r="L448" s="916"/>
    </row>
    <row r="449" spans="1:12" s="103" customFormat="1" ht="15.75" hidden="1" customHeight="1" outlineLevel="1">
      <c r="A449" s="916"/>
      <c r="B449" s="1123"/>
      <c r="C449" s="1127"/>
      <c r="D449" s="1125"/>
      <c r="E449" s="1125"/>
      <c r="F449" s="1130"/>
      <c r="G449" s="95"/>
      <c r="H449" s="823"/>
      <c r="I449" s="1125"/>
      <c r="J449" s="1134"/>
      <c r="K449" s="1134"/>
      <c r="L449" s="916"/>
    </row>
    <row r="450" spans="1:12" s="103" customFormat="1" ht="15.75" hidden="1" customHeight="1" outlineLevel="1">
      <c r="A450" s="916"/>
      <c r="B450" s="1124"/>
      <c r="C450" s="1128"/>
      <c r="D450" s="1126"/>
      <c r="E450" s="1126"/>
      <c r="F450" s="1132"/>
      <c r="G450" s="100"/>
      <c r="H450" s="824"/>
      <c r="I450" s="1126"/>
      <c r="J450" s="1135"/>
      <c r="K450" s="1135"/>
      <c r="L450" s="916"/>
    </row>
    <row r="451" spans="1:12" s="103" customFormat="1" ht="15.75" hidden="1" customHeight="1" outlineLevel="1">
      <c r="A451" s="916"/>
      <c r="B451" s="1123">
        <v>147</v>
      </c>
      <c r="C451" s="1127"/>
      <c r="D451" s="1125"/>
      <c r="E451" s="1125" t="s">
        <v>18</v>
      </c>
      <c r="F451" s="1130" t="str">
        <f>VLOOKUP(E451,$N$13:$O$17,2,0)</f>
        <v>-</v>
      </c>
      <c r="G451" s="92"/>
      <c r="H451" s="823"/>
      <c r="I451" s="1125"/>
      <c r="J451" s="1133"/>
      <c r="K451" s="1133"/>
      <c r="L451" s="916"/>
    </row>
    <row r="452" spans="1:12" s="103" customFormat="1" ht="15.75" hidden="1" customHeight="1" outlineLevel="1">
      <c r="A452" s="916"/>
      <c r="B452" s="1123"/>
      <c r="C452" s="1127"/>
      <c r="D452" s="1125"/>
      <c r="E452" s="1125"/>
      <c r="F452" s="1130"/>
      <c r="G452" s="95"/>
      <c r="H452" s="823"/>
      <c r="I452" s="1125"/>
      <c r="J452" s="1134"/>
      <c r="K452" s="1134"/>
      <c r="L452" s="916"/>
    </row>
    <row r="453" spans="1:12" s="103" customFormat="1" ht="15.75" hidden="1" customHeight="1" outlineLevel="1">
      <c r="A453" s="916"/>
      <c r="B453" s="1124"/>
      <c r="C453" s="1128"/>
      <c r="D453" s="1126"/>
      <c r="E453" s="1126"/>
      <c r="F453" s="1132"/>
      <c r="G453" s="100"/>
      <c r="H453" s="824"/>
      <c r="I453" s="1126"/>
      <c r="J453" s="1135"/>
      <c r="K453" s="1135"/>
      <c r="L453" s="916"/>
    </row>
    <row r="454" spans="1:12" s="103" customFormat="1" ht="15.75" hidden="1" customHeight="1" outlineLevel="1">
      <c r="A454" s="916"/>
      <c r="B454" s="1123">
        <v>148</v>
      </c>
      <c r="C454" s="1127"/>
      <c r="D454" s="1125"/>
      <c r="E454" s="1125" t="s">
        <v>18</v>
      </c>
      <c r="F454" s="1130" t="str">
        <f>VLOOKUP(E454,$N$13:$O$17,2,0)</f>
        <v>-</v>
      </c>
      <c r="G454" s="92"/>
      <c r="H454" s="823"/>
      <c r="I454" s="1125"/>
      <c r="J454" s="1133"/>
      <c r="K454" s="1133"/>
      <c r="L454" s="916"/>
    </row>
    <row r="455" spans="1:12" s="103" customFormat="1" ht="15.75" hidden="1" customHeight="1" outlineLevel="1">
      <c r="A455" s="916"/>
      <c r="B455" s="1123"/>
      <c r="C455" s="1127"/>
      <c r="D455" s="1125"/>
      <c r="E455" s="1125"/>
      <c r="F455" s="1130"/>
      <c r="G455" s="95"/>
      <c r="H455" s="823"/>
      <c r="I455" s="1125"/>
      <c r="J455" s="1134"/>
      <c r="K455" s="1134"/>
      <c r="L455" s="916"/>
    </row>
    <row r="456" spans="1:12" s="103" customFormat="1" ht="15.75" hidden="1" customHeight="1" outlineLevel="1">
      <c r="A456" s="916"/>
      <c r="B456" s="1124"/>
      <c r="C456" s="1128"/>
      <c r="D456" s="1126"/>
      <c r="E456" s="1126"/>
      <c r="F456" s="1132"/>
      <c r="G456" s="100"/>
      <c r="H456" s="824"/>
      <c r="I456" s="1126"/>
      <c r="J456" s="1135"/>
      <c r="K456" s="1135"/>
      <c r="L456" s="916"/>
    </row>
    <row r="457" spans="1:12" s="103" customFormat="1" ht="15.75" hidden="1" customHeight="1" outlineLevel="1">
      <c r="A457" s="916"/>
      <c r="B457" s="1123">
        <v>149</v>
      </c>
      <c r="C457" s="1127"/>
      <c r="D457" s="1125"/>
      <c r="E457" s="1125" t="s">
        <v>18</v>
      </c>
      <c r="F457" s="1130" t="str">
        <f>VLOOKUP(E457,$N$13:$O$17,2,0)</f>
        <v>-</v>
      </c>
      <c r="G457" s="92"/>
      <c r="H457" s="823"/>
      <c r="I457" s="1125"/>
      <c r="J457" s="1133"/>
      <c r="K457" s="1133"/>
      <c r="L457" s="916"/>
    </row>
    <row r="458" spans="1:12" s="103" customFormat="1" ht="15.75" hidden="1" customHeight="1" outlineLevel="1">
      <c r="A458" s="916"/>
      <c r="B458" s="1123"/>
      <c r="C458" s="1127"/>
      <c r="D458" s="1125"/>
      <c r="E458" s="1125"/>
      <c r="F458" s="1130"/>
      <c r="G458" s="95"/>
      <c r="H458" s="823"/>
      <c r="I458" s="1125"/>
      <c r="J458" s="1134"/>
      <c r="K458" s="1134"/>
      <c r="L458" s="916"/>
    </row>
    <row r="459" spans="1:12" s="103" customFormat="1" ht="15.75" hidden="1" customHeight="1" outlineLevel="1">
      <c r="A459" s="916"/>
      <c r="B459" s="1124"/>
      <c r="C459" s="1128"/>
      <c r="D459" s="1126"/>
      <c r="E459" s="1126"/>
      <c r="F459" s="1132"/>
      <c r="G459" s="100"/>
      <c r="H459" s="824"/>
      <c r="I459" s="1126"/>
      <c r="J459" s="1135"/>
      <c r="K459" s="1135"/>
      <c r="L459" s="916"/>
    </row>
    <row r="460" spans="1:12" s="103" customFormat="1" ht="15.75" hidden="1" customHeight="1" outlineLevel="1">
      <c r="A460" s="916"/>
      <c r="B460" s="1123">
        <v>150</v>
      </c>
      <c r="C460" s="1127"/>
      <c r="D460" s="1125"/>
      <c r="E460" s="1125" t="s">
        <v>18</v>
      </c>
      <c r="F460" s="1130" t="str">
        <f>VLOOKUP(E460,$N$13:$O$17,2,0)</f>
        <v>-</v>
      </c>
      <c r="G460" s="92"/>
      <c r="H460" s="823"/>
      <c r="I460" s="1125"/>
      <c r="J460" s="1133"/>
      <c r="K460" s="1133"/>
      <c r="L460" s="916"/>
    </row>
    <row r="461" spans="1:12" s="103" customFormat="1" ht="15.75" hidden="1" customHeight="1" outlineLevel="1">
      <c r="A461" s="916"/>
      <c r="B461" s="1123"/>
      <c r="C461" s="1127"/>
      <c r="D461" s="1125"/>
      <c r="E461" s="1125"/>
      <c r="F461" s="1130"/>
      <c r="G461" s="95"/>
      <c r="H461" s="823"/>
      <c r="I461" s="1125"/>
      <c r="J461" s="1134"/>
      <c r="K461" s="1134"/>
      <c r="L461" s="916"/>
    </row>
    <row r="462" spans="1:12" s="103" customFormat="1" ht="15.75" hidden="1" customHeight="1" outlineLevel="1">
      <c r="A462" s="916"/>
      <c r="B462" s="1124"/>
      <c r="C462" s="1128"/>
      <c r="D462" s="1126"/>
      <c r="E462" s="1126"/>
      <c r="F462" s="1132"/>
      <c r="G462" s="100"/>
      <c r="H462" s="824"/>
      <c r="I462" s="1126"/>
      <c r="J462" s="1135"/>
      <c r="K462" s="1135"/>
      <c r="L462" s="916"/>
    </row>
    <row r="463" spans="1:12" s="103" customFormat="1" ht="15.75" hidden="1" customHeight="1" outlineLevel="1">
      <c r="A463" s="916"/>
      <c r="B463" s="1123">
        <v>151</v>
      </c>
      <c r="C463" s="1127"/>
      <c r="D463" s="1125"/>
      <c r="E463" s="1125" t="s">
        <v>18</v>
      </c>
      <c r="F463" s="1130" t="str">
        <f>VLOOKUP(E463,$N$13:$O$17,2,0)</f>
        <v>-</v>
      </c>
      <c r="G463" s="92"/>
      <c r="H463" s="823"/>
      <c r="I463" s="1125"/>
      <c r="J463" s="1133"/>
      <c r="K463" s="1133"/>
      <c r="L463" s="916"/>
    </row>
    <row r="464" spans="1:12" s="103" customFormat="1" ht="15.75" hidden="1" customHeight="1" outlineLevel="1">
      <c r="A464" s="916"/>
      <c r="B464" s="1123"/>
      <c r="C464" s="1127"/>
      <c r="D464" s="1125"/>
      <c r="E464" s="1125"/>
      <c r="F464" s="1130"/>
      <c r="G464" s="95"/>
      <c r="H464" s="823"/>
      <c r="I464" s="1125"/>
      <c r="J464" s="1134"/>
      <c r="K464" s="1134"/>
      <c r="L464" s="916"/>
    </row>
    <row r="465" spans="1:12" s="103" customFormat="1" ht="15.75" hidden="1" customHeight="1" outlineLevel="1">
      <c r="A465" s="916"/>
      <c r="B465" s="1124"/>
      <c r="C465" s="1128"/>
      <c r="D465" s="1126"/>
      <c r="E465" s="1126"/>
      <c r="F465" s="1132"/>
      <c r="G465" s="100"/>
      <c r="H465" s="824"/>
      <c r="I465" s="1126"/>
      <c r="J465" s="1135"/>
      <c r="K465" s="1135"/>
      <c r="L465" s="916"/>
    </row>
    <row r="466" spans="1:12" s="103" customFormat="1" ht="15.75" hidden="1" customHeight="1" outlineLevel="1">
      <c r="A466" s="916"/>
      <c r="B466" s="1123">
        <v>152</v>
      </c>
      <c r="C466" s="1127"/>
      <c r="D466" s="1125"/>
      <c r="E466" s="1125" t="s">
        <v>18</v>
      </c>
      <c r="F466" s="1130" t="str">
        <f>VLOOKUP(E466,$N$13:$O$17,2,0)</f>
        <v>-</v>
      </c>
      <c r="G466" s="92"/>
      <c r="H466" s="823"/>
      <c r="I466" s="1125"/>
      <c r="J466" s="1133"/>
      <c r="K466" s="1133"/>
      <c r="L466" s="916"/>
    </row>
    <row r="467" spans="1:12" s="103" customFormat="1" ht="15.75" hidden="1" customHeight="1" outlineLevel="1">
      <c r="A467" s="916"/>
      <c r="B467" s="1123"/>
      <c r="C467" s="1127"/>
      <c r="D467" s="1125"/>
      <c r="E467" s="1125"/>
      <c r="F467" s="1130"/>
      <c r="G467" s="95"/>
      <c r="H467" s="823"/>
      <c r="I467" s="1125"/>
      <c r="J467" s="1134"/>
      <c r="K467" s="1134"/>
      <c r="L467" s="916"/>
    </row>
    <row r="468" spans="1:12" s="103" customFormat="1" ht="15.75" hidden="1" customHeight="1" outlineLevel="1">
      <c r="A468" s="916"/>
      <c r="B468" s="1124"/>
      <c r="C468" s="1128"/>
      <c r="D468" s="1126"/>
      <c r="E468" s="1126"/>
      <c r="F468" s="1132"/>
      <c r="G468" s="100"/>
      <c r="H468" s="824"/>
      <c r="I468" s="1126"/>
      <c r="J468" s="1135"/>
      <c r="K468" s="1135"/>
      <c r="L468" s="916"/>
    </row>
    <row r="469" spans="1:12" s="103" customFormat="1" ht="15.75" hidden="1" customHeight="1" outlineLevel="1">
      <c r="A469" s="916"/>
      <c r="B469" s="1123">
        <v>153</v>
      </c>
      <c r="C469" s="1127"/>
      <c r="D469" s="1125"/>
      <c r="E469" s="1125" t="s">
        <v>18</v>
      </c>
      <c r="F469" s="1130" t="str">
        <f>VLOOKUP(E469,$N$13:$O$17,2,0)</f>
        <v>-</v>
      </c>
      <c r="G469" s="92"/>
      <c r="H469" s="823"/>
      <c r="I469" s="1125"/>
      <c r="J469" s="1133"/>
      <c r="K469" s="1133"/>
      <c r="L469" s="916"/>
    </row>
    <row r="470" spans="1:12" s="103" customFormat="1" ht="15.75" hidden="1" customHeight="1" outlineLevel="1">
      <c r="A470" s="916"/>
      <c r="B470" s="1123"/>
      <c r="C470" s="1127"/>
      <c r="D470" s="1125"/>
      <c r="E470" s="1125"/>
      <c r="F470" s="1130"/>
      <c r="G470" s="95"/>
      <c r="H470" s="823"/>
      <c r="I470" s="1125"/>
      <c r="J470" s="1134"/>
      <c r="K470" s="1134"/>
      <c r="L470" s="916"/>
    </row>
    <row r="471" spans="1:12" s="103" customFormat="1" ht="15.75" hidden="1" customHeight="1" outlineLevel="1">
      <c r="A471" s="916"/>
      <c r="B471" s="1124"/>
      <c r="C471" s="1128"/>
      <c r="D471" s="1126"/>
      <c r="E471" s="1126"/>
      <c r="F471" s="1132"/>
      <c r="G471" s="100"/>
      <c r="H471" s="824"/>
      <c r="I471" s="1126"/>
      <c r="J471" s="1135"/>
      <c r="K471" s="1135"/>
      <c r="L471" s="916"/>
    </row>
    <row r="472" spans="1:12" s="103" customFormat="1" ht="15.75" hidden="1" customHeight="1" outlineLevel="1">
      <c r="A472" s="916"/>
      <c r="B472" s="1123">
        <v>154</v>
      </c>
      <c r="C472" s="1127"/>
      <c r="D472" s="1125"/>
      <c r="E472" s="1125" t="s">
        <v>18</v>
      </c>
      <c r="F472" s="1130" t="str">
        <f>VLOOKUP(E472,$N$13:$O$17,2,0)</f>
        <v>-</v>
      </c>
      <c r="G472" s="92"/>
      <c r="H472" s="823"/>
      <c r="I472" s="1125"/>
      <c r="J472" s="1133"/>
      <c r="K472" s="1133"/>
      <c r="L472" s="916"/>
    </row>
    <row r="473" spans="1:12" s="103" customFormat="1" ht="15.75" hidden="1" customHeight="1" outlineLevel="1">
      <c r="A473" s="916"/>
      <c r="B473" s="1123"/>
      <c r="C473" s="1127"/>
      <c r="D473" s="1125"/>
      <c r="E473" s="1125"/>
      <c r="F473" s="1130"/>
      <c r="G473" s="95"/>
      <c r="H473" s="823"/>
      <c r="I473" s="1125"/>
      <c r="J473" s="1134"/>
      <c r="K473" s="1134"/>
      <c r="L473" s="916"/>
    </row>
    <row r="474" spans="1:12" s="103" customFormat="1" ht="15.75" hidden="1" customHeight="1" outlineLevel="1">
      <c r="A474" s="916"/>
      <c r="B474" s="1124"/>
      <c r="C474" s="1128"/>
      <c r="D474" s="1126"/>
      <c r="E474" s="1126"/>
      <c r="F474" s="1132"/>
      <c r="G474" s="100"/>
      <c r="H474" s="824"/>
      <c r="I474" s="1126"/>
      <c r="J474" s="1135"/>
      <c r="K474" s="1135"/>
      <c r="L474" s="916"/>
    </row>
    <row r="475" spans="1:12" s="103" customFormat="1" ht="15.75" hidden="1" customHeight="1" outlineLevel="1">
      <c r="A475" s="916"/>
      <c r="B475" s="1123">
        <v>155</v>
      </c>
      <c r="C475" s="1127"/>
      <c r="D475" s="1125"/>
      <c r="E475" s="1125" t="s">
        <v>18</v>
      </c>
      <c r="F475" s="1130" t="str">
        <f>VLOOKUP(E475,$N$13:$O$17,2,0)</f>
        <v>-</v>
      </c>
      <c r="G475" s="92"/>
      <c r="H475" s="823"/>
      <c r="I475" s="1125"/>
      <c r="J475" s="1133"/>
      <c r="K475" s="1133"/>
      <c r="L475" s="916"/>
    </row>
    <row r="476" spans="1:12" s="103" customFormat="1" ht="15.75" hidden="1" customHeight="1" outlineLevel="1">
      <c r="A476" s="916"/>
      <c r="B476" s="1123"/>
      <c r="C476" s="1127"/>
      <c r="D476" s="1125"/>
      <c r="E476" s="1125"/>
      <c r="F476" s="1130"/>
      <c r="G476" s="95"/>
      <c r="H476" s="823"/>
      <c r="I476" s="1125"/>
      <c r="J476" s="1134"/>
      <c r="K476" s="1134"/>
      <c r="L476" s="916"/>
    </row>
    <row r="477" spans="1:12" s="103" customFormat="1" ht="15.75" hidden="1" customHeight="1" outlineLevel="1">
      <c r="A477" s="916"/>
      <c r="B477" s="1124"/>
      <c r="C477" s="1128"/>
      <c r="D477" s="1126"/>
      <c r="E477" s="1126"/>
      <c r="F477" s="1132"/>
      <c r="G477" s="100"/>
      <c r="H477" s="824"/>
      <c r="I477" s="1126"/>
      <c r="J477" s="1135"/>
      <c r="K477" s="1135"/>
      <c r="L477" s="916"/>
    </row>
    <row r="478" spans="1:12" s="103" customFormat="1" ht="15.75" hidden="1" customHeight="1" outlineLevel="1">
      <c r="A478" s="916"/>
      <c r="B478" s="1123">
        <v>156</v>
      </c>
      <c r="C478" s="1127"/>
      <c r="D478" s="1125"/>
      <c r="E478" s="1125" t="s">
        <v>18</v>
      </c>
      <c r="F478" s="1130" t="str">
        <f>VLOOKUP(E478,$N$13:$O$17,2,0)</f>
        <v>-</v>
      </c>
      <c r="G478" s="92"/>
      <c r="H478" s="823"/>
      <c r="I478" s="1125"/>
      <c r="J478" s="1133"/>
      <c r="K478" s="1133"/>
      <c r="L478" s="916"/>
    </row>
    <row r="479" spans="1:12" s="103" customFormat="1" ht="15.75" hidden="1" customHeight="1" outlineLevel="1">
      <c r="A479" s="916"/>
      <c r="B479" s="1123"/>
      <c r="C479" s="1127"/>
      <c r="D479" s="1125"/>
      <c r="E479" s="1125"/>
      <c r="F479" s="1130"/>
      <c r="G479" s="95"/>
      <c r="H479" s="823"/>
      <c r="I479" s="1125"/>
      <c r="J479" s="1134"/>
      <c r="K479" s="1134"/>
      <c r="L479" s="916"/>
    </row>
    <row r="480" spans="1:12" s="103" customFormat="1" ht="15.75" hidden="1" customHeight="1" outlineLevel="1">
      <c r="A480" s="916"/>
      <c r="B480" s="1124"/>
      <c r="C480" s="1128"/>
      <c r="D480" s="1126"/>
      <c r="E480" s="1126"/>
      <c r="F480" s="1132"/>
      <c r="G480" s="100"/>
      <c r="H480" s="824"/>
      <c r="I480" s="1126"/>
      <c r="J480" s="1135"/>
      <c r="K480" s="1135"/>
      <c r="L480" s="916"/>
    </row>
    <row r="481" spans="1:12" s="103" customFormat="1" ht="15.75" hidden="1" customHeight="1" outlineLevel="1">
      <c r="A481" s="916"/>
      <c r="B481" s="1123">
        <v>157</v>
      </c>
      <c r="C481" s="1127"/>
      <c r="D481" s="1125"/>
      <c r="E481" s="1125" t="s">
        <v>18</v>
      </c>
      <c r="F481" s="1130" t="str">
        <f>VLOOKUP(E481,$N$13:$O$17,2,0)</f>
        <v>-</v>
      </c>
      <c r="G481" s="92"/>
      <c r="H481" s="823"/>
      <c r="I481" s="1125"/>
      <c r="J481" s="1133"/>
      <c r="K481" s="1133"/>
      <c r="L481" s="916"/>
    </row>
    <row r="482" spans="1:12" s="103" customFormat="1" ht="15.75" hidden="1" customHeight="1" outlineLevel="1">
      <c r="A482" s="916"/>
      <c r="B482" s="1123"/>
      <c r="C482" s="1127"/>
      <c r="D482" s="1125"/>
      <c r="E482" s="1125"/>
      <c r="F482" s="1130"/>
      <c r="G482" s="95"/>
      <c r="H482" s="823"/>
      <c r="I482" s="1125"/>
      <c r="J482" s="1134"/>
      <c r="K482" s="1134"/>
      <c r="L482" s="916"/>
    </row>
    <row r="483" spans="1:12" s="103" customFormat="1" ht="15.75" hidden="1" customHeight="1" outlineLevel="1">
      <c r="A483" s="916"/>
      <c r="B483" s="1124"/>
      <c r="C483" s="1128"/>
      <c r="D483" s="1126"/>
      <c r="E483" s="1126"/>
      <c r="F483" s="1132"/>
      <c r="G483" s="100"/>
      <c r="H483" s="824"/>
      <c r="I483" s="1126"/>
      <c r="J483" s="1135"/>
      <c r="K483" s="1135"/>
      <c r="L483" s="916"/>
    </row>
    <row r="484" spans="1:12" s="103" customFormat="1" ht="15.75" hidden="1" customHeight="1" outlineLevel="1">
      <c r="A484" s="916"/>
      <c r="B484" s="1123">
        <v>158</v>
      </c>
      <c r="C484" s="1127"/>
      <c r="D484" s="1125"/>
      <c r="E484" s="1125" t="s">
        <v>18</v>
      </c>
      <c r="F484" s="1130" t="str">
        <f>VLOOKUP(E484,$N$13:$O$17,2,0)</f>
        <v>-</v>
      </c>
      <c r="G484" s="92"/>
      <c r="H484" s="823"/>
      <c r="I484" s="1125"/>
      <c r="J484" s="1133"/>
      <c r="K484" s="1133"/>
      <c r="L484" s="916"/>
    </row>
    <row r="485" spans="1:12" s="103" customFormat="1" ht="15.75" hidden="1" customHeight="1" outlineLevel="1">
      <c r="A485" s="916"/>
      <c r="B485" s="1123"/>
      <c r="C485" s="1127"/>
      <c r="D485" s="1125"/>
      <c r="E485" s="1125"/>
      <c r="F485" s="1130"/>
      <c r="G485" s="95"/>
      <c r="H485" s="823"/>
      <c r="I485" s="1125"/>
      <c r="J485" s="1134"/>
      <c r="K485" s="1134"/>
      <c r="L485" s="916"/>
    </row>
    <row r="486" spans="1:12" s="103" customFormat="1" ht="15.75" hidden="1" customHeight="1" outlineLevel="1">
      <c r="A486" s="916"/>
      <c r="B486" s="1124"/>
      <c r="C486" s="1128"/>
      <c r="D486" s="1126"/>
      <c r="E486" s="1126"/>
      <c r="F486" s="1132"/>
      <c r="G486" s="100"/>
      <c r="H486" s="824"/>
      <c r="I486" s="1126"/>
      <c r="J486" s="1135"/>
      <c r="K486" s="1135"/>
      <c r="L486" s="916"/>
    </row>
    <row r="487" spans="1:12" s="103" customFormat="1" ht="15.75" hidden="1" customHeight="1" outlineLevel="1">
      <c r="A487" s="916"/>
      <c r="B487" s="1123">
        <v>159</v>
      </c>
      <c r="C487" s="1127"/>
      <c r="D487" s="1125"/>
      <c r="E487" s="1125" t="s">
        <v>18</v>
      </c>
      <c r="F487" s="1130" t="str">
        <f>VLOOKUP(E487,$N$13:$O$17,2,0)</f>
        <v>-</v>
      </c>
      <c r="G487" s="92"/>
      <c r="H487" s="823"/>
      <c r="I487" s="1125"/>
      <c r="J487" s="1133"/>
      <c r="K487" s="1133"/>
      <c r="L487" s="916"/>
    </row>
    <row r="488" spans="1:12" s="103" customFormat="1" ht="15.75" hidden="1" customHeight="1" outlineLevel="1">
      <c r="A488" s="916"/>
      <c r="B488" s="1123"/>
      <c r="C488" s="1127"/>
      <c r="D488" s="1125"/>
      <c r="E488" s="1125"/>
      <c r="F488" s="1130"/>
      <c r="G488" s="95"/>
      <c r="H488" s="823"/>
      <c r="I488" s="1125"/>
      <c r="J488" s="1134"/>
      <c r="K488" s="1134"/>
      <c r="L488" s="916"/>
    </row>
    <row r="489" spans="1:12" s="103" customFormat="1" ht="15.75" hidden="1" customHeight="1" outlineLevel="1">
      <c r="A489" s="916"/>
      <c r="B489" s="1124"/>
      <c r="C489" s="1128"/>
      <c r="D489" s="1126"/>
      <c r="E489" s="1126"/>
      <c r="F489" s="1132"/>
      <c r="G489" s="100"/>
      <c r="H489" s="824"/>
      <c r="I489" s="1126"/>
      <c r="J489" s="1135"/>
      <c r="K489" s="1135"/>
      <c r="L489" s="916"/>
    </row>
    <row r="490" spans="1:12" s="103" customFormat="1" ht="15.75" hidden="1" customHeight="1" outlineLevel="1">
      <c r="A490" s="916"/>
      <c r="B490" s="1123">
        <v>160</v>
      </c>
      <c r="C490" s="1127"/>
      <c r="D490" s="1125"/>
      <c r="E490" s="1125" t="s">
        <v>18</v>
      </c>
      <c r="F490" s="1130" t="str">
        <f>VLOOKUP(E490,$N$13:$O$17,2,0)</f>
        <v>-</v>
      </c>
      <c r="G490" s="92"/>
      <c r="H490" s="823"/>
      <c r="I490" s="1125"/>
      <c r="J490" s="1133"/>
      <c r="K490" s="1133"/>
      <c r="L490" s="916"/>
    </row>
    <row r="491" spans="1:12" s="103" customFormat="1" ht="15.75" hidden="1" customHeight="1" outlineLevel="1">
      <c r="A491" s="916"/>
      <c r="B491" s="1123"/>
      <c r="C491" s="1127"/>
      <c r="D491" s="1125"/>
      <c r="E491" s="1125"/>
      <c r="F491" s="1130"/>
      <c r="G491" s="95"/>
      <c r="H491" s="823"/>
      <c r="I491" s="1125"/>
      <c r="J491" s="1134"/>
      <c r="K491" s="1134"/>
      <c r="L491" s="916"/>
    </row>
    <row r="492" spans="1:12" s="103" customFormat="1" ht="15.75" hidden="1" customHeight="1" outlineLevel="1">
      <c r="A492" s="916"/>
      <c r="B492" s="1124"/>
      <c r="C492" s="1128"/>
      <c r="D492" s="1126"/>
      <c r="E492" s="1126"/>
      <c r="F492" s="1132"/>
      <c r="G492" s="100"/>
      <c r="H492" s="824"/>
      <c r="I492" s="1126"/>
      <c r="J492" s="1135"/>
      <c r="K492" s="1135"/>
      <c r="L492" s="916"/>
    </row>
    <row r="493" spans="1:12" s="103" customFormat="1" ht="15.75" hidden="1" customHeight="1" outlineLevel="1">
      <c r="A493" s="916"/>
      <c r="B493" s="1123">
        <v>161</v>
      </c>
      <c r="C493" s="1127"/>
      <c r="D493" s="1125"/>
      <c r="E493" s="1125" t="s">
        <v>18</v>
      </c>
      <c r="F493" s="1130" t="str">
        <f>VLOOKUP(E493,$N$13:$O$17,2,0)</f>
        <v>-</v>
      </c>
      <c r="G493" s="92"/>
      <c r="H493" s="823"/>
      <c r="I493" s="1125"/>
      <c r="J493" s="1133"/>
      <c r="K493" s="1133"/>
      <c r="L493" s="916"/>
    </row>
    <row r="494" spans="1:12" s="103" customFormat="1" ht="15.75" hidden="1" customHeight="1" outlineLevel="1">
      <c r="A494" s="916"/>
      <c r="B494" s="1123"/>
      <c r="C494" s="1127"/>
      <c r="D494" s="1125"/>
      <c r="E494" s="1125"/>
      <c r="F494" s="1130"/>
      <c r="G494" s="95"/>
      <c r="H494" s="823"/>
      <c r="I494" s="1125"/>
      <c r="J494" s="1134"/>
      <c r="K494" s="1134"/>
      <c r="L494" s="916"/>
    </row>
    <row r="495" spans="1:12" s="103" customFormat="1" ht="15.75" hidden="1" customHeight="1" outlineLevel="1">
      <c r="A495" s="916"/>
      <c r="B495" s="1124"/>
      <c r="C495" s="1128"/>
      <c r="D495" s="1126"/>
      <c r="E495" s="1126"/>
      <c r="F495" s="1132"/>
      <c r="G495" s="100"/>
      <c r="H495" s="824"/>
      <c r="I495" s="1126"/>
      <c r="J495" s="1135"/>
      <c r="K495" s="1135"/>
      <c r="L495" s="916"/>
    </row>
    <row r="496" spans="1:12" s="103" customFormat="1" ht="15.75" hidden="1" customHeight="1" outlineLevel="1">
      <c r="A496" s="916"/>
      <c r="B496" s="1123">
        <v>162</v>
      </c>
      <c r="C496" s="1127"/>
      <c r="D496" s="1125"/>
      <c r="E496" s="1125" t="s">
        <v>18</v>
      </c>
      <c r="F496" s="1130" t="str">
        <f>VLOOKUP(E496,$N$13:$O$17,2,0)</f>
        <v>-</v>
      </c>
      <c r="G496" s="92"/>
      <c r="H496" s="823"/>
      <c r="I496" s="1125"/>
      <c r="J496" s="1133"/>
      <c r="K496" s="1133"/>
      <c r="L496" s="916"/>
    </row>
    <row r="497" spans="1:12" s="103" customFormat="1" ht="15.75" hidden="1" customHeight="1" outlineLevel="1">
      <c r="A497" s="916"/>
      <c r="B497" s="1123"/>
      <c r="C497" s="1127"/>
      <c r="D497" s="1125"/>
      <c r="E497" s="1125"/>
      <c r="F497" s="1130"/>
      <c r="G497" s="95"/>
      <c r="H497" s="823"/>
      <c r="I497" s="1125"/>
      <c r="J497" s="1134"/>
      <c r="K497" s="1134"/>
      <c r="L497" s="916"/>
    </row>
    <row r="498" spans="1:12" s="103" customFormat="1" ht="15.75" hidden="1" customHeight="1" outlineLevel="1">
      <c r="A498" s="916"/>
      <c r="B498" s="1124"/>
      <c r="C498" s="1128"/>
      <c r="D498" s="1126"/>
      <c r="E498" s="1126"/>
      <c r="F498" s="1132"/>
      <c r="G498" s="100"/>
      <c r="H498" s="824"/>
      <c r="I498" s="1126"/>
      <c r="J498" s="1135"/>
      <c r="K498" s="1135"/>
      <c r="L498" s="916"/>
    </row>
    <row r="499" spans="1:12" s="103" customFormat="1" ht="15.75" hidden="1" customHeight="1" outlineLevel="1">
      <c r="A499" s="916"/>
      <c r="B499" s="1123">
        <v>163</v>
      </c>
      <c r="C499" s="1127"/>
      <c r="D499" s="1125"/>
      <c r="E499" s="1125" t="s">
        <v>18</v>
      </c>
      <c r="F499" s="1130" t="str">
        <f>VLOOKUP(E499,$N$13:$O$17,2,0)</f>
        <v>-</v>
      </c>
      <c r="G499" s="92"/>
      <c r="H499" s="823"/>
      <c r="I499" s="1125"/>
      <c r="J499" s="1133"/>
      <c r="K499" s="1133"/>
      <c r="L499" s="916"/>
    </row>
    <row r="500" spans="1:12" s="103" customFormat="1" ht="15.75" hidden="1" customHeight="1" outlineLevel="1">
      <c r="A500" s="916"/>
      <c r="B500" s="1123"/>
      <c r="C500" s="1127"/>
      <c r="D500" s="1125"/>
      <c r="E500" s="1125"/>
      <c r="F500" s="1130"/>
      <c r="G500" s="95"/>
      <c r="H500" s="823"/>
      <c r="I500" s="1125"/>
      <c r="J500" s="1134"/>
      <c r="K500" s="1134"/>
      <c r="L500" s="916"/>
    </row>
    <row r="501" spans="1:12" s="103" customFormat="1" ht="15.75" hidden="1" customHeight="1" outlineLevel="1">
      <c r="A501" s="916"/>
      <c r="B501" s="1124"/>
      <c r="C501" s="1128"/>
      <c r="D501" s="1126"/>
      <c r="E501" s="1126"/>
      <c r="F501" s="1132"/>
      <c r="G501" s="100"/>
      <c r="H501" s="824"/>
      <c r="I501" s="1126"/>
      <c r="J501" s="1135"/>
      <c r="K501" s="1135"/>
      <c r="L501" s="916"/>
    </row>
    <row r="502" spans="1:12" s="103" customFormat="1" ht="15.75" hidden="1" customHeight="1" outlineLevel="1">
      <c r="A502" s="916"/>
      <c r="B502" s="1123">
        <v>164</v>
      </c>
      <c r="C502" s="1127"/>
      <c r="D502" s="1125"/>
      <c r="E502" s="1125" t="s">
        <v>18</v>
      </c>
      <c r="F502" s="1130" t="str">
        <f>VLOOKUP(E502,$N$13:$O$17,2,0)</f>
        <v>-</v>
      </c>
      <c r="G502" s="92"/>
      <c r="H502" s="823"/>
      <c r="I502" s="1125"/>
      <c r="J502" s="1133"/>
      <c r="K502" s="1133"/>
      <c r="L502" s="916"/>
    </row>
    <row r="503" spans="1:12" s="103" customFormat="1" ht="15.75" hidden="1" customHeight="1" outlineLevel="1">
      <c r="A503" s="916"/>
      <c r="B503" s="1123"/>
      <c r="C503" s="1127"/>
      <c r="D503" s="1125"/>
      <c r="E503" s="1125"/>
      <c r="F503" s="1130"/>
      <c r="G503" s="95"/>
      <c r="H503" s="823"/>
      <c r="I503" s="1125"/>
      <c r="J503" s="1134"/>
      <c r="K503" s="1134"/>
      <c r="L503" s="916"/>
    </row>
    <row r="504" spans="1:12" s="103" customFormat="1" ht="15.75" hidden="1" customHeight="1" outlineLevel="1">
      <c r="A504" s="916"/>
      <c r="B504" s="1124"/>
      <c r="C504" s="1128"/>
      <c r="D504" s="1126"/>
      <c r="E504" s="1126"/>
      <c r="F504" s="1132"/>
      <c r="G504" s="100"/>
      <c r="H504" s="824"/>
      <c r="I504" s="1126"/>
      <c r="J504" s="1135"/>
      <c r="K504" s="1135"/>
      <c r="L504" s="916"/>
    </row>
    <row r="505" spans="1:12" s="103" customFormat="1" ht="15.75" hidden="1" customHeight="1" outlineLevel="1">
      <c r="A505" s="916"/>
      <c r="B505" s="1123">
        <v>165</v>
      </c>
      <c r="C505" s="1127"/>
      <c r="D505" s="1125"/>
      <c r="E505" s="1125" t="s">
        <v>18</v>
      </c>
      <c r="F505" s="1130" t="str">
        <f>VLOOKUP(E505,$N$13:$O$17,2,0)</f>
        <v>-</v>
      </c>
      <c r="G505" s="92"/>
      <c r="H505" s="823"/>
      <c r="I505" s="1125"/>
      <c r="J505" s="1133"/>
      <c r="K505" s="1133"/>
      <c r="L505" s="916"/>
    </row>
    <row r="506" spans="1:12" s="103" customFormat="1" ht="15.75" hidden="1" customHeight="1" outlineLevel="1">
      <c r="A506" s="916"/>
      <c r="B506" s="1123"/>
      <c r="C506" s="1127"/>
      <c r="D506" s="1125"/>
      <c r="E506" s="1125"/>
      <c r="F506" s="1130"/>
      <c r="G506" s="95"/>
      <c r="H506" s="823"/>
      <c r="I506" s="1125"/>
      <c r="J506" s="1134"/>
      <c r="K506" s="1134"/>
      <c r="L506" s="916"/>
    </row>
    <row r="507" spans="1:12" s="103" customFormat="1" ht="15.75" hidden="1" customHeight="1" outlineLevel="1">
      <c r="A507" s="916"/>
      <c r="B507" s="1124"/>
      <c r="C507" s="1128"/>
      <c r="D507" s="1126"/>
      <c r="E507" s="1126"/>
      <c r="F507" s="1132"/>
      <c r="G507" s="100"/>
      <c r="H507" s="824"/>
      <c r="I507" s="1126"/>
      <c r="J507" s="1135"/>
      <c r="K507" s="1135"/>
      <c r="L507" s="916"/>
    </row>
    <row r="508" spans="1:12" s="103" customFormat="1" ht="15.75" hidden="1" customHeight="1" outlineLevel="1">
      <c r="A508" s="916"/>
      <c r="B508" s="1123">
        <v>166</v>
      </c>
      <c r="C508" s="1127"/>
      <c r="D508" s="1125"/>
      <c r="E508" s="1125" t="s">
        <v>18</v>
      </c>
      <c r="F508" s="1130" t="str">
        <f>VLOOKUP(E508,$N$13:$O$17,2,0)</f>
        <v>-</v>
      </c>
      <c r="G508" s="92"/>
      <c r="H508" s="823"/>
      <c r="I508" s="1125"/>
      <c r="J508" s="1133"/>
      <c r="K508" s="1133"/>
      <c r="L508" s="916"/>
    </row>
    <row r="509" spans="1:12" s="103" customFormat="1" ht="15.75" hidden="1" customHeight="1" outlineLevel="1">
      <c r="A509" s="916"/>
      <c r="B509" s="1123"/>
      <c r="C509" s="1127"/>
      <c r="D509" s="1125"/>
      <c r="E509" s="1125"/>
      <c r="F509" s="1130"/>
      <c r="G509" s="95"/>
      <c r="H509" s="823"/>
      <c r="I509" s="1125"/>
      <c r="J509" s="1134"/>
      <c r="K509" s="1134"/>
      <c r="L509" s="916"/>
    </row>
    <row r="510" spans="1:12" s="103" customFormat="1" ht="15.75" hidden="1" customHeight="1" outlineLevel="1">
      <c r="A510" s="916"/>
      <c r="B510" s="1124"/>
      <c r="C510" s="1128"/>
      <c r="D510" s="1126"/>
      <c r="E510" s="1126"/>
      <c r="F510" s="1132"/>
      <c r="G510" s="100"/>
      <c r="H510" s="824"/>
      <c r="I510" s="1126"/>
      <c r="J510" s="1135"/>
      <c r="K510" s="1135"/>
      <c r="L510" s="916"/>
    </row>
    <row r="511" spans="1:12" s="103" customFormat="1" ht="15.75" hidden="1" customHeight="1" outlineLevel="1">
      <c r="A511" s="916"/>
      <c r="B511" s="1123">
        <v>167</v>
      </c>
      <c r="C511" s="1127"/>
      <c r="D511" s="1125"/>
      <c r="E511" s="1125" t="s">
        <v>18</v>
      </c>
      <c r="F511" s="1130" t="str">
        <f>VLOOKUP(E511,$N$13:$O$17,2,0)</f>
        <v>-</v>
      </c>
      <c r="G511" s="92"/>
      <c r="H511" s="823"/>
      <c r="I511" s="1125"/>
      <c r="J511" s="1133"/>
      <c r="K511" s="1133"/>
      <c r="L511" s="916"/>
    </row>
    <row r="512" spans="1:12" s="103" customFormat="1" ht="15.75" hidden="1" customHeight="1" outlineLevel="1">
      <c r="A512" s="916"/>
      <c r="B512" s="1123"/>
      <c r="C512" s="1127"/>
      <c r="D512" s="1125"/>
      <c r="E512" s="1125"/>
      <c r="F512" s="1130"/>
      <c r="G512" s="95"/>
      <c r="H512" s="823"/>
      <c r="I512" s="1125"/>
      <c r="J512" s="1134"/>
      <c r="K512" s="1134"/>
      <c r="L512" s="916"/>
    </row>
    <row r="513" spans="1:12" s="103" customFormat="1" ht="15.75" hidden="1" customHeight="1" outlineLevel="1">
      <c r="A513" s="916"/>
      <c r="B513" s="1124"/>
      <c r="C513" s="1128"/>
      <c r="D513" s="1126"/>
      <c r="E513" s="1126"/>
      <c r="F513" s="1132"/>
      <c r="G513" s="100"/>
      <c r="H513" s="824"/>
      <c r="I513" s="1126"/>
      <c r="J513" s="1135"/>
      <c r="K513" s="1135"/>
      <c r="L513" s="916"/>
    </row>
    <row r="514" spans="1:12" s="103" customFormat="1" ht="15.75" hidden="1" customHeight="1" outlineLevel="1">
      <c r="A514" s="916"/>
      <c r="B514" s="1123">
        <v>168</v>
      </c>
      <c r="C514" s="1127"/>
      <c r="D514" s="1125"/>
      <c r="E514" s="1125" t="s">
        <v>18</v>
      </c>
      <c r="F514" s="1130" t="str">
        <f>VLOOKUP(E514,$N$13:$O$17,2,0)</f>
        <v>-</v>
      </c>
      <c r="G514" s="92"/>
      <c r="H514" s="823"/>
      <c r="I514" s="1125"/>
      <c r="J514" s="1133"/>
      <c r="K514" s="1133"/>
      <c r="L514" s="916"/>
    </row>
    <row r="515" spans="1:12" s="103" customFormat="1" ht="15.75" hidden="1" customHeight="1" outlineLevel="1">
      <c r="A515" s="916"/>
      <c r="B515" s="1123"/>
      <c r="C515" s="1127"/>
      <c r="D515" s="1125"/>
      <c r="E515" s="1125"/>
      <c r="F515" s="1130"/>
      <c r="G515" s="95"/>
      <c r="H515" s="823"/>
      <c r="I515" s="1125"/>
      <c r="J515" s="1134"/>
      <c r="K515" s="1134"/>
      <c r="L515" s="916"/>
    </row>
    <row r="516" spans="1:12" s="103" customFormat="1" ht="15.75" hidden="1" customHeight="1" outlineLevel="1">
      <c r="A516" s="916"/>
      <c r="B516" s="1124"/>
      <c r="C516" s="1128"/>
      <c r="D516" s="1126"/>
      <c r="E516" s="1126"/>
      <c r="F516" s="1132"/>
      <c r="G516" s="100"/>
      <c r="H516" s="824"/>
      <c r="I516" s="1126"/>
      <c r="J516" s="1135"/>
      <c r="K516" s="1135"/>
      <c r="L516" s="916"/>
    </row>
    <row r="517" spans="1:12" s="103" customFormat="1" ht="15.75" hidden="1" customHeight="1" outlineLevel="1">
      <c r="A517" s="916"/>
      <c r="B517" s="1123">
        <v>169</v>
      </c>
      <c r="C517" s="1127"/>
      <c r="D517" s="1125"/>
      <c r="E517" s="1125" t="s">
        <v>18</v>
      </c>
      <c r="F517" s="1130" t="str">
        <f>VLOOKUP(E517,$N$13:$O$17,2,0)</f>
        <v>-</v>
      </c>
      <c r="G517" s="92"/>
      <c r="H517" s="823"/>
      <c r="I517" s="1125"/>
      <c r="J517" s="1133"/>
      <c r="K517" s="1133"/>
      <c r="L517" s="916"/>
    </row>
    <row r="518" spans="1:12" s="103" customFormat="1" ht="15.75" hidden="1" customHeight="1" outlineLevel="1">
      <c r="A518" s="916"/>
      <c r="B518" s="1123"/>
      <c r="C518" s="1127"/>
      <c r="D518" s="1125"/>
      <c r="E518" s="1125"/>
      <c r="F518" s="1130"/>
      <c r="G518" s="95"/>
      <c r="H518" s="823"/>
      <c r="I518" s="1125"/>
      <c r="J518" s="1134"/>
      <c r="K518" s="1134"/>
      <c r="L518" s="916"/>
    </row>
    <row r="519" spans="1:12" s="103" customFormat="1" ht="15.75" hidden="1" customHeight="1" outlineLevel="1">
      <c r="A519" s="916"/>
      <c r="B519" s="1124"/>
      <c r="C519" s="1128"/>
      <c r="D519" s="1126"/>
      <c r="E519" s="1126"/>
      <c r="F519" s="1132"/>
      <c r="G519" s="100"/>
      <c r="H519" s="824"/>
      <c r="I519" s="1126"/>
      <c r="J519" s="1135"/>
      <c r="K519" s="1135"/>
      <c r="L519" s="916"/>
    </row>
    <row r="520" spans="1:12" s="103" customFormat="1" ht="15.75" hidden="1" customHeight="1" outlineLevel="1">
      <c r="A520" s="916"/>
      <c r="B520" s="1123">
        <v>170</v>
      </c>
      <c r="C520" s="1127"/>
      <c r="D520" s="1125"/>
      <c r="E520" s="1125" t="s">
        <v>18</v>
      </c>
      <c r="F520" s="1130" t="str">
        <f>VLOOKUP(E520,$N$13:$O$17,2,0)</f>
        <v>-</v>
      </c>
      <c r="G520" s="92"/>
      <c r="H520" s="823"/>
      <c r="I520" s="1125"/>
      <c r="J520" s="1133"/>
      <c r="K520" s="1133"/>
      <c r="L520" s="916"/>
    </row>
    <row r="521" spans="1:12" s="103" customFormat="1" ht="15.75" hidden="1" customHeight="1" outlineLevel="1">
      <c r="A521" s="916"/>
      <c r="B521" s="1123"/>
      <c r="C521" s="1127"/>
      <c r="D521" s="1125"/>
      <c r="E521" s="1125"/>
      <c r="F521" s="1130"/>
      <c r="G521" s="95"/>
      <c r="H521" s="823"/>
      <c r="I521" s="1125"/>
      <c r="J521" s="1134"/>
      <c r="K521" s="1134"/>
      <c r="L521" s="916"/>
    </row>
    <row r="522" spans="1:12" s="103" customFormat="1" ht="15.75" hidden="1" customHeight="1" outlineLevel="1">
      <c r="A522" s="916"/>
      <c r="B522" s="1124"/>
      <c r="C522" s="1128"/>
      <c r="D522" s="1126"/>
      <c r="E522" s="1126"/>
      <c r="F522" s="1132"/>
      <c r="G522" s="100"/>
      <c r="H522" s="824"/>
      <c r="I522" s="1126"/>
      <c r="J522" s="1135"/>
      <c r="K522" s="1135"/>
      <c r="L522" s="916"/>
    </row>
    <row r="523" spans="1:12" s="103" customFormat="1" ht="15.75" hidden="1" customHeight="1" outlineLevel="1">
      <c r="A523" s="916"/>
      <c r="B523" s="1123">
        <v>171</v>
      </c>
      <c r="C523" s="1127"/>
      <c r="D523" s="1125"/>
      <c r="E523" s="1125" t="s">
        <v>18</v>
      </c>
      <c r="F523" s="1130" t="str">
        <f>VLOOKUP(E523,$N$13:$O$17,2,0)</f>
        <v>-</v>
      </c>
      <c r="G523" s="92"/>
      <c r="H523" s="823"/>
      <c r="I523" s="1125"/>
      <c r="J523" s="1133"/>
      <c r="K523" s="1133"/>
      <c r="L523" s="916"/>
    </row>
    <row r="524" spans="1:12" s="103" customFormat="1" ht="15.75" hidden="1" customHeight="1" outlineLevel="1">
      <c r="A524" s="916"/>
      <c r="B524" s="1123"/>
      <c r="C524" s="1127"/>
      <c r="D524" s="1125"/>
      <c r="E524" s="1125"/>
      <c r="F524" s="1130"/>
      <c r="G524" s="95"/>
      <c r="H524" s="823"/>
      <c r="I524" s="1125"/>
      <c r="J524" s="1134"/>
      <c r="K524" s="1134"/>
      <c r="L524" s="916"/>
    </row>
    <row r="525" spans="1:12" s="103" customFormat="1" ht="15.75" hidden="1" customHeight="1" outlineLevel="1">
      <c r="A525" s="916"/>
      <c r="B525" s="1124"/>
      <c r="C525" s="1128"/>
      <c r="D525" s="1126"/>
      <c r="E525" s="1126"/>
      <c r="F525" s="1132"/>
      <c r="G525" s="100"/>
      <c r="H525" s="824"/>
      <c r="I525" s="1126"/>
      <c r="J525" s="1135"/>
      <c r="K525" s="1135"/>
      <c r="L525" s="916"/>
    </row>
    <row r="526" spans="1:12" s="103" customFormat="1" ht="15.75" hidden="1" customHeight="1" outlineLevel="1">
      <c r="A526" s="916"/>
      <c r="B526" s="1123">
        <v>172</v>
      </c>
      <c r="C526" s="1127"/>
      <c r="D526" s="1125"/>
      <c r="E526" s="1125" t="s">
        <v>18</v>
      </c>
      <c r="F526" s="1130" t="str">
        <f>VLOOKUP(E526,$N$13:$O$17,2,0)</f>
        <v>-</v>
      </c>
      <c r="G526" s="92"/>
      <c r="H526" s="823"/>
      <c r="I526" s="1125"/>
      <c r="J526" s="1133"/>
      <c r="K526" s="1133"/>
      <c r="L526" s="916"/>
    </row>
    <row r="527" spans="1:12" s="103" customFormat="1" ht="15.75" hidden="1" customHeight="1" outlineLevel="1">
      <c r="A527" s="916"/>
      <c r="B527" s="1123"/>
      <c r="C527" s="1127"/>
      <c r="D527" s="1125"/>
      <c r="E527" s="1125"/>
      <c r="F527" s="1130"/>
      <c r="G527" s="95"/>
      <c r="H527" s="823"/>
      <c r="I527" s="1125"/>
      <c r="J527" s="1134"/>
      <c r="K527" s="1134"/>
      <c r="L527" s="916"/>
    </row>
    <row r="528" spans="1:12" s="103" customFormat="1" ht="15.75" hidden="1" customHeight="1" outlineLevel="1">
      <c r="A528" s="916"/>
      <c r="B528" s="1124"/>
      <c r="C528" s="1128"/>
      <c r="D528" s="1126"/>
      <c r="E528" s="1126"/>
      <c r="F528" s="1132"/>
      <c r="G528" s="100"/>
      <c r="H528" s="824"/>
      <c r="I528" s="1126"/>
      <c r="J528" s="1135"/>
      <c r="K528" s="1135"/>
      <c r="L528" s="916"/>
    </row>
    <row r="529" spans="1:12" s="103" customFormat="1" ht="15.75" hidden="1" customHeight="1" outlineLevel="1">
      <c r="A529" s="916"/>
      <c r="B529" s="1123">
        <v>173</v>
      </c>
      <c r="C529" s="1127"/>
      <c r="D529" s="1125"/>
      <c r="E529" s="1125" t="s">
        <v>18</v>
      </c>
      <c r="F529" s="1130" t="str">
        <f>VLOOKUP(E529,$N$13:$O$17,2,0)</f>
        <v>-</v>
      </c>
      <c r="G529" s="92"/>
      <c r="H529" s="823"/>
      <c r="I529" s="1125"/>
      <c r="J529" s="1133"/>
      <c r="K529" s="1133"/>
      <c r="L529" s="916"/>
    </row>
    <row r="530" spans="1:12" s="103" customFormat="1" ht="15.75" hidden="1" customHeight="1" outlineLevel="1">
      <c r="A530" s="916"/>
      <c r="B530" s="1123"/>
      <c r="C530" s="1127"/>
      <c r="D530" s="1125"/>
      <c r="E530" s="1125"/>
      <c r="F530" s="1130"/>
      <c r="G530" s="95"/>
      <c r="H530" s="823"/>
      <c r="I530" s="1125"/>
      <c r="J530" s="1134"/>
      <c r="K530" s="1134"/>
      <c r="L530" s="916"/>
    </row>
    <row r="531" spans="1:12" s="103" customFormat="1" ht="15.75" hidden="1" customHeight="1" outlineLevel="1">
      <c r="A531" s="916"/>
      <c r="B531" s="1124"/>
      <c r="C531" s="1128"/>
      <c r="D531" s="1126"/>
      <c r="E531" s="1126"/>
      <c r="F531" s="1132"/>
      <c r="G531" s="100"/>
      <c r="H531" s="824"/>
      <c r="I531" s="1126"/>
      <c r="J531" s="1135"/>
      <c r="K531" s="1135"/>
      <c r="L531" s="916"/>
    </row>
    <row r="532" spans="1:12" s="103" customFormat="1" ht="15.75" hidden="1" customHeight="1" outlineLevel="1">
      <c r="A532" s="916"/>
      <c r="B532" s="1123">
        <v>174</v>
      </c>
      <c r="C532" s="1127"/>
      <c r="D532" s="1125"/>
      <c r="E532" s="1125" t="s">
        <v>18</v>
      </c>
      <c r="F532" s="1130" t="str">
        <f>VLOOKUP(E532,$N$13:$O$17,2,0)</f>
        <v>-</v>
      </c>
      <c r="G532" s="92"/>
      <c r="H532" s="823"/>
      <c r="I532" s="1125"/>
      <c r="J532" s="1133"/>
      <c r="K532" s="1133"/>
      <c r="L532" s="916"/>
    </row>
    <row r="533" spans="1:12" s="103" customFormat="1" ht="15.75" hidden="1" customHeight="1" outlineLevel="1">
      <c r="A533" s="916"/>
      <c r="B533" s="1123"/>
      <c r="C533" s="1127"/>
      <c r="D533" s="1125"/>
      <c r="E533" s="1125"/>
      <c r="F533" s="1130"/>
      <c r="G533" s="95"/>
      <c r="H533" s="823"/>
      <c r="I533" s="1125"/>
      <c r="J533" s="1134"/>
      <c r="K533" s="1134"/>
      <c r="L533" s="916"/>
    </row>
    <row r="534" spans="1:12" s="103" customFormat="1" ht="15.75" hidden="1" customHeight="1" outlineLevel="1">
      <c r="A534" s="916"/>
      <c r="B534" s="1124"/>
      <c r="C534" s="1128"/>
      <c r="D534" s="1126"/>
      <c r="E534" s="1126"/>
      <c r="F534" s="1132"/>
      <c r="G534" s="100"/>
      <c r="H534" s="824"/>
      <c r="I534" s="1126"/>
      <c r="J534" s="1135"/>
      <c r="K534" s="1135"/>
      <c r="L534" s="916"/>
    </row>
    <row r="535" spans="1:12" s="103" customFormat="1" ht="15.75" hidden="1" customHeight="1" outlineLevel="1">
      <c r="A535" s="916"/>
      <c r="B535" s="1123">
        <v>175</v>
      </c>
      <c r="C535" s="1127"/>
      <c r="D535" s="1125"/>
      <c r="E535" s="1125" t="s">
        <v>18</v>
      </c>
      <c r="F535" s="1130" t="str">
        <f>VLOOKUP(E535,$N$13:$O$17,2,0)</f>
        <v>-</v>
      </c>
      <c r="G535" s="92"/>
      <c r="H535" s="823"/>
      <c r="I535" s="1125"/>
      <c r="J535" s="1133"/>
      <c r="K535" s="1133"/>
      <c r="L535" s="916"/>
    </row>
    <row r="536" spans="1:12" s="103" customFormat="1" ht="15.75" hidden="1" customHeight="1" outlineLevel="1">
      <c r="A536" s="916"/>
      <c r="B536" s="1123"/>
      <c r="C536" s="1127"/>
      <c r="D536" s="1125"/>
      <c r="E536" s="1125"/>
      <c r="F536" s="1130"/>
      <c r="G536" s="95"/>
      <c r="H536" s="823"/>
      <c r="I536" s="1125"/>
      <c r="J536" s="1134"/>
      <c r="K536" s="1134"/>
      <c r="L536" s="916"/>
    </row>
    <row r="537" spans="1:12" s="103" customFormat="1" ht="15.75" hidden="1" customHeight="1" outlineLevel="1">
      <c r="A537" s="916"/>
      <c r="B537" s="1124"/>
      <c r="C537" s="1128"/>
      <c r="D537" s="1126"/>
      <c r="E537" s="1126"/>
      <c r="F537" s="1132"/>
      <c r="G537" s="100"/>
      <c r="H537" s="824"/>
      <c r="I537" s="1126"/>
      <c r="J537" s="1135"/>
      <c r="K537" s="1135"/>
      <c r="L537" s="916"/>
    </row>
    <row r="538" spans="1:12" s="103" customFormat="1" ht="15.75" hidden="1" customHeight="1" outlineLevel="1">
      <c r="A538" s="916"/>
      <c r="B538" s="1123">
        <v>176</v>
      </c>
      <c r="C538" s="1127"/>
      <c r="D538" s="1125"/>
      <c r="E538" s="1125" t="s">
        <v>18</v>
      </c>
      <c r="F538" s="1130" t="str">
        <f>VLOOKUP(E538,$N$13:$O$17,2,0)</f>
        <v>-</v>
      </c>
      <c r="G538" s="92"/>
      <c r="H538" s="823"/>
      <c r="I538" s="1125"/>
      <c r="J538" s="1133"/>
      <c r="K538" s="1133"/>
      <c r="L538" s="916"/>
    </row>
    <row r="539" spans="1:12" s="103" customFormat="1" ht="15.75" hidden="1" customHeight="1" outlineLevel="1">
      <c r="A539" s="916"/>
      <c r="B539" s="1123"/>
      <c r="C539" s="1127"/>
      <c r="D539" s="1125"/>
      <c r="E539" s="1125"/>
      <c r="F539" s="1130"/>
      <c r="G539" s="95"/>
      <c r="H539" s="823"/>
      <c r="I539" s="1125"/>
      <c r="J539" s="1134"/>
      <c r="K539" s="1134"/>
      <c r="L539" s="916"/>
    </row>
    <row r="540" spans="1:12" s="103" customFormat="1" ht="15.75" hidden="1" customHeight="1" outlineLevel="1">
      <c r="A540" s="916"/>
      <c r="B540" s="1124"/>
      <c r="C540" s="1128"/>
      <c r="D540" s="1126"/>
      <c r="E540" s="1126"/>
      <c r="F540" s="1132"/>
      <c r="G540" s="100"/>
      <c r="H540" s="824"/>
      <c r="I540" s="1126"/>
      <c r="J540" s="1135"/>
      <c r="K540" s="1135"/>
      <c r="L540" s="916"/>
    </row>
    <row r="541" spans="1:12" s="103" customFormat="1" ht="15.75" hidden="1" customHeight="1" outlineLevel="1">
      <c r="A541" s="916"/>
      <c r="B541" s="1123">
        <v>177</v>
      </c>
      <c r="C541" s="1127"/>
      <c r="D541" s="1125"/>
      <c r="E541" s="1125" t="s">
        <v>18</v>
      </c>
      <c r="F541" s="1130" t="str">
        <f>VLOOKUP(E541,$N$13:$O$17,2,0)</f>
        <v>-</v>
      </c>
      <c r="G541" s="92"/>
      <c r="H541" s="823"/>
      <c r="I541" s="1125"/>
      <c r="J541" s="1133"/>
      <c r="K541" s="1133"/>
      <c r="L541" s="916"/>
    </row>
    <row r="542" spans="1:12" s="103" customFormat="1" ht="15.75" hidden="1" customHeight="1" outlineLevel="1">
      <c r="A542" s="916"/>
      <c r="B542" s="1123"/>
      <c r="C542" s="1127"/>
      <c r="D542" s="1125"/>
      <c r="E542" s="1125"/>
      <c r="F542" s="1130"/>
      <c r="G542" s="95"/>
      <c r="H542" s="823"/>
      <c r="I542" s="1125"/>
      <c r="J542" s="1134"/>
      <c r="K542" s="1134"/>
      <c r="L542" s="916"/>
    </row>
    <row r="543" spans="1:12" s="103" customFormat="1" ht="15.75" hidden="1" customHeight="1" outlineLevel="1">
      <c r="A543" s="916"/>
      <c r="B543" s="1124"/>
      <c r="C543" s="1128"/>
      <c r="D543" s="1126"/>
      <c r="E543" s="1126"/>
      <c r="F543" s="1132"/>
      <c r="G543" s="100"/>
      <c r="H543" s="824"/>
      <c r="I543" s="1126"/>
      <c r="J543" s="1135"/>
      <c r="K543" s="1135"/>
      <c r="L543" s="916"/>
    </row>
    <row r="544" spans="1:12" s="103" customFormat="1" ht="15.75" hidden="1" customHeight="1" outlineLevel="1">
      <c r="A544" s="916"/>
      <c r="B544" s="1123">
        <v>178</v>
      </c>
      <c r="C544" s="1127"/>
      <c r="D544" s="1125"/>
      <c r="E544" s="1125" t="s">
        <v>18</v>
      </c>
      <c r="F544" s="1130" t="str">
        <f>VLOOKUP(E544,$N$13:$O$17,2,0)</f>
        <v>-</v>
      </c>
      <c r="G544" s="92"/>
      <c r="H544" s="823"/>
      <c r="I544" s="1125"/>
      <c r="J544" s="1133"/>
      <c r="K544" s="1133"/>
      <c r="L544" s="916"/>
    </row>
    <row r="545" spans="1:12" s="103" customFormat="1" ht="15.75" hidden="1" customHeight="1" outlineLevel="1">
      <c r="A545" s="916"/>
      <c r="B545" s="1123"/>
      <c r="C545" s="1127"/>
      <c r="D545" s="1125"/>
      <c r="E545" s="1125"/>
      <c r="F545" s="1130"/>
      <c r="G545" s="95"/>
      <c r="H545" s="823"/>
      <c r="I545" s="1125"/>
      <c r="J545" s="1134"/>
      <c r="K545" s="1134"/>
      <c r="L545" s="916"/>
    </row>
    <row r="546" spans="1:12" s="103" customFormat="1" ht="15.75" hidden="1" customHeight="1" outlineLevel="1">
      <c r="A546" s="916"/>
      <c r="B546" s="1124"/>
      <c r="C546" s="1128"/>
      <c r="D546" s="1126"/>
      <c r="E546" s="1126"/>
      <c r="F546" s="1132"/>
      <c r="G546" s="100"/>
      <c r="H546" s="824"/>
      <c r="I546" s="1126"/>
      <c r="J546" s="1135"/>
      <c r="K546" s="1135"/>
      <c r="L546" s="916"/>
    </row>
    <row r="547" spans="1:12" s="103" customFormat="1" ht="15.75" hidden="1" customHeight="1" outlineLevel="1">
      <c r="A547" s="916"/>
      <c r="B547" s="1123">
        <v>179</v>
      </c>
      <c r="C547" s="1127"/>
      <c r="D547" s="1125"/>
      <c r="E547" s="1125" t="s">
        <v>18</v>
      </c>
      <c r="F547" s="1130" t="str">
        <f>VLOOKUP(E547,$N$13:$O$17,2,0)</f>
        <v>-</v>
      </c>
      <c r="G547" s="92"/>
      <c r="H547" s="823"/>
      <c r="I547" s="1125"/>
      <c r="J547" s="1133"/>
      <c r="K547" s="1133"/>
      <c r="L547" s="916"/>
    </row>
    <row r="548" spans="1:12" s="103" customFormat="1" ht="15.75" hidden="1" customHeight="1" outlineLevel="1">
      <c r="A548" s="916"/>
      <c r="B548" s="1123"/>
      <c r="C548" s="1127"/>
      <c r="D548" s="1125"/>
      <c r="E548" s="1125"/>
      <c r="F548" s="1130"/>
      <c r="G548" s="95"/>
      <c r="H548" s="823"/>
      <c r="I548" s="1125"/>
      <c r="J548" s="1134"/>
      <c r="K548" s="1134"/>
      <c r="L548" s="916"/>
    </row>
    <row r="549" spans="1:12" s="103" customFormat="1" ht="15.75" hidden="1" customHeight="1" outlineLevel="1">
      <c r="A549" s="916"/>
      <c r="B549" s="1124"/>
      <c r="C549" s="1128"/>
      <c r="D549" s="1126"/>
      <c r="E549" s="1126"/>
      <c r="F549" s="1132"/>
      <c r="G549" s="100"/>
      <c r="H549" s="824"/>
      <c r="I549" s="1126"/>
      <c r="J549" s="1135"/>
      <c r="K549" s="1135"/>
      <c r="L549" s="916"/>
    </row>
    <row r="550" spans="1:12" s="103" customFormat="1" ht="15.75" hidden="1" customHeight="1" outlineLevel="1">
      <c r="A550" s="916"/>
      <c r="B550" s="1123">
        <v>180</v>
      </c>
      <c r="C550" s="1127"/>
      <c r="D550" s="1125"/>
      <c r="E550" s="1125" t="s">
        <v>18</v>
      </c>
      <c r="F550" s="1130" t="str">
        <f>VLOOKUP(E550,$N$13:$O$17,2,0)</f>
        <v>-</v>
      </c>
      <c r="G550" s="92"/>
      <c r="H550" s="823"/>
      <c r="I550" s="1125"/>
      <c r="J550" s="1133"/>
      <c r="K550" s="1133"/>
      <c r="L550" s="916"/>
    </row>
    <row r="551" spans="1:12" s="103" customFormat="1" ht="15.75" hidden="1" customHeight="1" outlineLevel="1">
      <c r="A551" s="916"/>
      <c r="B551" s="1123"/>
      <c r="C551" s="1127"/>
      <c r="D551" s="1125"/>
      <c r="E551" s="1125"/>
      <c r="F551" s="1130"/>
      <c r="G551" s="95"/>
      <c r="H551" s="823"/>
      <c r="I551" s="1125"/>
      <c r="J551" s="1134"/>
      <c r="K551" s="1134"/>
      <c r="L551" s="916"/>
    </row>
    <row r="552" spans="1:12" s="103" customFormat="1" ht="15.75" hidden="1" customHeight="1" outlineLevel="1">
      <c r="A552" s="916"/>
      <c r="B552" s="1124"/>
      <c r="C552" s="1128"/>
      <c r="D552" s="1126"/>
      <c r="E552" s="1126"/>
      <c r="F552" s="1132"/>
      <c r="G552" s="100"/>
      <c r="H552" s="824"/>
      <c r="I552" s="1126"/>
      <c r="J552" s="1135"/>
      <c r="K552" s="1135"/>
      <c r="L552" s="916"/>
    </row>
    <row r="553" spans="1:12" s="103" customFormat="1" ht="15.75" hidden="1" customHeight="1" outlineLevel="1">
      <c r="A553" s="916"/>
      <c r="B553" s="1123">
        <v>181</v>
      </c>
      <c r="C553" s="1127"/>
      <c r="D553" s="1125"/>
      <c r="E553" s="1125" t="s">
        <v>18</v>
      </c>
      <c r="F553" s="1130" t="str">
        <f>VLOOKUP(E553,$N$13:$O$17,2,0)</f>
        <v>-</v>
      </c>
      <c r="G553" s="92"/>
      <c r="H553" s="823"/>
      <c r="I553" s="1125"/>
      <c r="J553" s="1133"/>
      <c r="K553" s="1133"/>
      <c r="L553" s="916"/>
    </row>
    <row r="554" spans="1:12" s="103" customFormat="1" ht="15.75" hidden="1" customHeight="1" outlineLevel="1">
      <c r="A554" s="916"/>
      <c r="B554" s="1123"/>
      <c r="C554" s="1127"/>
      <c r="D554" s="1125"/>
      <c r="E554" s="1125"/>
      <c r="F554" s="1130"/>
      <c r="G554" s="95"/>
      <c r="H554" s="823"/>
      <c r="I554" s="1125"/>
      <c r="J554" s="1134"/>
      <c r="K554" s="1134"/>
      <c r="L554" s="916"/>
    </row>
    <row r="555" spans="1:12" s="103" customFormat="1" ht="15.75" hidden="1" customHeight="1" outlineLevel="1">
      <c r="A555" s="916"/>
      <c r="B555" s="1124"/>
      <c r="C555" s="1128"/>
      <c r="D555" s="1126"/>
      <c r="E555" s="1126"/>
      <c r="F555" s="1132"/>
      <c r="G555" s="100"/>
      <c r="H555" s="824"/>
      <c r="I555" s="1126"/>
      <c r="J555" s="1135"/>
      <c r="K555" s="1135"/>
      <c r="L555" s="916"/>
    </row>
    <row r="556" spans="1:12" s="103" customFormat="1" ht="15.75" hidden="1" customHeight="1" outlineLevel="1">
      <c r="A556" s="916"/>
      <c r="B556" s="1123">
        <v>182</v>
      </c>
      <c r="C556" s="1127"/>
      <c r="D556" s="1125"/>
      <c r="E556" s="1125" t="s">
        <v>18</v>
      </c>
      <c r="F556" s="1130" t="str">
        <f>VLOOKUP(E556,$N$13:$O$17,2,0)</f>
        <v>-</v>
      </c>
      <c r="G556" s="92"/>
      <c r="H556" s="823"/>
      <c r="I556" s="1125"/>
      <c r="J556" s="1133"/>
      <c r="K556" s="1133"/>
      <c r="L556" s="916"/>
    </row>
    <row r="557" spans="1:12" s="103" customFormat="1" ht="15.75" hidden="1" customHeight="1" outlineLevel="1">
      <c r="A557" s="916"/>
      <c r="B557" s="1123"/>
      <c r="C557" s="1127"/>
      <c r="D557" s="1125"/>
      <c r="E557" s="1125"/>
      <c r="F557" s="1130"/>
      <c r="G557" s="95"/>
      <c r="H557" s="823"/>
      <c r="I557" s="1125"/>
      <c r="J557" s="1134"/>
      <c r="K557" s="1134"/>
      <c r="L557" s="916"/>
    </row>
    <row r="558" spans="1:12" s="103" customFormat="1" ht="15.75" hidden="1" customHeight="1" outlineLevel="1">
      <c r="A558" s="916"/>
      <c r="B558" s="1124"/>
      <c r="C558" s="1128"/>
      <c r="D558" s="1126"/>
      <c r="E558" s="1126"/>
      <c r="F558" s="1132"/>
      <c r="G558" s="100"/>
      <c r="H558" s="824"/>
      <c r="I558" s="1126"/>
      <c r="J558" s="1135"/>
      <c r="K558" s="1135"/>
      <c r="L558" s="916"/>
    </row>
    <row r="559" spans="1:12" s="103" customFormat="1" ht="15.75" hidden="1" customHeight="1" outlineLevel="1">
      <c r="A559" s="916"/>
      <c r="B559" s="1123">
        <v>183</v>
      </c>
      <c r="C559" s="1127"/>
      <c r="D559" s="1125"/>
      <c r="E559" s="1125" t="s">
        <v>18</v>
      </c>
      <c r="F559" s="1130" t="str">
        <f>VLOOKUP(E559,$N$13:$O$17,2,0)</f>
        <v>-</v>
      </c>
      <c r="G559" s="92"/>
      <c r="H559" s="823"/>
      <c r="I559" s="1125"/>
      <c r="J559" s="1133"/>
      <c r="K559" s="1133"/>
      <c r="L559" s="916"/>
    </row>
    <row r="560" spans="1:12" s="103" customFormat="1" ht="15.75" hidden="1" customHeight="1" outlineLevel="1">
      <c r="A560" s="916"/>
      <c r="B560" s="1123"/>
      <c r="C560" s="1127"/>
      <c r="D560" s="1125"/>
      <c r="E560" s="1125"/>
      <c r="F560" s="1130"/>
      <c r="G560" s="95"/>
      <c r="H560" s="823"/>
      <c r="I560" s="1125"/>
      <c r="J560" s="1134"/>
      <c r="K560" s="1134"/>
      <c r="L560" s="916"/>
    </row>
    <row r="561" spans="1:12" s="103" customFormat="1" ht="15.75" hidden="1" customHeight="1" outlineLevel="1">
      <c r="A561" s="916"/>
      <c r="B561" s="1124"/>
      <c r="C561" s="1128"/>
      <c r="D561" s="1126"/>
      <c r="E561" s="1126"/>
      <c r="F561" s="1132"/>
      <c r="G561" s="100"/>
      <c r="H561" s="824"/>
      <c r="I561" s="1126"/>
      <c r="J561" s="1135"/>
      <c r="K561" s="1135"/>
      <c r="L561" s="916"/>
    </row>
    <row r="562" spans="1:12" s="103" customFormat="1" ht="15.75" hidden="1" customHeight="1" outlineLevel="1">
      <c r="A562" s="916"/>
      <c r="B562" s="1123">
        <v>184</v>
      </c>
      <c r="C562" s="1127"/>
      <c r="D562" s="1125"/>
      <c r="E562" s="1125" t="s">
        <v>18</v>
      </c>
      <c r="F562" s="1130" t="str">
        <f>VLOOKUP(E562,$N$13:$O$17,2,0)</f>
        <v>-</v>
      </c>
      <c r="G562" s="92"/>
      <c r="H562" s="823"/>
      <c r="I562" s="1125"/>
      <c r="J562" s="1133"/>
      <c r="K562" s="1133"/>
      <c r="L562" s="916"/>
    </row>
    <row r="563" spans="1:12" s="103" customFormat="1" ht="15.75" hidden="1" customHeight="1" outlineLevel="1">
      <c r="A563" s="916"/>
      <c r="B563" s="1123"/>
      <c r="C563" s="1127"/>
      <c r="D563" s="1125"/>
      <c r="E563" s="1125"/>
      <c r="F563" s="1130"/>
      <c r="G563" s="95"/>
      <c r="H563" s="823"/>
      <c r="I563" s="1125"/>
      <c r="J563" s="1134"/>
      <c r="K563" s="1134"/>
      <c r="L563" s="916"/>
    </row>
    <row r="564" spans="1:12" s="103" customFormat="1" ht="15.75" hidden="1" customHeight="1" outlineLevel="1">
      <c r="A564" s="916"/>
      <c r="B564" s="1124"/>
      <c r="C564" s="1128"/>
      <c r="D564" s="1126"/>
      <c r="E564" s="1126"/>
      <c r="F564" s="1132"/>
      <c r="G564" s="100"/>
      <c r="H564" s="824"/>
      <c r="I564" s="1126"/>
      <c r="J564" s="1135"/>
      <c r="K564" s="1135"/>
      <c r="L564" s="916"/>
    </row>
    <row r="565" spans="1:12" s="103" customFormat="1" ht="15.75" hidden="1" customHeight="1" outlineLevel="1">
      <c r="A565" s="916"/>
      <c r="B565" s="1123">
        <v>185</v>
      </c>
      <c r="C565" s="1127"/>
      <c r="D565" s="1125"/>
      <c r="E565" s="1125" t="s">
        <v>18</v>
      </c>
      <c r="F565" s="1130" t="str">
        <f>VLOOKUP(E565,$N$13:$O$17,2,0)</f>
        <v>-</v>
      </c>
      <c r="G565" s="92"/>
      <c r="H565" s="823"/>
      <c r="I565" s="1125"/>
      <c r="J565" s="1133"/>
      <c r="K565" s="1133"/>
      <c r="L565" s="916"/>
    </row>
    <row r="566" spans="1:12" s="103" customFormat="1" ht="15.75" hidden="1" customHeight="1" outlineLevel="1">
      <c r="A566" s="916"/>
      <c r="B566" s="1123"/>
      <c r="C566" s="1127"/>
      <c r="D566" s="1125"/>
      <c r="E566" s="1125"/>
      <c r="F566" s="1130"/>
      <c r="G566" s="95"/>
      <c r="H566" s="823"/>
      <c r="I566" s="1125"/>
      <c r="J566" s="1134"/>
      <c r="K566" s="1134"/>
      <c r="L566" s="916"/>
    </row>
    <row r="567" spans="1:12" s="103" customFormat="1" ht="15.75" hidden="1" customHeight="1" outlineLevel="1">
      <c r="A567" s="916"/>
      <c r="B567" s="1124"/>
      <c r="C567" s="1128"/>
      <c r="D567" s="1126"/>
      <c r="E567" s="1126"/>
      <c r="F567" s="1132"/>
      <c r="G567" s="100"/>
      <c r="H567" s="824"/>
      <c r="I567" s="1126"/>
      <c r="J567" s="1135"/>
      <c r="K567" s="1135"/>
      <c r="L567" s="916"/>
    </row>
    <row r="568" spans="1:12" s="103" customFormat="1" ht="15.75" hidden="1" customHeight="1" outlineLevel="1">
      <c r="A568" s="916"/>
      <c r="B568" s="1123">
        <v>186</v>
      </c>
      <c r="C568" s="1127"/>
      <c r="D568" s="1125"/>
      <c r="E568" s="1125" t="s">
        <v>18</v>
      </c>
      <c r="F568" s="1130" t="str">
        <f>VLOOKUP(E568,$N$13:$O$17,2,0)</f>
        <v>-</v>
      </c>
      <c r="G568" s="92"/>
      <c r="H568" s="823"/>
      <c r="I568" s="1125"/>
      <c r="J568" s="1133"/>
      <c r="K568" s="1133"/>
      <c r="L568" s="916"/>
    </row>
    <row r="569" spans="1:12" s="103" customFormat="1" ht="15.75" hidden="1" customHeight="1" outlineLevel="1">
      <c r="A569" s="916"/>
      <c r="B569" s="1123"/>
      <c r="C569" s="1127"/>
      <c r="D569" s="1125"/>
      <c r="E569" s="1125"/>
      <c r="F569" s="1130"/>
      <c r="G569" s="95"/>
      <c r="H569" s="823"/>
      <c r="I569" s="1125"/>
      <c r="J569" s="1134"/>
      <c r="K569" s="1134"/>
      <c r="L569" s="916"/>
    </row>
    <row r="570" spans="1:12" s="103" customFormat="1" ht="15.75" hidden="1" customHeight="1" outlineLevel="1">
      <c r="A570" s="916"/>
      <c r="B570" s="1124"/>
      <c r="C570" s="1128"/>
      <c r="D570" s="1126"/>
      <c r="E570" s="1126"/>
      <c r="F570" s="1132"/>
      <c r="G570" s="100"/>
      <c r="H570" s="824"/>
      <c r="I570" s="1126"/>
      <c r="J570" s="1135"/>
      <c r="K570" s="1135"/>
      <c r="L570" s="916"/>
    </row>
    <row r="571" spans="1:12" s="103" customFormat="1" ht="15.75" hidden="1" customHeight="1" outlineLevel="1">
      <c r="A571" s="916"/>
      <c r="B571" s="1123">
        <v>187</v>
      </c>
      <c r="C571" s="1127"/>
      <c r="D571" s="1125"/>
      <c r="E571" s="1125" t="s">
        <v>18</v>
      </c>
      <c r="F571" s="1130" t="str">
        <f>VLOOKUP(E571,$N$13:$O$17,2,0)</f>
        <v>-</v>
      </c>
      <c r="G571" s="92"/>
      <c r="H571" s="823"/>
      <c r="I571" s="1125"/>
      <c r="J571" s="1133"/>
      <c r="K571" s="1133"/>
      <c r="L571" s="916"/>
    </row>
    <row r="572" spans="1:12" s="103" customFormat="1" ht="15.75" hidden="1" customHeight="1" outlineLevel="1">
      <c r="A572" s="916"/>
      <c r="B572" s="1123"/>
      <c r="C572" s="1127"/>
      <c r="D572" s="1125"/>
      <c r="E572" s="1125"/>
      <c r="F572" s="1130"/>
      <c r="G572" s="95"/>
      <c r="H572" s="823"/>
      <c r="I572" s="1125"/>
      <c r="J572" s="1134"/>
      <c r="K572" s="1134"/>
      <c r="L572" s="916"/>
    </row>
    <row r="573" spans="1:12" s="103" customFormat="1" ht="15.75" hidden="1" customHeight="1" outlineLevel="1">
      <c r="A573" s="916"/>
      <c r="B573" s="1124"/>
      <c r="C573" s="1128"/>
      <c r="D573" s="1126"/>
      <c r="E573" s="1126"/>
      <c r="F573" s="1132"/>
      <c r="G573" s="100"/>
      <c r="H573" s="824"/>
      <c r="I573" s="1126"/>
      <c r="J573" s="1135"/>
      <c r="K573" s="1135"/>
      <c r="L573" s="916"/>
    </row>
    <row r="574" spans="1:12" s="103" customFormat="1" ht="15.75" hidden="1" customHeight="1" outlineLevel="1">
      <c r="A574" s="916"/>
      <c r="B574" s="1123">
        <v>188</v>
      </c>
      <c r="C574" s="1127"/>
      <c r="D574" s="1125"/>
      <c r="E574" s="1125" t="s">
        <v>18</v>
      </c>
      <c r="F574" s="1130" t="str">
        <f>VLOOKUP(E574,$N$13:$O$17,2,0)</f>
        <v>-</v>
      </c>
      <c r="G574" s="92"/>
      <c r="H574" s="823"/>
      <c r="I574" s="1125"/>
      <c r="J574" s="1133"/>
      <c r="K574" s="1133"/>
      <c r="L574" s="916"/>
    </row>
    <row r="575" spans="1:12" s="103" customFormat="1" ht="15.75" hidden="1" customHeight="1" outlineLevel="1">
      <c r="A575" s="916"/>
      <c r="B575" s="1123"/>
      <c r="C575" s="1127"/>
      <c r="D575" s="1125"/>
      <c r="E575" s="1125"/>
      <c r="F575" s="1130"/>
      <c r="G575" s="95"/>
      <c r="H575" s="823"/>
      <c r="I575" s="1125"/>
      <c r="J575" s="1134"/>
      <c r="K575" s="1134"/>
      <c r="L575" s="916"/>
    </row>
    <row r="576" spans="1:12" s="103" customFormat="1" ht="15.75" hidden="1" customHeight="1" outlineLevel="1">
      <c r="A576" s="916"/>
      <c r="B576" s="1124"/>
      <c r="C576" s="1128"/>
      <c r="D576" s="1126"/>
      <c r="E576" s="1126"/>
      <c r="F576" s="1132"/>
      <c r="G576" s="100"/>
      <c r="H576" s="824"/>
      <c r="I576" s="1126"/>
      <c r="J576" s="1135"/>
      <c r="K576" s="1135"/>
      <c r="L576" s="916"/>
    </row>
    <row r="577" spans="1:12" s="103" customFormat="1" ht="15.75" hidden="1" customHeight="1" outlineLevel="1">
      <c r="A577" s="916"/>
      <c r="B577" s="1123">
        <v>189</v>
      </c>
      <c r="C577" s="1127"/>
      <c r="D577" s="1125"/>
      <c r="E577" s="1125" t="s">
        <v>18</v>
      </c>
      <c r="F577" s="1130" t="str">
        <f>VLOOKUP(E577,$N$13:$O$17,2,0)</f>
        <v>-</v>
      </c>
      <c r="G577" s="92"/>
      <c r="H577" s="823"/>
      <c r="I577" s="1125"/>
      <c r="J577" s="1133"/>
      <c r="K577" s="1133"/>
      <c r="L577" s="916"/>
    </row>
    <row r="578" spans="1:12" s="103" customFormat="1" ht="15.75" hidden="1" customHeight="1" outlineLevel="1">
      <c r="A578" s="916"/>
      <c r="B578" s="1123"/>
      <c r="C578" s="1127"/>
      <c r="D578" s="1125"/>
      <c r="E578" s="1125"/>
      <c r="F578" s="1130"/>
      <c r="G578" s="95"/>
      <c r="H578" s="823"/>
      <c r="I578" s="1125"/>
      <c r="J578" s="1134"/>
      <c r="K578" s="1134"/>
      <c r="L578" s="916"/>
    </row>
    <row r="579" spans="1:12" s="103" customFormat="1" ht="15.75" hidden="1" customHeight="1" outlineLevel="1">
      <c r="A579" s="916"/>
      <c r="B579" s="1124"/>
      <c r="C579" s="1128"/>
      <c r="D579" s="1126"/>
      <c r="E579" s="1126"/>
      <c r="F579" s="1132"/>
      <c r="G579" s="100"/>
      <c r="H579" s="824"/>
      <c r="I579" s="1126"/>
      <c r="J579" s="1135"/>
      <c r="K579" s="1135"/>
      <c r="L579" s="916"/>
    </row>
    <row r="580" spans="1:12" s="103" customFormat="1" ht="15.75" hidden="1" customHeight="1" outlineLevel="1">
      <c r="A580" s="916"/>
      <c r="B580" s="1123">
        <v>190</v>
      </c>
      <c r="C580" s="1127"/>
      <c r="D580" s="1125"/>
      <c r="E580" s="1125" t="s">
        <v>18</v>
      </c>
      <c r="F580" s="1130" t="str">
        <f>VLOOKUP(E580,$N$13:$O$17,2,0)</f>
        <v>-</v>
      </c>
      <c r="G580" s="92"/>
      <c r="H580" s="823"/>
      <c r="I580" s="1125"/>
      <c r="J580" s="1133"/>
      <c r="K580" s="1133"/>
      <c r="L580" s="916"/>
    </row>
    <row r="581" spans="1:12" s="103" customFormat="1" ht="15.75" hidden="1" customHeight="1" outlineLevel="1">
      <c r="A581" s="916"/>
      <c r="B581" s="1123"/>
      <c r="C581" s="1127"/>
      <c r="D581" s="1125"/>
      <c r="E581" s="1125"/>
      <c r="F581" s="1130"/>
      <c r="G581" s="95"/>
      <c r="H581" s="823"/>
      <c r="I581" s="1125"/>
      <c r="J581" s="1134"/>
      <c r="K581" s="1134"/>
      <c r="L581" s="916"/>
    </row>
    <row r="582" spans="1:12" s="103" customFormat="1" ht="15.75" hidden="1" customHeight="1" outlineLevel="1">
      <c r="A582" s="916"/>
      <c r="B582" s="1124"/>
      <c r="C582" s="1128"/>
      <c r="D582" s="1126"/>
      <c r="E582" s="1126"/>
      <c r="F582" s="1132"/>
      <c r="G582" s="100"/>
      <c r="H582" s="824"/>
      <c r="I582" s="1126"/>
      <c r="J582" s="1135"/>
      <c r="K582" s="1135"/>
      <c r="L582" s="916"/>
    </row>
    <row r="583" spans="1:12" s="103" customFormat="1" ht="15.75" hidden="1" customHeight="1" outlineLevel="1">
      <c r="A583" s="916"/>
      <c r="B583" s="1123">
        <v>191</v>
      </c>
      <c r="C583" s="1127"/>
      <c r="D583" s="1125"/>
      <c r="E583" s="1125" t="s">
        <v>18</v>
      </c>
      <c r="F583" s="1130" t="str">
        <f>VLOOKUP(E583,$N$13:$O$17,2,0)</f>
        <v>-</v>
      </c>
      <c r="G583" s="92"/>
      <c r="H583" s="823"/>
      <c r="I583" s="1125"/>
      <c r="J583" s="1133"/>
      <c r="K583" s="1133"/>
      <c r="L583" s="916"/>
    </row>
    <row r="584" spans="1:12" s="103" customFormat="1" ht="15.75" hidden="1" customHeight="1" outlineLevel="1">
      <c r="A584" s="916"/>
      <c r="B584" s="1123"/>
      <c r="C584" s="1127"/>
      <c r="D584" s="1125"/>
      <c r="E584" s="1125"/>
      <c r="F584" s="1130"/>
      <c r="G584" s="95"/>
      <c r="H584" s="823"/>
      <c r="I584" s="1125"/>
      <c r="J584" s="1134"/>
      <c r="K584" s="1134"/>
      <c r="L584" s="916"/>
    </row>
    <row r="585" spans="1:12" s="103" customFormat="1" ht="15.75" hidden="1" customHeight="1" outlineLevel="1">
      <c r="A585" s="916"/>
      <c r="B585" s="1124"/>
      <c r="C585" s="1128"/>
      <c r="D585" s="1126"/>
      <c r="E585" s="1126"/>
      <c r="F585" s="1132"/>
      <c r="G585" s="100"/>
      <c r="H585" s="824"/>
      <c r="I585" s="1126"/>
      <c r="J585" s="1135"/>
      <c r="K585" s="1135"/>
      <c r="L585" s="916"/>
    </row>
    <row r="586" spans="1:12" s="103" customFormat="1" ht="15.75" hidden="1" customHeight="1" outlineLevel="1">
      <c r="A586" s="916"/>
      <c r="B586" s="1123">
        <v>192</v>
      </c>
      <c r="C586" s="1127"/>
      <c r="D586" s="1125"/>
      <c r="E586" s="1125" t="s">
        <v>18</v>
      </c>
      <c r="F586" s="1130" t="str">
        <f>VLOOKUP(E586,$N$13:$O$17,2,0)</f>
        <v>-</v>
      </c>
      <c r="G586" s="92"/>
      <c r="H586" s="823"/>
      <c r="I586" s="1125"/>
      <c r="J586" s="1133"/>
      <c r="K586" s="1133"/>
      <c r="L586" s="916"/>
    </row>
    <row r="587" spans="1:12" s="103" customFormat="1" ht="15.75" hidden="1" customHeight="1" outlineLevel="1">
      <c r="A587" s="916"/>
      <c r="B587" s="1123"/>
      <c r="C587" s="1127"/>
      <c r="D587" s="1125"/>
      <c r="E587" s="1125"/>
      <c r="F587" s="1130"/>
      <c r="G587" s="95"/>
      <c r="H587" s="823"/>
      <c r="I587" s="1125"/>
      <c r="J587" s="1134"/>
      <c r="K587" s="1134"/>
      <c r="L587" s="916"/>
    </row>
    <row r="588" spans="1:12" s="103" customFormat="1" ht="15.75" hidden="1" customHeight="1" outlineLevel="1">
      <c r="A588" s="916"/>
      <c r="B588" s="1124"/>
      <c r="C588" s="1128"/>
      <c r="D588" s="1126"/>
      <c r="E588" s="1126"/>
      <c r="F588" s="1132"/>
      <c r="G588" s="100"/>
      <c r="H588" s="824"/>
      <c r="I588" s="1126"/>
      <c r="J588" s="1135"/>
      <c r="K588" s="1135"/>
      <c r="L588" s="916"/>
    </row>
    <row r="589" spans="1:12" s="103" customFormat="1" ht="15.75" hidden="1" customHeight="1" outlineLevel="1">
      <c r="A589" s="916"/>
      <c r="B589" s="1123">
        <v>193</v>
      </c>
      <c r="C589" s="1127"/>
      <c r="D589" s="1125"/>
      <c r="E589" s="1125" t="s">
        <v>18</v>
      </c>
      <c r="F589" s="1130" t="str">
        <f>VLOOKUP(E589,$N$13:$O$17,2,0)</f>
        <v>-</v>
      </c>
      <c r="G589" s="92"/>
      <c r="H589" s="823"/>
      <c r="I589" s="1125"/>
      <c r="J589" s="1133"/>
      <c r="K589" s="1133"/>
      <c r="L589" s="916"/>
    </row>
    <row r="590" spans="1:12" s="103" customFormat="1" ht="15.75" hidden="1" customHeight="1" outlineLevel="1">
      <c r="A590" s="916"/>
      <c r="B590" s="1123"/>
      <c r="C590" s="1127"/>
      <c r="D590" s="1125"/>
      <c r="E590" s="1125"/>
      <c r="F590" s="1130"/>
      <c r="G590" s="95"/>
      <c r="H590" s="823"/>
      <c r="I590" s="1125"/>
      <c r="J590" s="1134"/>
      <c r="K590" s="1134"/>
      <c r="L590" s="916"/>
    </row>
    <row r="591" spans="1:12" s="103" customFormat="1" ht="15.75" hidden="1" customHeight="1" outlineLevel="1">
      <c r="A591" s="916"/>
      <c r="B591" s="1124"/>
      <c r="C591" s="1128"/>
      <c r="D591" s="1126"/>
      <c r="E591" s="1126"/>
      <c r="F591" s="1132"/>
      <c r="G591" s="100"/>
      <c r="H591" s="824"/>
      <c r="I591" s="1126"/>
      <c r="J591" s="1135"/>
      <c r="K591" s="1135"/>
      <c r="L591" s="916"/>
    </row>
    <row r="592" spans="1:12" s="103" customFormat="1" ht="15.75" hidden="1" customHeight="1" outlineLevel="1">
      <c r="A592" s="916"/>
      <c r="B592" s="1123">
        <v>194</v>
      </c>
      <c r="C592" s="1127"/>
      <c r="D592" s="1125"/>
      <c r="E592" s="1125" t="s">
        <v>18</v>
      </c>
      <c r="F592" s="1130" t="str">
        <f>VLOOKUP(E592,$N$13:$O$17,2,0)</f>
        <v>-</v>
      </c>
      <c r="G592" s="92"/>
      <c r="H592" s="823"/>
      <c r="I592" s="1125"/>
      <c r="J592" s="1133"/>
      <c r="K592" s="1133"/>
      <c r="L592" s="916"/>
    </row>
    <row r="593" spans="1:12" s="103" customFormat="1" ht="15.75" hidden="1" customHeight="1" outlineLevel="1">
      <c r="A593" s="916"/>
      <c r="B593" s="1123"/>
      <c r="C593" s="1127"/>
      <c r="D593" s="1125"/>
      <c r="E593" s="1125"/>
      <c r="F593" s="1130"/>
      <c r="G593" s="95"/>
      <c r="H593" s="823"/>
      <c r="I593" s="1125"/>
      <c r="J593" s="1134"/>
      <c r="K593" s="1134"/>
      <c r="L593" s="916"/>
    </row>
    <row r="594" spans="1:12" s="103" customFormat="1" ht="15.75" hidden="1" customHeight="1" outlineLevel="1">
      <c r="A594" s="916"/>
      <c r="B594" s="1124"/>
      <c r="C594" s="1128"/>
      <c r="D594" s="1126"/>
      <c r="E594" s="1126"/>
      <c r="F594" s="1132"/>
      <c r="G594" s="100"/>
      <c r="H594" s="824"/>
      <c r="I594" s="1126"/>
      <c r="J594" s="1135"/>
      <c r="K594" s="1135"/>
      <c r="L594" s="916"/>
    </row>
    <row r="595" spans="1:12" s="103" customFormat="1" ht="15.75" hidden="1" customHeight="1" outlineLevel="1">
      <c r="A595" s="916"/>
      <c r="B595" s="1123">
        <v>195</v>
      </c>
      <c r="C595" s="1127"/>
      <c r="D595" s="1125"/>
      <c r="E595" s="1125" t="s">
        <v>18</v>
      </c>
      <c r="F595" s="1130" t="str">
        <f>VLOOKUP(E595,$N$13:$O$17,2,0)</f>
        <v>-</v>
      </c>
      <c r="G595" s="92"/>
      <c r="H595" s="823"/>
      <c r="I595" s="1125"/>
      <c r="J595" s="1133"/>
      <c r="K595" s="1133"/>
      <c r="L595" s="916"/>
    </row>
    <row r="596" spans="1:12" s="103" customFormat="1" ht="15.75" hidden="1" customHeight="1" outlineLevel="1">
      <c r="A596" s="916"/>
      <c r="B596" s="1123"/>
      <c r="C596" s="1127"/>
      <c r="D596" s="1125"/>
      <c r="E596" s="1125"/>
      <c r="F596" s="1130"/>
      <c r="G596" s="95"/>
      <c r="H596" s="823"/>
      <c r="I596" s="1125"/>
      <c r="J596" s="1134"/>
      <c r="K596" s="1134"/>
      <c r="L596" s="916"/>
    </row>
    <row r="597" spans="1:12" s="103" customFormat="1" ht="15.75" hidden="1" customHeight="1" outlineLevel="1">
      <c r="A597" s="916"/>
      <c r="B597" s="1124"/>
      <c r="C597" s="1128"/>
      <c r="D597" s="1126"/>
      <c r="E597" s="1126"/>
      <c r="F597" s="1132"/>
      <c r="G597" s="100"/>
      <c r="H597" s="824"/>
      <c r="I597" s="1126"/>
      <c r="J597" s="1135"/>
      <c r="K597" s="1135"/>
      <c r="L597" s="916"/>
    </row>
    <row r="598" spans="1:12" s="103" customFormat="1" ht="15.75" hidden="1" customHeight="1" outlineLevel="1">
      <c r="A598" s="916"/>
      <c r="B598" s="1123">
        <v>196</v>
      </c>
      <c r="C598" s="1127"/>
      <c r="D598" s="1125"/>
      <c r="E598" s="1125" t="s">
        <v>18</v>
      </c>
      <c r="F598" s="1130" t="str">
        <f>VLOOKUP(E598,$N$13:$O$17,2,0)</f>
        <v>-</v>
      </c>
      <c r="G598" s="92"/>
      <c r="H598" s="823"/>
      <c r="I598" s="1125"/>
      <c r="J598" s="1133"/>
      <c r="K598" s="1133"/>
      <c r="L598" s="916"/>
    </row>
    <row r="599" spans="1:12" s="103" customFormat="1" ht="15.75" hidden="1" customHeight="1" outlineLevel="1">
      <c r="A599" s="916"/>
      <c r="B599" s="1123"/>
      <c r="C599" s="1127"/>
      <c r="D599" s="1125"/>
      <c r="E599" s="1125"/>
      <c r="F599" s="1130"/>
      <c r="G599" s="95"/>
      <c r="H599" s="823"/>
      <c r="I599" s="1125"/>
      <c r="J599" s="1134"/>
      <c r="K599" s="1134"/>
      <c r="L599" s="916"/>
    </row>
    <row r="600" spans="1:12" s="103" customFormat="1" ht="15.75" hidden="1" customHeight="1" outlineLevel="1">
      <c r="A600" s="916"/>
      <c r="B600" s="1124"/>
      <c r="C600" s="1128"/>
      <c r="D600" s="1126"/>
      <c r="E600" s="1126"/>
      <c r="F600" s="1132"/>
      <c r="G600" s="100"/>
      <c r="H600" s="824"/>
      <c r="I600" s="1126"/>
      <c r="J600" s="1135"/>
      <c r="K600" s="1135"/>
      <c r="L600" s="916"/>
    </row>
    <row r="601" spans="1:12" s="103" customFormat="1" ht="15.75" hidden="1" customHeight="1" outlineLevel="1">
      <c r="A601" s="916"/>
      <c r="B601" s="1123">
        <v>197</v>
      </c>
      <c r="C601" s="1127"/>
      <c r="D601" s="1125"/>
      <c r="E601" s="1125" t="s">
        <v>18</v>
      </c>
      <c r="F601" s="1130" t="str">
        <f>VLOOKUP(E601,$N$13:$O$17,2,0)</f>
        <v>-</v>
      </c>
      <c r="G601" s="92"/>
      <c r="H601" s="823"/>
      <c r="I601" s="1125"/>
      <c r="J601" s="1133"/>
      <c r="K601" s="1133"/>
      <c r="L601" s="916"/>
    </row>
    <row r="602" spans="1:12" s="103" customFormat="1" ht="15.75" hidden="1" customHeight="1" outlineLevel="1">
      <c r="A602" s="916"/>
      <c r="B602" s="1123"/>
      <c r="C602" s="1127"/>
      <c r="D602" s="1125"/>
      <c r="E602" s="1125"/>
      <c r="F602" s="1130"/>
      <c r="G602" s="95"/>
      <c r="H602" s="823"/>
      <c r="I602" s="1125"/>
      <c r="J602" s="1134"/>
      <c r="K602" s="1134"/>
      <c r="L602" s="916"/>
    </row>
    <row r="603" spans="1:12" s="103" customFormat="1" ht="15.75" hidden="1" customHeight="1" outlineLevel="1">
      <c r="A603" s="916"/>
      <c r="B603" s="1124"/>
      <c r="C603" s="1128"/>
      <c r="D603" s="1126"/>
      <c r="E603" s="1126"/>
      <c r="F603" s="1132"/>
      <c r="G603" s="100"/>
      <c r="H603" s="824"/>
      <c r="I603" s="1126"/>
      <c r="J603" s="1135"/>
      <c r="K603" s="1135"/>
      <c r="L603" s="916"/>
    </row>
    <row r="604" spans="1:12" s="103" customFormat="1" ht="15.75" hidden="1" customHeight="1" outlineLevel="1">
      <c r="A604" s="916"/>
      <c r="B604" s="1123">
        <v>198</v>
      </c>
      <c r="C604" s="1127"/>
      <c r="D604" s="1125"/>
      <c r="E604" s="1125" t="s">
        <v>18</v>
      </c>
      <c r="F604" s="1130" t="str">
        <f>VLOOKUP(E604,$N$13:$O$17,2,0)</f>
        <v>-</v>
      </c>
      <c r="G604" s="92"/>
      <c r="H604" s="823"/>
      <c r="I604" s="1125"/>
      <c r="J604" s="1133"/>
      <c r="K604" s="1133"/>
      <c r="L604" s="916"/>
    </row>
    <row r="605" spans="1:12" s="103" customFormat="1" ht="15.75" hidden="1" customHeight="1" outlineLevel="1">
      <c r="A605" s="916"/>
      <c r="B605" s="1123"/>
      <c r="C605" s="1127"/>
      <c r="D605" s="1125"/>
      <c r="E605" s="1125"/>
      <c r="F605" s="1130"/>
      <c r="G605" s="95"/>
      <c r="H605" s="823"/>
      <c r="I605" s="1125"/>
      <c r="J605" s="1134"/>
      <c r="K605" s="1134"/>
      <c r="L605" s="916"/>
    </row>
    <row r="606" spans="1:12" s="103" customFormat="1" ht="15.75" hidden="1" customHeight="1" outlineLevel="1">
      <c r="A606" s="916"/>
      <c r="B606" s="1124"/>
      <c r="C606" s="1128"/>
      <c r="D606" s="1126"/>
      <c r="E606" s="1126"/>
      <c r="F606" s="1132"/>
      <c r="G606" s="100"/>
      <c r="H606" s="824"/>
      <c r="I606" s="1126"/>
      <c r="J606" s="1135"/>
      <c r="K606" s="1135"/>
      <c r="L606" s="916"/>
    </row>
    <row r="607" spans="1:12" s="103" customFormat="1" ht="15.75" hidden="1" customHeight="1" outlineLevel="1">
      <c r="A607" s="916"/>
      <c r="B607" s="1123">
        <v>199</v>
      </c>
      <c r="C607" s="1127"/>
      <c r="D607" s="1125"/>
      <c r="E607" s="1125" t="s">
        <v>18</v>
      </c>
      <c r="F607" s="1130" t="str">
        <f>VLOOKUP(E607,$N$13:$O$17,2,0)</f>
        <v>-</v>
      </c>
      <c r="G607" s="92"/>
      <c r="H607" s="823"/>
      <c r="I607" s="1125"/>
      <c r="J607" s="1133"/>
      <c r="K607" s="1133"/>
      <c r="L607" s="916"/>
    </row>
    <row r="608" spans="1:12" s="103" customFormat="1" ht="15.75" hidden="1" customHeight="1" outlineLevel="1">
      <c r="A608" s="916"/>
      <c r="B608" s="1123"/>
      <c r="C608" s="1127"/>
      <c r="D608" s="1125"/>
      <c r="E608" s="1125"/>
      <c r="F608" s="1130"/>
      <c r="G608" s="95"/>
      <c r="H608" s="823"/>
      <c r="I608" s="1125"/>
      <c r="J608" s="1134"/>
      <c r="K608" s="1134"/>
      <c r="L608" s="916"/>
    </row>
    <row r="609" spans="1:12" s="103" customFormat="1" ht="15.75" hidden="1" customHeight="1" outlineLevel="1">
      <c r="A609" s="916"/>
      <c r="B609" s="1124"/>
      <c r="C609" s="1128"/>
      <c r="D609" s="1126"/>
      <c r="E609" s="1126"/>
      <c r="F609" s="1132"/>
      <c r="G609" s="100"/>
      <c r="H609" s="824"/>
      <c r="I609" s="1126"/>
      <c r="J609" s="1135"/>
      <c r="K609" s="1135"/>
      <c r="L609" s="916"/>
    </row>
    <row r="610" spans="1:12" s="103" customFormat="1" ht="15.75" hidden="1" customHeight="1" outlineLevel="1">
      <c r="A610" s="916"/>
      <c r="B610" s="1123">
        <v>200</v>
      </c>
      <c r="C610" s="1149" t="e">
        <f>CONCATENATE("Inne ",IF(#REF!=0,0,ROUND(#REF!/#REF!*100,1))," %")</f>
        <v>#REF!</v>
      </c>
      <c r="D610" s="1125"/>
      <c r="E610" s="1125" t="s">
        <v>18</v>
      </c>
      <c r="F610" s="1130" t="str">
        <f>VLOOKUP(E610,$N$13:$O$17,2,0)</f>
        <v>-</v>
      </c>
      <c r="G610" s="92"/>
      <c r="H610" s="823"/>
      <c r="I610" s="1125"/>
      <c r="J610" s="1133"/>
      <c r="K610" s="1133"/>
      <c r="L610" s="916"/>
    </row>
    <row r="611" spans="1:12" s="103" customFormat="1" ht="15.75" hidden="1" customHeight="1" outlineLevel="1">
      <c r="A611" s="916"/>
      <c r="B611" s="1123"/>
      <c r="C611" s="1150"/>
      <c r="D611" s="1125"/>
      <c r="E611" s="1125"/>
      <c r="F611" s="1130"/>
      <c r="G611" s="95"/>
      <c r="H611" s="823"/>
      <c r="I611" s="1125"/>
      <c r="J611" s="1134"/>
      <c r="K611" s="1134"/>
      <c r="L611" s="916"/>
    </row>
    <row r="612" spans="1:12" s="103" customFormat="1" ht="15.75" hidden="1" customHeight="1" outlineLevel="1" thickBot="1">
      <c r="A612" s="916"/>
      <c r="B612" s="1124"/>
      <c r="C612" s="1151"/>
      <c r="D612" s="1126"/>
      <c r="E612" s="1126"/>
      <c r="F612" s="1132"/>
      <c r="G612" s="100"/>
      <c r="H612" s="824"/>
      <c r="I612" s="1126"/>
      <c r="J612" s="1135"/>
      <c r="K612" s="1135"/>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45"/>
      <c r="G621" s="1146"/>
      <c r="H621" s="1146"/>
      <c r="I621" s="1146"/>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612" xr:uid="{00000000-0002-0000-1100-000000000000}">
      <formula1>$N$13:$N$17</formula1>
    </dataValidation>
  </dataValidations>
  <hyperlinks>
    <hyperlink ref="C1" location="Spis!B41" display="&gt;&gt; powrót do spisu treści" xr:uid="{00000000-0004-0000-11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70">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19" width="10.77734375" style="78" customWidth="1"/>
    <col min="20"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47" t="s">
        <v>19</v>
      </c>
      <c r="D3" s="1147"/>
      <c r="E3" s="1147"/>
      <c r="F3" s="1147"/>
      <c r="G3" s="1147"/>
      <c r="H3" s="1148"/>
      <c r="I3" s="903"/>
      <c r="J3" s="880"/>
      <c r="K3" s="880"/>
      <c r="L3" s="880"/>
    </row>
    <row r="4" spans="1:19" ht="15" customHeight="1">
      <c r="A4" s="898"/>
      <c r="B4" s="915" t="s">
        <v>27</v>
      </c>
      <c r="C4" s="1147" t="s">
        <v>177</v>
      </c>
      <c r="D4" s="1147"/>
      <c r="E4" s="1147"/>
      <c r="F4" s="1147"/>
      <c r="G4" s="1147"/>
      <c r="H4" s="1148"/>
      <c r="I4" s="903"/>
      <c r="J4" s="880"/>
      <c r="K4" s="880"/>
      <c r="L4" s="880"/>
    </row>
    <row r="5" spans="1:19" ht="15" customHeight="1">
      <c r="A5" s="880"/>
      <c r="B5" s="897" t="s">
        <v>28</v>
      </c>
      <c r="C5" s="1116" t="s">
        <v>104</v>
      </c>
      <c r="D5" s="1116"/>
      <c r="E5" s="1116"/>
      <c r="F5" s="1116"/>
      <c r="G5" s="1116"/>
      <c r="H5" s="1148"/>
      <c r="I5" s="903"/>
      <c r="J5" s="880"/>
      <c r="K5" s="880"/>
      <c r="L5" s="880"/>
    </row>
    <row r="6" spans="1:19" ht="50.1" customHeight="1">
      <c r="A6" s="880"/>
      <c r="B6" s="897" t="s">
        <v>35</v>
      </c>
      <c r="C6" s="1116" t="s">
        <v>175</v>
      </c>
      <c r="D6" s="1120"/>
      <c r="E6" s="1120"/>
      <c r="F6" s="1120"/>
      <c r="G6" s="1120"/>
      <c r="H6" s="1148"/>
      <c r="I6" s="903"/>
      <c r="J6" s="880"/>
      <c r="K6" s="880"/>
      <c r="L6" s="880"/>
    </row>
    <row r="7" spans="1:19" s="79" customFormat="1" ht="30" customHeight="1" thickBot="1">
      <c r="A7" s="907"/>
      <c r="B7" s="908" t="s">
        <v>253</v>
      </c>
      <c r="C7" s="907"/>
      <c r="D7" s="909"/>
      <c r="E7" s="907"/>
      <c r="F7" s="910"/>
      <c r="G7" s="911"/>
      <c r="H7" s="912"/>
      <c r="I7" s="912"/>
      <c r="J7" s="913"/>
      <c r="K7" s="913"/>
      <c r="L7" s="913"/>
      <c r="M7" s="81"/>
    </row>
    <row r="8" spans="1:19"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c r="P8" s="76"/>
      <c r="Q8" s="76"/>
      <c r="R8" s="76"/>
      <c r="S8" s="76"/>
    </row>
    <row r="9" spans="1:19" ht="20.100000000000001" customHeight="1" thickBot="1">
      <c r="A9" s="880"/>
      <c r="B9" s="1152"/>
      <c r="C9" s="1106"/>
      <c r="D9" s="1106"/>
      <c r="E9" s="1106"/>
      <c r="F9" s="1106"/>
      <c r="G9" s="1106"/>
      <c r="H9" s="1106"/>
      <c r="I9" s="1103"/>
      <c r="J9" s="628">
        <f>Rok_ZPR</f>
        <v>2023</v>
      </c>
      <c r="K9" s="1102"/>
      <c r="L9" s="860"/>
      <c r="M9" s="84"/>
      <c r="N9" s="76"/>
      <c r="O9" s="76"/>
      <c r="P9" s="76"/>
      <c r="Q9" s="76"/>
      <c r="R9" s="76"/>
      <c r="S9" s="76"/>
    </row>
    <row r="10" spans="1:19" ht="20.100000000000001" customHeight="1">
      <c r="A10" s="880"/>
      <c r="B10" s="1152"/>
      <c r="C10" s="1106"/>
      <c r="D10" s="1106"/>
      <c r="E10" s="1106"/>
      <c r="F10" s="1106"/>
      <c r="G10" s="1106"/>
      <c r="H10" s="1106"/>
      <c r="I10" s="1104"/>
      <c r="J10" s="628" t="str">
        <f>'Tab.G1.1-4'!$D$11</f>
        <v>[tys. zł]</v>
      </c>
      <c r="K10" s="1102"/>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row>
    <row r="14" spans="1:19" s="82" customFormat="1" ht="12.75" customHeight="1">
      <c r="A14" s="900"/>
      <c r="B14" s="1123"/>
      <c r="C14" s="1153"/>
      <c r="D14" s="1125"/>
      <c r="E14" s="1125"/>
      <c r="F14" s="1130"/>
      <c r="G14" s="95"/>
      <c r="H14" s="1125"/>
      <c r="I14" s="1125"/>
      <c r="J14" s="1134"/>
      <c r="K14" s="1134"/>
      <c r="L14" s="892"/>
      <c r="M14" s="86"/>
      <c r="N14" s="96" t="s">
        <v>22</v>
      </c>
      <c r="O14" s="97" t="s">
        <v>59</v>
      </c>
    </row>
    <row r="15" spans="1:19" s="82" customFormat="1" ht="12.75" customHeight="1">
      <c r="A15" s="900"/>
      <c r="B15" s="1124"/>
      <c r="C15" s="1154"/>
      <c r="D15" s="1126"/>
      <c r="E15" s="1126"/>
      <c r="F15" s="1132"/>
      <c r="G15" s="100"/>
      <c r="H15" s="1126"/>
      <c r="I15" s="1126"/>
      <c r="J15" s="1135"/>
      <c r="K15" s="1135"/>
      <c r="L15" s="892"/>
      <c r="M15" s="86"/>
      <c r="N15" s="96" t="s">
        <v>23</v>
      </c>
      <c r="O15" s="97" t="s">
        <v>24</v>
      </c>
    </row>
    <row r="16" spans="1:19"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row>
    <row r="17" spans="1:15" s="82" customFormat="1" ht="12.75" customHeight="1" thickBot="1">
      <c r="A17" s="900"/>
      <c r="B17" s="1123"/>
      <c r="C17" s="1127"/>
      <c r="D17" s="1125"/>
      <c r="E17" s="1125"/>
      <c r="F17" s="1130"/>
      <c r="G17" s="95"/>
      <c r="H17" s="1125"/>
      <c r="I17" s="1125"/>
      <c r="J17" s="1134"/>
      <c r="K17" s="1134"/>
      <c r="L17" s="892"/>
      <c r="M17" s="86"/>
      <c r="N17" s="101" t="s">
        <v>18</v>
      </c>
      <c r="O17" s="102" t="s">
        <v>18</v>
      </c>
    </row>
    <row r="18" spans="1:15" s="82" customFormat="1" ht="12.75" customHeight="1">
      <c r="A18" s="900"/>
      <c r="B18" s="1124"/>
      <c r="C18" s="1128"/>
      <c r="D18" s="1126"/>
      <c r="E18" s="1126"/>
      <c r="F18" s="1132"/>
      <c r="G18" s="100"/>
      <c r="H18" s="1126"/>
      <c r="I18" s="1126"/>
      <c r="J18" s="1135"/>
      <c r="K18" s="1135"/>
      <c r="L18" s="892"/>
      <c r="M18" s="86"/>
      <c r="N18" s="103"/>
      <c r="O18" s="104"/>
    </row>
    <row r="19" spans="1:15" s="82" customFormat="1" ht="12.75" customHeight="1">
      <c r="A19" s="900"/>
      <c r="B19" s="1123">
        <v>3</v>
      </c>
      <c r="C19" s="1127"/>
      <c r="D19" s="1125"/>
      <c r="E19" s="1125" t="s">
        <v>18</v>
      </c>
      <c r="F19" s="1130" t="str">
        <f>VLOOKUP(E19,$N$13:$O$17,2,0)</f>
        <v>-</v>
      </c>
      <c r="G19" s="92"/>
      <c r="H19" s="1125"/>
      <c r="I19" s="1125"/>
      <c r="J19" s="1133"/>
      <c r="K19" s="1133"/>
      <c r="L19" s="892"/>
      <c r="M19" s="86"/>
      <c r="N19" s="103"/>
      <c r="O19" s="104"/>
    </row>
    <row r="20" spans="1:15" s="82" customFormat="1" ht="12.75" customHeight="1">
      <c r="A20" s="900"/>
      <c r="B20" s="1123"/>
      <c r="C20" s="1127"/>
      <c r="D20" s="1125"/>
      <c r="E20" s="1125"/>
      <c r="F20" s="1130"/>
      <c r="G20" s="95"/>
      <c r="H20" s="1125"/>
      <c r="I20" s="1125"/>
      <c r="J20" s="1134"/>
      <c r="K20" s="1134"/>
      <c r="L20" s="892"/>
      <c r="M20" s="86"/>
      <c r="N20" s="103"/>
      <c r="O20" s="104"/>
    </row>
    <row r="21" spans="1:15" s="82" customFormat="1" ht="12.75" customHeight="1">
      <c r="A21" s="900"/>
      <c r="B21" s="1124"/>
      <c r="C21" s="1128"/>
      <c r="D21" s="1126"/>
      <c r="E21" s="1126"/>
      <c r="F21" s="1132"/>
      <c r="G21" s="100"/>
      <c r="H21" s="1126"/>
      <c r="I21" s="1126"/>
      <c r="J21" s="1135"/>
      <c r="K21" s="1135"/>
      <c r="L21" s="892"/>
      <c r="M21" s="86"/>
      <c r="N21" s="103"/>
      <c r="O21" s="104"/>
    </row>
    <row r="22" spans="1:15" s="82" customFormat="1" ht="12.75" customHeight="1">
      <c r="A22" s="900"/>
      <c r="B22" s="1123">
        <v>4</v>
      </c>
      <c r="C22" s="1127"/>
      <c r="D22" s="1125"/>
      <c r="E22" s="1125" t="s">
        <v>18</v>
      </c>
      <c r="F22" s="1130" t="str">
        <f>VLOOKUP(E22,$N$13:$O$17,2,0)</f>
        <v>-</v>
      </c>
      <c r="G22" s="92"/>
      <c r="H22" s="1125"/>
      <c r="I22" s="1125"/>
      <c r="J22" s="1133"/>
      <c r="K22" s="1133"/>
      <c r="L22" s="892"/>
      <c r="M22" s="86"/>
      <c r="N22" s="103"/>
      <c r="O22" s="104"/>
    </row>
    <row r="23" spans="1:15" s="82" customFormat="1" ht="12.75" customHeight="1">
      <c r="A23" s="900"/>
      <c r="B23" s="1123"/>
      <c r="C23" s="1127"/>
      <c r="D23" s="1125"/>
      <c r="E23" s="1125"/>
      <c r="F23" s="1130"/>
      <c r="G23" s="95"/>
      <c r="H23" s="1125"/>
      <c r="I23" s="1125"/>
      <c r="J23" s="1134"/>
      <c r="K23" s="1134"/>
      <c r="L23" s="892"/>
      <c r="M23" s="86"/>
      <c r="N23" s="103"/>
      <c r="O23" s="104"/>
    </row>
    <row r="24" spans="1:15" s="82" customFormat="1" ht="12.75" customHeight="1">
      <c r="A24" s="900"/>
      <c r="B24" s="1124"/>
      <c r="C24" s="1128"/>
      <c r="D24" s="1126"/>
      <c r="E24" s="1126"/>
      <c r="F24" s="1132"/>
      <c r="G24" s="100"/>
      <c r="H24" s="1126"/>
      <c r="I24" s="1126"/>
      <c r="J24" s="1135"/>
      <c r="K24" s="1135"/>
      <c r="L24" s="892"/>
      <c r="M24" s="86"/>
      <c r="N24" s="103"/>
      <c r="O24" s="104"/>
    </row>
    <row r="25" spans="1:15" s="82" customFormat="1" ht="12.75" customHeight="1">
      <c r="A25" s="900"/>
      <c r="B25" s="1123">
        <v>5</v>
      </c>
      <c r="C25" s="1127"/>
      <c r="D25" s="1125"/>
      <c r="E25" s="1125" t="s">
        <v>18</v>
      </c>
      <c r="F25" s="1130" t="str">
        <f>VLOOKUP(E25,$N$13:$O$17,2,0)</f>
        <v>-</v>
      </c>
      <c r="G25" s="92"/>
      <c r="H25" s="1125"/>
      <c r="I25" s="1125"/>
      <c r="J25" s="1133"/>
      <c r="K25" s="1133"/>
      <c r="L25" s="892"/>
      <c r="M25" s="86"/>
      <c r="N25" s="103"/>
      <c r="O25" s="104"/>
    </row>
    <row r="26" spans="1:15" s="82" customFormat="1" ht="12.75" customHeight="1">
      <c r="A26" s="900"/>
      <c r="B26" s="1123"/>
      <c r="C26" s="1127"/>
      <c r="D26" s="1125"/>
      <c r="E26" s="1125"/>
      <c r="F26" s="1130"/>
      <c r="G26" s="95"/>
      <c r="H26" s="1125"/>
      <c r="I26" s="1125"/>
      <c r="J26" s="1134"/>
      <c r="K26" s="1134"/>
      <c r="L26" s="892"/>
      <c r="M26" s="86"/>
      <c r="N26" s="103"/>
      <c r="O26" s="104"/>
    </row>
    <row r="27" spans="1:15" s="82" customFormat="1" ht="12.75" customHeight="1">
      <c r="A27" s="900"/>
      <c r="B27" s="1124"/>
      <c r="C27" s="1128"/>
      <c r="D27" s="1126"/>
      <c r="E27" s="1126"/>
      <c r="F27" s="1132"/>
      <c r="G27" s="100"/>
      <c r="H27" s="1126"/>
      <c r="I27" s="1126"/>
      <c r="J27" s="1135"/>
      <c r="K27" s="1135"/>
      <c r="L27" s="892"/>
      <c r="M27" s="86"/>
      <c r="N27" s="103"/>
      <c r="O27" s="104"/>
    </row>
    <row r="28" spans="1:15" s="82" customFormat="1" ht="12.75" customHeight="1">
      <c r="A28" s="900"/>
      <c r="B28" s="1123">
        <v>6</v>
      </c>
      <c r="C28" s="1127"/>
      <c r="D28" s="1125"/>
      <c r="E28" s="1125" t="s">
        <v>18</v>
      </c>
      <c r="F28" s="1130" t="str">
        <f>VLOOKUP(E28,$N$13:$O$17,2,0)</f>
        <v>-</v>
      </c>
      <c r="G28" s="92"/>
      <c r="H28" s="1125"/>
      <c r="I28" s="1125"/>
      <c r="J28" s="1133"/>
      <c r="K28" s="1133"/>
      <c r="L28" s="892"/>
      <c r="M28" s="86"/>
      <c r="N28" s="103"/>
      <c r="O28" s="104"/>
    </row>
    <row r="29" spans="1:15" s="82" customFormat="1" ht="12.75" customHeight="1">
      <c r="A29" s="900"/>
      <c r="B29" s="1123"/>
      <c r="C29" s="1127"/>
      <c r="D29" s="1125"/>
      <c r="E29" s="1125"/>
      <c r="F29" s="1130"/>
      <c r="G29" s="95"/>
      <c r="H29" s="1125"/>
      <c r="I29" s="1125"/>
      <c r="J29" s="1134"/>
      <c r="K29" s="1134"/>
      <c r="L29" s="892"/>
      <c r="M29" s="86"/>
      <c r="N29" s="103"/>
      <c r="O29" s="104"/>
    </row>
    <row r="30" spans="1:15" s="82" customFormat="1" ht="12.75" customHeight="1">
      <c r="A30" s="900"/>
      <c r="B30" s="1124"/>
      <c r="C30" s="1128"/>
      <c r="D30" s="1126"/>
      <c r="E30" s="1126"/>
      <c r="F30" s="1132"/>
      <c r="G30" s="100"/>
      <c r="H30" s="1126"/>
      <c r="I30" s="1126"/>
      <c r="J30" s="1135"/>
      <c r="K30" s="1135"/>
      <c r="L30" s="892"/>
      <c r="M30" s="86"/>
      <c r="N30" s="103"/>
      <c r="O30" s="104"/>
    </row>
    <row r="31" spans="1:15" s="82" customFormat="1" ht="12.75" customHeight="1">
      <c r="A31" s="900"/>
      <c r="B31" s="1123">
        <v>7</v>
      </c>
      <c r="C31" s="1127"/>
      <c r="D31" s="1125"/>
      <c r="E31" s="1125" t="s">
        <v>18</v>
      </c>
      <c r="F31" s="1130" t="str">
        <f>VLOOKUP(E31,$N$13:$O$17,2,0)</f>
        <v>-</v>
      </c>
      <c r="G31" s="92"/>
      <c r="H31" s="1125"/>
      <c r="I31" s="1125"/>
      <c r="J31" s="1133"/>
      <c r="K31" s="1133"/>
      <c r="L31" s="892"/>
      <c r="M31" s="86"/>
      <c r="N31" s="103"/>
      <c r="O31" s="104"/>
    </row>
    <row r="32" spans="1:15" s="82" customFormat="1" ht="12.75" customHeight="1">
      <c r="A32" s="900"/>
      <c r="B32" s="1123"/>
      <c r="C32" s="1127"/>
      <c r="D32" s="1125"/>
      <c r="E32" s="1125"/>
      <c r="F32" s="1130"/>
      <c r="G32" s="95"/>
      <c r="H32" s="1125"/>
      <c r="I32" s="1125"/>
      <c r="J32" s="1134"/>
      <c r="K32" s="1134"/>
      <c r="L32" s="892"/>
      <c r="M32" s="86"/>
      <c r="N32" s="103"/>
      <c r="O32" s="104"/>
    </row>
    <row r="33" spans="1:15" s="82" customFormat="1" ht="12.75" customHeight="1">
      <c r="A33" s="900"/>
      <c r="B33" s="1124"/>
      <c r="C33" s="1128"/>
      <c r="D33" s="1126"/>
      <c r="E33" s="1126"/>
      <c r="F33" s="1132"/>
      <c r="G33" s="100"/>
      <c r="H33" s="1126"/>
      <c r="I33" s="1126"/>
      <c r="J33" s="1135"/>
      <c r="K33" s="1135"/>
      <c r="L33" s="892"/>
      <c r="M33" s="86"/>
      <c r="N33" s="103"/>
      <c r="O33" s="104"/>
    </row>
    <row r="34" spans="1:15" s="82" customFormat="1" ht="12.75" customHeight="1">
      <c r="A34" s="900"/>
      <c r="B34" s="1123">
        <v>8</v>
      </c>
      <c r="C34" s="1127"/>
      <c r="D34" s="1125"/>
      <c r="E34" s="1125" t="s">
        <v>18</v>
      </c>
      <c r="F34" s="1130" t="str">
        <f>VLOOKUP(E34,$N$13:$O$17,2,0)</f>
        <v>-</v>
      </c>
      <c r="G34" s="92"/>
      <c r="H34" s="1125"/>
      <c r="I34" s="1125"/>
      <c r="J34" s="1133"/>
      <c r="K34" s="1133"/>
      <c r="L34" s="892"/>
      <c r="M34" s="86"/>
      <c r="N34" s="103"/>
      <c r="O34" s="104"/>
    </row>
    <row r="35" spans="1:15" s="82" customFormat="1" ht="12.75" customHeight="1">
      <c r="A35" s="900"/>
      <c r="B35" s="1123"/>
      <c r="C35" s="1127"/>
      <c r="D35" s="1125"/>
      <c r="E35" s="1125"/>
      <c r="F35" s="1130"/>
      <c r="G35" s="91"/>
      <c r="H35" s="1125"/>
      <c r="I35" s="1125"/>
      <c r="J35" s="1134"/>
      <c r="K35" s="1134"/>
      <c r="L35" s="892"/>
      <c r="M35" s="86"/>
      <c r="N35" s="103"/>
      <c r="O35" s="104"/>
    </row>
    <row r="36" spans="1:15" s="82" customFormat="1" ht="12.75" customHeight="1">
      <c r="A36" s="900"/>
      <c r="B36" s="1124"/>
      <c r="C36" s="1128"/>
      <c r="D36" s="1126"/>
      <c r="E36" s="1126"/>
      <c r="F36" s="1132"/>
      <c r="G36" s="100"/>
      <c r="H36" s="1126"/>
      <c r="I36" s="1126"/>
      <c r="J36" s="1135"/>
      <c r="K36" s="1135"/>
      <c r="L36" s="892"/>
      <c r="M36" s="86"/>
      <c r="N36" s="103"/>
      <c r="O36" s="104"/>
    </row>
    <row r="37" spans="1:15" s="82" customFormat="1" ht="12.75" customHeight="1">
      <c r="A37" s="900"/>
      <c r="B37" s="1123">
        <v>9</v>
      </c>
      <c r="C37" s="1127"/>
      <c r="D37" s="1125"/>
      <c r="E37" s="1125" t="s">
        <v>18</v>
      </c>
      <c r="F37" s="1130" t="str">
        <f>VLOOKUP(E37,$N$13:$O$17,2,0)</f>
        <v>-</v>
      </c>
      <c r="G37" s="92"/>
      <c r="H37" s="1125"/>
      <c r="I37" s="1125"/>
      <c r="J37" s="1133"/>
      <c r="K37" s="1133"/>
      <c r="L37" s="892"/>
      <c r="M37" s="86"/>
      <c r="N37" s="103"/>
      <c r="O37" s="104"/>
    </row>
    <row r="38" spans="1:15" s="82" customFormat="1" ht="12.75" customHeight="1">
      <c r="A38" s="900"/>
      <c r="B38" s="1123"/>
      <c r="C38" s="1127"/>
      <c r="D38" s="1125"/>
      <c r="E38" s="1125"/>
      <c r="F38" s="1130"/>
      <c r="G38" s="95"/>
      <c r="H38" s="1125"/>
      <c r="I38" s="1125"/>
      <c r="J38" s="1134"/>
      <c r="K38" s="1134"/>
      <c r="L38" s="892"/>
      <c r="M38" s="86"/>
      <c r="N38" s="103"/>
      <c r="O38" s="104"/>
    </row>
    <row r="39" spans="1:15" s="82" customFormat="1" ht="12.75" customHeight="1">
      <c r="A39" s="900"/>
      <c r="B39" s="1124"/>
      <c r="C39" s="1128"/>
      <c r="D39" s="1126"/>
      <c r="E39" s="1126"/>
      <c r="F39" s="1132"/>
      <c r="G39" s="100"/>
      <c r="H39" s="1126"/>
      <c r="I39" s="1126"/>
      <c r="J39" s="1135"/>
      <c r="K39" s="1135"/>
      <c r="L39" s="892"/>
      <c r="M39" s="86"/>
      <c r="N39" s="103"/>
      <c r="O39" s="104"/>
    </row>
    <row r="40" spans="1:15" s="82" customFormat="1" ht="12.75" customHeight="1">
      <c r="A40" s="900"/>
      <c r="B40" s="1123">
        <v>10</v>
      </c>
      <c r="C40" s="1127"/>
      <c r="D40" s="1125"/>
      <c r="E40" s="1125" t="s">
        <v>18</v>
      </c>
      <c r="F40" s="1130" t="str">
        <f>VLOOKUP(E40,$N$13:$O$17,2,0)</f>
        <v>-</v>
      </c>
      <c r="G40" s="92"/>
      <c r="H40" s="1125"/>
      <c r="I40" s="1125"/>
      <c r="J40" s="1133"/>
      <c r="K40" s="1133"/>
      <c r="L40" s="892"/>
      <c r="M40" s="86"/>
      <c r="N40" s="103"/>
      <c r="O40" s="104"/>
    </row>
    <row r="41" spans="1:15" s="82" customFormat="1" ht="12.75" customHeight="1">
      <c r="A41" s="900"/>
      <c r="B41" s="1123"/>
      <c r="C41" s="1127"/>
      <c r="D41" s="1125"/>
      <c r="E41" s="1125"/>
      <c r="F41" s="1130"/>
      <c r="G41" s="95"/>
      <c r="H41" s="1125"/>
      <c r="I41" s="1125"/>
      <c r="J41" s="1134"/>
      <c r="K41" s="1134"/>
      <c r="L41" s="892"/>
      <c r="M41" s="86"/>
      <c r="N41" s="103"/>
      <c r="O41" s="104"/>
    </row>
    <row r="42" spans="1:15" s="82" customFormat="1" ht="12.75" customHeight="1" thickBot="1">
      <c r="A42" s="900"/>
      <c r="B42" s="1124"/>
      <c r="C42" s="1128"/>
      <c r="D42" s="1126"/>
      <c r="E42" s="1126"/>
      <c r="F42" s="1132"/>
      <c r="G42" s="100"/>
      <c r="H42" s="1126"/>
      <c r="I42" s="1126"/>
      <c r="J42" s="1135"/>
      <c r="K42" s="1135"/>
      <c r="L42" s="892"/>
      <c r="M42" s="86"/>
      <c r="N42" s="103"/>
      <c r="O42" s="104"/>
    </row>
    <row r="43" spans="1:15" s="103" customFormat="1" ht="15.75" hidden="1" customHeight="1" outlineLevel="1">
      <c r="A43" s="916"/>
      <c r="B43" s="1123">
        <v>11</v>
      </c>
      <c r="C43" s="1127"/>
      <c r="D43" s="1125"/>
      <c r="E43" s="1125" t="s">
        <v>18</v>
      </c>
      <c r="F43" s="1130" t="str">
        <f>VLOOKUP(E43,$N$13:$O$17,2,0)</f>
        <v>-</v>
      </c>
      <c r="G43" s="92"/>
      <c r="H43" s="1125"/>
      <c r="I43" s="1125"/>
      <c r="J43" s="1133"/>
      <c r="K43" s="1133"/>
      <c r="L43" s="916"/>
    </row>
    <row r="44" spans="1:15" s="103" customFormat="1" ht="15.75" hidden="1" customHeight="1" outlineLevel="1">
      <c r="A44" s="916"/>
      <c r="B44" s="1123"/>
      <c r="C44" s="1127"/>
      <c r="D44" s="1125"/>
      <c r="E44" s="1125"/>
      <c r="F44" s="1130"/>
      <c r="G44" s="95"/>
      <c r="H44" s="1125"/>
      <c r="I44" s="1125"/>
      <c r="J44" s="1134"/>
      <c r="K44" s="1134"/>
      <c r="L44" s="916"/>
    </row>
    <row r="45" spans="1:15" s="80" customFormat="1" ht="15.75" hidden="1" customHeight="1" outlineLevel="1">
      <c r="A45" s="910"/>
      <c r="B45" s="1124"/>
      <c r="C45" s="1128"/>
      <c r="D45" s="1126"/>
      <c r="E45" s="1126"/>
      <c r="F45" s="1132"/>
      <c r="G45" s="100"/>
      <c r="H45" s="1126"/>
      <c r="I45" s="1126"/>
      <c r="J45" s="1135"/>
      <c r="K45" s="1135"/>
      <c r="L45" s="910"/>
    </row>
    <row r="46" spans="1:15" s="80" customFormat="1" ht="15.75" hidden="1" customHeight="1" outlineLevel="1">
      <c r="A46" s="910"/>
      <c r="B46" s="1123">
        <v>12</v>
      </c>
      <c r="C46" s="1127"/>
      <c r="D46" s="1125"/>
      <c r="E46" s="1125" t="s">
        <v>18</v>
      </c>
      <c r="F46" s="1130" t="str">
        <f>VLOOKUP(E46,$N$13:$O$17,2,0)</f>
        <v>-</v>
      </c>
      <c r="G46" s="92"/>
      <c r="H46" s="1125"/>
      <c r="I46" s="1125"/>
      <c r="J46" s="1133"/>
      <c r="K46" s="1133"/>
      <c r="L46" s="910"/>
    </row>
    <row r="47" spans="1:15" s="103" customFormat="1" ht="15.75" hidden="1" customHeight="1" outlineLevel="1">
      <c r="A47" s="916"/>
      <c r="B47" s="1123"/>
      <c r="C47" s="1127"/>
      <c r="D47" s="1125"/>
      <c r="E47" s="1125"/>
      <c r="F47" s="1130"/>
      <c r="G47" s="95"/>
      <c r="H47" s="1125"/>
      <c r="I47" s="1125"/>
      <c r="J47" s="1134"/>
      <c r="K47" s="1134"/>
      <c r="L47" s="916"/>
    </row>
    <row r="48" spans="1:15" s="103" customFormat="1" ht="15.75" hidden="1" customHeight="1" outlineLevel="1">
      <c r="A48" s="916"/>
      <c r="B48" s="1124"/>
      <c r="C48" s="1128"/>
      <c r="D48" s="1126"/>
      <c r="E48" s="1126"/>
      <c r="F48" s="1132"/>
      <c r="G48" s="100"/>
      <c r="H48" s="1126"/>
      <c r="I48" s="1126"/>
      <c r="J48" s="1135"/>
      <c r="K48" s="1135"/>
      <c r="L48" s="916"/>
    </row>
    <row r="49" spans="1:12" s="103" customFormat="1" ht="15.75" hidden="1" customHeight="1" outlineLevel="1">
      <c r="A49" s="916"/>
      <c r="B49" s="1123">
        <v>13</v>
      </c>
      <c r="C49" s="1127"/>
      <c r="D49" s="1125"/>
      <c r="E49" s="1125" t="s">
        <v>18</v>
      </c>
      <c r="F49" s="1130" t="str">
        <f>VLOOKUP(E49,$N$13:$O$17,2,0)</f>
        <v>-</v>
      </c>
      <c r="G49" s="92"/>
      <c r="H49" s="1125"/>
      <c r="I49" s="1125"/>
      <c r="J49" s="1133"/>
      <c r="K49" s="1133"/>
      <c r="L49" s="916"/>
    </row>
    <row r="50" spans="1:12" s="103" customFormat="1" ht="15.75" hidden="1" customHeight="1" outlineLevel="1">
      <c r="A50" s="916"/>
      <c r="B50" s="1123"/>
      <c r="C50" s="1127"/>
      <c r="D50" s="1125"/>
      <c r="E50" s="1125"/>
      <c r="F50" s="1130"/>
      <c r="G50" s="95"/>
      <c r="H50" s="1125"/>
      <c r="I50" s="1125"/>
      <c r="J50" s="1134"/>
      <c r="K50" s="1134"/>
      <c r="L50" s="916"/>
    </row>
    <row r="51" spans="1:12" s="103" customFormat="1" ht="15.75" hidden="1" customHeight="1" outlineLevel="1">
      <c r="A51" s="916"/>
      <c r="B51" s="1124"/>
      <c r="C51" s="1128"/>
      <c r="D51" s="1126"/>
      <c r="E51" s="1126"/>
      <c r="F51" s="1132"/>
      <c r="G51" s="100"/>
      <c r="H51" s="1126"/>
      <c r="I51" s="1126"/>
      <c r="J51" s="1135"/>
      <c r="K51" s="1135"/>
      <c r="L51" s="916"/>
    </row>
    <row r="52" spans="1:12" s="103" customFormat="1" ht="15.75" hidden="1" customHeight="1" outlineLevel="1">
      <c r="A52" s="916"/>
      <c r="B52" s="1123">
        <v>14</v>
      </c>
      <c r="C52" s="1127"/>
      <c r="D52" s="1125"/>
      <c r="E52" s="1125" t="s">
        <v>18</v>
      </c>
      <c r="F52" s="1130" t="str">
        <f>VLOOKUP(E52,$N$13:$O$17,2,0)</f>
        <v>-</v>
      </c>
      <c r="G52" s="92"/>
      <c r="H52" s="1125"/>
      <c r="I52" s="1125"/>
      <c r="J52" s="1133"/>
      <c r="K52" s="1133"/>
      <c r="L52" s="916"/>
    </row>
    <row r="53" spans="1:12" s="103" customFormat="1" ht="15.75" hidden="1" customHeight="1" outlineLevel="1">
      <c r="A53" s="916"/>
      <c r="B53" s="1123"/>
      <c r="C53" s="1127"/>
      <c r="D53" s="1125"/>
      <c r="E53" s="1125"/>
      <c r="F53" s="1130"/>
      <c r="G53" s="95"/>
      <c r="H53" s="1125"/>
      <c r="I53" s="1125"/>
      <c r="J53" s="1134"/>
      <c r="K53" s="1134"/>
      <c r="L53" s="916"/>
    </row>
    <row r="54" spans="1:12" s="103" customFormat="1" ht="15.75" hidden="1" customHeight="1" outlineLevel="1">
      <c r="A54" s="916"/>
      <c r="B54" s="1124"/>
      <c r="C54" s="1128"/>
      <c r="D54" s="1126"/>
      <c r="E54" s="1126"/>
      <c r="F54" s="1132"/>
      <c r="G54" s="100"/>
      <c r="H54" s="1126"/>
      <c r="I54" s="1126"/>
      <c r="J54" s="1135"/>
      <c r="K54" s="1135"/>
      <c r="L54" s="916"/>
    </row>
    <row r="55" spans="1:12" s="103" customFormat="1" ht="15.75" hidden="1" customHeight="1" outlineLevel="1">
      <c r="A55" s="916"/>
      <c r="B55" s="1123">
        <v>15</v>
      </c>
      <c r="C55" s="1127"/>
      <c r="D55" s="1125"/>
      <c r="E55" s="1125" t="s">
        <v>18</v>
      </c>
      <c r="F55" s="1130" t="str">
        <f>VLOOKUP(E55,$N$13:$O$17,2,0)</f>
        <v>-</v>
      </c>
      <c r="G55" s="92"/>
      <c r="H55" s="1125"/>
      <c r="I55" s="1125"/>
      <c r="J55" s="1133"/>
      <c r="K55" s="1133"/>
      <c r="L55" s="916"/>
    </row>
    <row r="56" spans="1:12" s="103" customFormat="1" ht="15.75" hidden="1" customHeight="1" outlineLevel="1">
      <c r="A56" s="916"/>
      <c r="B56" s="1123"/>
      <c r="C56" s="1127"/>
      <c r="D56" s="1125"/>
      <c r="E56" s="1125"/>
      <c r="F56" s="1130"/>
      <c r="G56" s="95"/>
      <c r="H56" s="1125"/>
      <c r="I56" s="1125"/>
      <c r="J56" s="1134"/>
      <c r="K56" s="1134"/>
      <c r="L56" s="916"/>
    </row>
    <row r="57" spans="1:12" s="103" customFormat="1" ht="15.75" hidden="1" customHeight="1" outlineLevel="1">
      <c r="A57" s="916"/>
      <c r="B57" s="1124"/>
      <c r="C57" s="1128"/>
      <c r="D57" s="1126"/>
      <c r="E57" s="1126"/>
      <c r="F57" s="1132"/>
      <c r="G57" s="100"/>
      <c r="H57" s="1126"/>
      <c r="I57" s="1126"/>
      <c r="J57" s="1135"/>
      <c r="K57" s="1135"/>
      <c r="L57" s="916"/>
    </row>
    <row r="58" spans="1:12" s="103" customFormat="1" ht="15.75" hidden="1" customHeight="1" outlineLevel="1">
      <c r="A58" s="916"/>
      <c r="B58" s="1123">
        <v>16</v>
      </c>
      <c r="C58" s="1127"/>
      <c r="D58" s="1125"/>
      <c r="E58" s="1125" t="s">
        <v>18</v>
      </c>
      <c r="F58" s="1130" t="e">
        <f>IF(F$25=0,0,F32/F$25)</f>
        <v>#VALUE!</v>
      </c>
      <c r="G58" s="92"/>
      <c r="H58" s="1125"/>
      <c r="I58" s="1125"/>
      <c r="J58" s="1133"/>
      <c r="K58" s="1133"/>
      <c r="L58" s="916"/>
    </row>
    <row r="59" spans="1:12" s="103" customFormat="1" ht="15.75" hidden="1" customHeight="1" outlineLevel="1">
      <c r="A59" s="916"/>
      <c r="B59" s="1123"/>
      <c r="C59" s="1127"/>
      <c r="D59" s="1125"/>
      <c r="E59" s="1125"/>
      <c r="F59" s="1130"/>
      <c r="G59" s="95"/>
      <c r="H59" s="1125"/>
      <c r="I59" s="1125"/>
      <c r="J59" s="1134"/>
      <c r="K59" s="1134"/>
      <c r="L59" s="916"/>
    </row>
    <row r="60" spans="1:12" s="103" customFormat="1" ht="15.75" hidden="1" customHeight="1" outlineLevel="1">
      <c r="A60" s="916"/>
      <c r="B60" s="1124"/>
      <c r="C60" s="1128"/>
      <c r="D60" s="1126"/>
      <c r="E60" s="1126"/>
      <c r="F60" s="1132"/>
      <c r="G60" s="100"/>
      <c r="H60" s="1126"/>
      <c r="I60" s="1126"/>
      <c r="J60" s="1135"/>
      <c r="K60" s="1135"/>
      <c r="L60" s="916"/>
    </row>
    <row r="61" spans="1:12" s="103" customFormat="1" ht="15.75" hidden="1" customHeight="1" outlineLevel="1">
      <c r="A61" s="916"/>
      <c r="B61" s="1123">
        <v>17</v>
      </c>
      <c r="C61" s="1127"/>
      <c r="D61" s="1125"/>
      <c r="E61" s="1125" t="s">
        <v>18</v>
      </c>
      <c r="F61" s="1130" t="str">
        <f>VLOOKUP(E61,$N$13:$O$17,2,0)</f>
        <v>-</v>
      </c>
      <c r="G61" s="92"/>
      <c r="H61" s="1125"/>
      <c r="I61" s="1125"/>
      <c r="J61" s="1133"/>
      <c r="K61" s="1133"/>
      <c r="L61" s="916"/>
    </row>
    <row r="62" spans="1:12" s="103" customFormat="1" ht="15.75" hidden="1" customHeight="1" outlineLevel="1">
      <c r="A62" s="916"/>
      <c r="B62" s="1123"/>
      <c r="C62" s="1127"/>
      <c r="D62" s="1125"/>
      <c r="E62" s="1125"/>
      <c r="F62" s="1130"/>
      <c r="G62" s="95"/>
      <c r="H62" s="1125"/>
      <c r="I62" s="1125"/>
      <c r="J62" s="1134"/>
      <c r="K62" s="1134"/>
      <c r="L62" s="916"/>
    </row>
    <row r="63" spans="1:12" s="103" customFormat="1" ht="15.75" hidden="1" customHeight="1" outlineLevel="1">
      <c r="A63" s="916"/>
      <c r="B63" s="1124"/>
      <c r="C63" s="1128"/>
      <c r="D63" s="1126"/>
      <c r="E63" s="1126"/>
      <c r="F63" s="1132"/>
      <c r="G63" s="100"/>
      <c r="H63" s="1126"/>
      <c r="I63" s="1126"/>
      <c r="J63" s="1135"/>
      <c r="K63" s="1135"/>
      <c r="L63" s="916"/>
    </row>
    <row r="64" spans="1:12" s="103" customFormat="1" ht="15.75" hidden="1" customHeight="1" outlineLevel="1">
      <c r="A64" s="916"/>
      <c r="B64" s="1123">
        <v>18</v>
      </c>
      <c r="C64" s="1127"/>
      <c r="D64" s="1125"/>
      <c r="E64" s="1125" t="s">
        <v>18</v>
      </c>
      <c r="F64" s="1130" t="str">
        <f>VLOOKUP(E64,$N$13:$O$17,2,0)</f>
        <v>-</v>
      </c>
      <c r="G64" s="92"/>
      <c r="H64" s="1125"/>
      <c r="I64" s="1125"/>
      <c r="J64" s="1133"/>
      <c r="K64" s="1133"/>
      <c r="L64" s="916"/>
    </row>
    <row r="65" spans="1:12" s="103" customFormat="1" ht="15.75" hidden="1" customHeight="1" outlineLevel="1">
      <c r="A65" s="916"/>
      <c r="B65" s="1123"/>
      <c r="C65" s="1127"/>
      <c r="D65" s="1125"/>
      <c r="E65" s="1125"/>
      <c r="F65" s="1130"/>
      <c r="G65" s="95"/>
      <c r="H65" s="1125"/>
      <c r="I65" s="1125"/>
      <c r="J65" s="1134"/>
      <c r="K65" s="1134"/>
      <c r="L65" s="916"/>
    </row>
    <row r="66" spans="1:12" s="103" customFormat="1" ht="15.75" hidden="1" customHeight="1" outlineLevel="1">
      <c r="A66" s="916"/>
      <c r="B66" s="1124"/>
      <c r="C66" s="1128"/>
      <c r="D66" s="1126"/>
      <c r="E66" s="1126"/>
      <c r="F66" s="1132"/>
      <c r="G66" s="100"/>
      <c r="H66" s="1126"/>
      <c r="I66" s="1126"/>
      <c r="J66" s="1135"/>
      <c r="K66" s="1135"/>
      <c r="L66" s="916"/>
    </row>
    <row r="67" spans="1:12" s="103" customFormat="1" ht="15.75" hidden="1" customHeight="1" outlineLevel="1">
      <c r="A67" s="916"/>
      <c r="B67" s="1123">
        <v>19</v>
      </c>
      <c r="C67" s="1127"/>
      <c r="D67" s="1125"/>
      <c r="E67" s="1125" t="s">
        <v>18</v>
      </c>
      <c r="F67" s="1130" t="str">
        <f>VLOOKUP(E67,$N$13:$O$17,2,0)</f>
        <v>-</v>
      </c>
      <c r="G67" s="92"/>
      <c r="H67" s="1125"/>
      <c r="I67" s="1125"/>
      <c r="J67" s="1133"/>
      <c r="K67" s="1133"/>
      <c r="L67" s="916"/>
    </row>
    <row r="68" spans="1:12" s="103" customFormat="1" ht="15.75" hidden="1" customHeight="1" outlineLevel="1">
      <c r="A68" s="916"/>
      <c r="B68" s="1123"/>
      <c r="C68" s="1127"/>
      <c r="D68" s="1125"/>
      <c r="E68" s="1125"/>
      <c r="F68" s="1130"/>
      <c r="G68" s="95"/>
      <c r="H68" s="1125"/>
      <c r="I68" s="1125"/>
      <c r="J68" s="1134"/>
      <c r="K68" s="1134"/>
      <c r="L68" s="916"/>
    </row>
    <row r="69" spans="1:12" s="103" customFormat="1" ht="15.75" hidden="1" customHeight="1" outlineLevel="1">
      <c r="A69" s="916"/>
      <c r="B69" s="1124"/>
      <c r="C69" s="1128"/>
      <c r="D69" s="1126"/>
      <c r="E69" s="1126"/>
      <c r="F69" s="1132"/>
      <c r="G69" s="100"/>
      <c r="H69" s="1126"/>
      <c r="I69" s="1126"/>
      <c r="J69" s="1135"/>
      <c r="K69" s="1135"/>
      <c r="L69" s="916"/>
    </row>
    <row r="70" spans="1:12" s="103" customFormat="1" ht="15.75" hidden="1" customHeight="1" outlineLevel="1">
      <c r="A70" s="916"/>
      <c r="B70" s="1123">
        <v>20</v>
      </c>
      <c r="C70" s="1127"/>
      <c r="D70" s="1125"/>
      <c r="E70" s="1125" t="s">
        <v>18</v>
      </c>
      <c r="F70" s="1130" t="str">
        <f>VLOOKUP(E70,$N$13:$O$17,2,0)</f>
        <v>-</v>
      </c>
      <c r="G70" s="92"/>
      <c r="H70" s="1125"/>
      <c r="I70" s="1125"/>
      <c r="J70" s="1133"/>
      <c r="K70" s="1133"/>
      <c r="L70" s="916"/>
    </row>
    <row r="71" spans="1:12" s="103" customFormat="1" ht="15.75" hidden="1" customHeight="1" outlineLevel="1">
      <c r="A71" s="916"/>
      <c r="B71" s="1123"/>
      <c r="C71" s="1127"/>
      <c r="D71" s="1125"/>
      <c r="E71" s="1125"/>
      <c r="F71" s="1130"/>
      <c r="G71" s="95"/>
      <c r="H71" s="1125"/>
      <c r="I71" s="1125"/>
      <c r="J71" s="1134"/>
      <c r="K71" s="1134"/>
      <c r="L71" s="916"/>
    </row>
    <row r="72" spans="1:12" s="103" customFormat="1" ht="15.75" hidden="1" customHeight="1" outlineLevel="1">
      <c r="A72" s="916"/>
      <c r="B72" s="1124"/>
      <c r="C72" s="1128"/>
      <c r="D72" s="1126"/>
      <c r="E72" s="1126"/>
      <c r="F72" s="1132"/>
      <c r="G72" s="100"/>
      <c r="H72" s="1126"/>
      <c r="I72" s="1126"/>
      <c r="J72" s="1135"/>
      <c r="K72" s="1135"/>
      <c r="L72" s="916"/>
    </row>
    <row r="73" spans="1:12" s="103" customFormat="1" ht="15.75" hidden="1" customHeight="1" outlineLevel="1">
      <c r="A73" s="916"/>
      <c r="B73" s="1123">
        <v>21</v>
      </c>
      <c r="C73" s="1127"/>
      <c r="D73" s="1125"/>
      <c r="E73" s="1125" t="s">
        <v>18</v>
      </c>
      <c r="F73" s="1130" t="str">
        <f>VLOOKUP(E73,$N$13:$O$17,2,0)</f>
        <v>-</v>
      </c>
      <c r="G73" s="92"/>
      <c r="H73" s="1125"/>
      <c r="I73" s="1125"/>
      <c r="J73" s="1133"/>
      <c r="K73" s="1133"/>
      <c r="L73" s="916"/>
    </row>
    <row r="74" spans="1:12" s="103" customFormat="1" ht="15.75" hidden="1" customHeight="1" outlineLevel="1">
      <c r="A74" s="916"/>
      <c r="B74" s="1123"/>
      <c r="C74" s="1127"/>
      <c r="D74" s="1125"/>
      <c r="E74" s="1125"/>
      <c r="F74" s="1130"/>
      <c r="G74" s="95"/>
      <c r="H74" s="1125"/>
      <c r="I74" s="1125"/>
      <c r="J74" s="1134"/>
      <c r="K74" s="1134"/>
      <c r="L74" s="916"/>
    </row>
    <row r="75" spans="1:12" s="103" customFormat="1" ht="15.75" hidden="1" customHeight="1" outlineLevel="1">
      <c r="A75" s="916"/>
      <c r="B75" s="1124"/>
      <c r="C75" s="1128"/>
      <c r="D75" s="1126"/>
      <c r="E75" s="1126"/>
      <c r="F75" s="1132"/>
      <c r="G75" s="100"/>
      <c r="H75" s="1126"/>
      <c r="I75" s="1126"/>
      <c r="J75" s="1135"/>
      <c r="K75" s="1135"/>
      <c r="L75" s="916"/>
    </row>
    <row r="76" spans="1:12" s="103" customFormat="1" ht="15.75" hidden="1" customHeight="1" outlineLevel="1">
      <c r="A76" s="916"/>
      <c r="B76" s="1123">
        <v>22</v>
      </c>
      <c r="C76" s="1127"/>
      <c r="D76" s="1125"/>
      <c r="E76" s="1125" t="s">
        <v>18</v>
      </c>
      <c r="F76" s="1130" t="str">
        <f>VLOOKUP(E76,$N$13:$O$17,2,0)</f>
        <v>-</v>
      </c>
      <c r="G76" s="92"/>
      <c r="H76" s="1125"/>
      <c r="I76" s="1125"/>
      <c r="J76" s="1133"/>
      <c r="K76" s="1133"/>
      <c r="L76" s="916"/>
    </row>
    <row r="77" spans="1:12" s="103" customFormat="1" ht="15.75" hidden="1" customHeight="1" outlineLevel="1">
      <c r="A77" s="916"/>
      <c r="B77" s="1123"/>
      <c r="C77" s="1127"/>
      <c r="D77" s="1125"/>
      <c r="E77" s="1125"/>
      <c r="F77" s="1130"/>
      <c r="G77" s="95"/>
      <c r="H77" s="1125"/>
      <c r="I77" s="1125"/>
      <c r="J77" s="1134"/>
      <c r="K77" s="1134"/>
      <c r="L77" s="916"/>
    </row>
    <row r="78" spans="1:12" s="103" customFormat="1" ht="15.75" hidden="1" customHeight="1" outlineLevel="1">
      <c r="A78" s="916"/>
      <c r="B78" s="1124"/>
      <c r="C78" s="1128"/>
      <c r="D78" s="1126"/>
      <c r="E78" s="1126"/>
      <c r="F78" s="1132"/>
      <c r="G78" s="100"/>
      <c r="H78" s="1126"/>
      <c r="I78" s="1126"/>
      <c r="J78" s="1135"/>
      <c r="K78" s="1135"/>
      <c r="L78" s="916"/>
    </row>
    <row r="79" spans="1:12" s="103" customFormat="1" ht="15.75" hidden="1" customHeight="1" outlineLevel="1">
      <c r="A79" s="916"/>
      <c r="B79" s="1123">
        <v>23</v>
      </c>
      <c r="C79" s="1127"/>
      <c r="D79" s="1125"/>
      <c r="E79" s="1125" t="s">
        <v>18</v>
      </c>
      <c r="F79" s="1130" t="str">
        <f>VLOOKUP(E79,$N$13:$O$17,2,0)</f>
        <v>-</v>
      </c>
      <c r="G79" s="92"/>
      <c r="H79" s="1125"/>
      <c r="I79" s="1125"/>
      <c r="J79" s="1133"/>
      <c r="K79" s="1133"/>
      <c r="L79" s="916"/>
    </row>
    <row r="80" spans="1:12" s="103" customFormat="1" ht="15.75" hidden="1" customHeight="1" outlineLevel="1">
      <c r="A80" s="916"/>
      <c r="B80" s="1123"/>
      <c r="C80" s="1127"/>
      <c r="D80" s="1125"/>
      <c r="E80" s="1125"/>
      <c r="F80" s="1130"/>
      <c r="G80" s="95"/>
      <c r="H80" s="1125"/>
      <c r="I80" s="1125"/>
      <c r="J80" s="1134"/>
      <c r="K80" s="1134"/>
      <c r="L80" s="916"/>
    </row>
    <row r="81" spans="1:12" s="103" customFormat="1" ht="15.75" hidden="1" customHeight="1" outlineLevel="1">
      <c r="A81" s="916"/>
      <c r="B81" s="1124"/>
      <c r="C81" s="1128"/>
      <c r="D81" s="1126"/>
      <c r="E81" s="1126"/>
      <c r="F81" s="1132"/>
      <c r="G81" s="100"/>
      <c r="H81" s="1126"/>
      <c r="I81" s="1126"/>
      <c r="J81" s="1135"/>
      <c r="K81" s="1135"/>
      <c r="L81" s="916"/>
    </row>
    <row r="82" spans="1:12" s="103" customFormat="1" ht="15.75" hidden="1" customHeight="1" outlineLevel="1">
      <c r="A82" s="916"/>
      <c r="B82" s="1123">
        <v>24</v>
      </c>
      <c r="C82" s="1127"/>
      <c r="D82" s="1125"/>
      <c r="E82" s="1125" t="s">
        <v>18</v>
      </c>
      <c r="F82" s="1130" t="str">
        <f>VLOOKUP(E82,$N$13:$O$17,2,0)</f>
        <v>-</v>
      </c>
      <c r="G82" s="92"/>
      <c r="H82" s="1125"/>
      <c r="I82" s="1125"/>
      <c r="J82" s="1133"/>
      <c r="K82" s="1133"/>
      <c r="L82" s="916"/>
    </row>
    <row r="83" spans="1:12" s="103" customFormat="1" ht="15.75" hidden="1" customHeight="1" outlineLevel="1">
      <c r="A83" s="916"/>
      <c r="B83" s="1123"/>
      <c r="C83" s="1127"/>
      <c r="D83" s="1125"/>
      <c r="E83" s="1125"/>
      <c r="F83" s="1130"/>
      <c r="G83" s="95"/>
      <c r="H83" s="1125"/>
      <c r="I83" s="1125"/>
      <c r="J83" s="1134"/>
      <c r="K83" s="1134"/>
      <c r="L83" s="916"/>
    </row>
    <row r="84" spans="1:12" s="103" customFormat="1" ht="15.75" hidden="1" customHeight="1" outlineLevel="1">
      <c r="A84" s="916"/>
      <c r="B84" s="1124"/>
      <c r="C84" s="1128"/>
      <c r="D84" s="1126"/>
      <c r="E84" s="1126"/>
      <c r="F84" s="1132"/>
      <c r="G84" s="100"/>
      <c r="H84" s="1126"/>
      <c r="I84" s="1126"/>
      <c r="J84" s="1135"/>
      <c r="K84" s="1135"/>
      <c r="L84" s="916"/>
    </row>
    <row r="85" spans="1:12" s="103" customFormat="1" ht="15.75" hidden="1" customHeight="1" outlineLevel="1">
      <c r="A85" s="916"/>
      <c r="B85" s="1123">
        <v>25</v>
      </c>
      <c r="C85" s="1127"/>
      <c r="D85" s="1125"/>
      <c r="E85" s="1125" t="s">
        <v>18</v>
      </c>
      <c r="F85" s="1130" t="str">
        <f>VLOOKUP(E85,$N$13:$O$17,2,0)</f>
        <v>-</v>
      </c>
      <c r="G85" s="92"/>
      <c r="H85" s="1125"/>
      <c r="I85" s="1125"/>
      <c r="J85" s="1133"/>
      <c r="K85" s="1133"/>
      <c r="L85" s="916"/>
    </row>
    <row r="86" spans="1:12" s="103" customFormat="1" ht="15.75" hidden="1" customHeight="1" outlineLevel="1">
      <c r="A86" s="916"/>
      <c r="B86" s="1123"/>
      <c r="C86" s="1127"/>
      <c r="D86" s="1125"/>
      <c r="E86" s="1125"/>
      <c r="F86" s="1130"/>
      <c r="G86" s="95"/>
      <c r="H86" s="1125"/>
      <c r="I86" s="1125"/>
      <c r="J86" s="1134"/>
      <c r="K86" s="1134"/>
      <c r="L86" s="916"/>
    </row>
    <row r="87" spans="1:12" s="103" customFormat="1" ht="15.75" hidden="1" customHeight="1" outlineLevel="1">
      <c r="A87" s="916"/>
      <c r="B87" s="1124"/>
      <c r="C87" s="1128"/>
      <c r="D87" s="1126"/>
      <c r="E87" s="1126"/>
      <c r="F87" s="1132"/>
      <c r="G87" s="100"/>
      <c r="H87" s="1126"/>
      <c r="I87" s="1126"/>
      <c r="J87" s="1135"/>
      <c r="K87" s="1135"/>
      <c r="L87" s="916"/>
    </row>
    <row r="88" spans="1:12" s="103" customFormat="1" ht="15.75" hidden="1" customHeight="1" outlineLevel="1">
      <c r="A88" s="916"/>
      <c r="B88" s="1123">
        <v>26</v>
      </c>
      <c r="C88" s="1127"/>
      <c r="D88" s="1125"/>
      <c r="E88" s="1125" t="s">
        <v>18</v>
      </c>
      <c r="F88" s="1130" t="str">
        <f>VLOOKUP(E88,$N$13:$O$17,2,0)</f>
        <v>-</v>
      </c>
      <c r="G88" s="92"/>
      <c r="H88" s="1125"/>
      <c r="I88" s="1125"/>
      <c r="J88" s="1133"/>
      <c r="K88" s="1133"/>
      <c r="L88" s="916"/>
    </row>
    <row r="89" spans="1:12" s="103" customFormat="1" ht="15.75" hidden="1" customHeight="1" outlineLevel="1">
      <c r="A89" s="916"/>
      <c r="B89" s="1123"/>
      <c r="C89" s="1127"/>
      <c r="D89" s="1125"/>
      <c r="E89" s="1125"/>
      <c r="F89" s="1130"/>
      <c r="G89" s="95"/>
      <c r="H89" s="1125"/>
      <c r="I89" s="1125"/>
      <c r="J89" s="1134"/>
      <c r="K89" s="1134"/>
      <c r="L89" s="916"/>
    </row>
    <row r="90" spans="1:12" s="103" customFormat="1" ht="15.75" hidden="1" customHeight="1" outlineLevel="1">
      <c r="A90" s="916"/>
      <c r="B90" s="1124"/>
      <c r="C90" s="1128"/>
      <c r="D90" s="1126"/>
      <c r="E90" s="1126"/>
      <c r="F90" s="1132"/>
      <c r="G90" s="100"/>
      <c r="H90" s="1126"/>
      <c r="I90" s="1126"/>
      <c r="J90" s="1135"/>
      <c r="K90" s="1135"/>
      <c r="L90" s="916"/>
    </row>
    <row r="91" spans="1:12" s="103" customFormat="1" ht="15.75" hidden="1" customHeight="1" outlineLevel="1">
      <c r="A91" s="916"/>
      <c r="B91" s="1123">
        <v>27</v>
      </c>
      <c r="C91" s="1127"/>
      <c r="D91" s="1125"/>
      <c r="E91" s="1125" t="s">
        <v>18</v>
      </c>
      <c r="F91" s="1130" t="str">
        <f>VLOOKUP(E91,$N$13:$O$17,2,0)</f>
        <v>-</v>
      </c>
      <c r="G91" s="92"/>
      <c r="H91" s="1125"/>
      <c r="I91" s="1125"/>
      <c r="J91" s="1133"/>
      <c r="K91" s="1133"/>
      <c r="L91" s="916"/>
    </row>
    <row r="92" spans="1:12" s="103" customFormat="1" ht="15.75" hidden="1" customHeight="1" outlineLevel="1">
      <c r="A92" s="916"/>
      <c r="B92" s="1123"/>
      <c r="C92" s="1127"/>
      <c r="D92" s="1125"/>
      <c r="E92" s="1125"/>
      <c r="F92" s="1130"/>
      <c r="G92" s="95"/>
      <c r="H92" s="1125"/>
      <c r="I92" s="1125"/>
      <c r="J92" s="1134"/>
      <c r="K92" s="1134"/>
      <c r="L92" s="916"/>
    </row>
    <row r="93" spans="1:12" s="103" customFormat="1" ht="15.75" hidden="1" customHeight="1" outlineLevel="1">
      <c r="A93" s="916"/>
      <c r="B93" s="1124"/>
      <c r="C93" s="1128"/>
      <c r="D93" s="1126"/>
      <c r="E93" s="1126"/>
      <c r="F93" s="1132"/>
      <c r="G93" s="100"/>
      <c r="H93" s="1126"/>
      <c r="I93" s="1126"/>
      <c r="J93" s="1135"/>
      <c r="K93" s="1135"/>
      <c r="L93" s="916"/>
    </row>
    <row r="94" spans="1:12" s="103" customFormat="1" ht="15.75" hidden="1" customHeight="1" outlineLevel="1">
      <c r="A94" s="916"/>
      <c r="B94" s="1123">
        <v>28</v>
      </c>
      <c r="C94" s="1127"/>
      <c r="D94" s="1125"/>
      <c r="E94" s="1125" t="s">
        <v>18</v>
      </c>
      <c r="F94" s="1130" t="str">
        <f>VLOOKUP(E94,$N$13:$O$17,2,0)</f>
        <v>-</v>
      </c>
      <c r="G94" s="92"/>
      <c r="H94" s="1125"/>
      <c r="I94" s="1125"/>
      <c r="J94" s="1133"/>
      <c r="K94" s="1133"/>
      <c r="L94" s="916"/>
    </row>
    <row r="95" spans="1:12" s="103" customFormat="1" ht="15.75" hidden="1" customHeight="1" outlineLevel="1">
      <c r="A95" s="916"/>
      <c r="B95" s="1123"/>
      <c r="C95" s="1127"/>
      <c r="D95" s="1125"/>
      <c r="E95" s="1125"/>
      <c r="F95" s="1130"/>
      <c r="G95" s="95"/>
      <c r="H95" s="1125"/>
      <c r="I95" s="1125"/>
      <c r="J95" s="1134"/>
      <c r="K95" s="1134"/>
      <c r="L95" s="916"/>
    </row>
    <row r="96" spans="1:12" s="103" customFormat="1" ht="15.75" hidden="1" customHeight="1" outlineLevel="1">
      <c r="A96" s="916"/>
      <c r="B96" s="1124"/>
      <c r="C96" s="1128"/>
      <c r="D96" s="1126"/>
      <c r="E96" s="1126"/>
      <c r="F96" s="1132"/>
      <c r="G96" s="100"/>
      <c r="H96" s="1126"/>
      <c r="I96" s="1126"/>
      <c r="J96" s="1135"/>
      <c r="K96" s="1135"/>
      <c r="L96" s="916"/>
    </row>
    <row r="97" spans="1:12" s="103" customFormat="1" ht="15.75" hidden="1" customHeight="1" outlineLevel="1">
      <c r="A97" s="916"/>
      <c r="B97" s="1123">
        <v>29</v>
      </c>
      <c r="C97" s="1127"/>
      <c r="D97" s="1125"/>
      <c r="E97" s="1125" t="s">
        <v>18</v>
      </c>
      <c r="F97" s="1130" t="str">
        <f>VLOOKUP(E97,$N$13:$O$17,2,0)</f>
        <v>-</v>
      </c>
      <c r="G97" s="92"/>
      <c r="H97" s="1125"/>
      <c r="I97" s="1125"/>
      <c r="J97" s="1133"/>
      <c r="K97" s="1133"/>
      <c r="L97" s="916"/>
    </row>
    <row r="98" spans="1:12" s="103" customFormat="1" ht="15.75" hidden="1" customHeight="1" outlineLevel="1">
      <c r="A98" s="916"/>
      <c r="B98" s="1123"/>
      <c r="C98" s="1127"/>
      <c r="D98" s="1125"/>
      <c r="E98" s="1125"/>
      <c r="F98" s="1130"/>
      <c r="G98" s="95"/>
      <c r="H98" s="1125"/>
      <c r="I98" s="1125"/>
      <c r="J98" s="1134"/>
      <c r="K98" s="1134"/>
      <c r="L98" s="916"/>
    </row>
    <row r="99" spans="1:12" s="103" customFormat="1" ht="15.75" hidden="1" customHeight="1" outlineLevel="1">
      <c r="A99" s="916"/>
      <c r="B99" s="1124"/>
      <c r="C99" s="1128"/>
      <c r="D99" s="1126"/>
      <c r="E99" s="1126"/>
      <c r="F99" s="1132"/>
      <c r="G99" s="100"/>
      <c r="H99" s="1126"/>
      <c r="I99" s="1126"/>
      <c r="J99" s="1135"/>
      <c r="K99" s="1135"/>
      <c r="L99" s="916"/>
    </row>
    <row r="100" spans="1:12" s="103" customFormat="1" ht="15.75" hidden="1" customHeight="1" outlineLevel="1">
      <c r="A100" s="916"/>
      <c r="B100" s="1123">
        <v>30</v>
      </c>
      <c r="C100" s="1127"/>
      <c r="D100" s="1125"/>
      <c r="E100" s="1125" t="s">
        <v>18</v>
      </c>
      <c r="F100" s="1130" t="str">
        <f>VLOOKUP(E100,$N$13:$O$17,2,0)</f>
        <v>-</v>
      </c>
      <c r="G100" s="92"/>
      <c r="H100" s="1125"/>
      <c r="I100" s="1125"/>
      <c r="J100" s="1133"/>
      <c r="K100" s="1133"/>
      <c r="L100" s="916"/>
    </row>
    <row r="101" spans="1:12" s="103" customFormat="1" ht="15.75" hidden="1" customHeight="1" outlineLevel="1">
      <c r="A101" s="916"/>
      <c r="B101" s="1123"/>
      <c r="C101" s="1127"/>
      <c r="D101" s="1125"/>
      <c r="E101" s="1125"/>
      <c r="F101" s="1130"/>
      <c r="G101" s="95"/>
      <c r="H101" s="1125"/>
      <c r="I101" s="1125"/>
      <c r="J101" s="1134"/>
      <c r="K101" s="1134"/>
      <c r="L101" s="916"/>
    </row>
    <row r="102" spans="1:12" s="103" customFormat="1" ht="15.75" hidden="1" customHeight="1" outlineLevel="1">
      <c r="A102" s="916"/>
      <c r="B102" s="1124"/>
      <c r="C102" s="1128"/>
      <c r="D102" s="1126"/>
      <c r="E102" s="1126"/>
      <c r="F102" s="1132"/>
      <c r="G102" s="100"/>
      <c r="H102" s="1126"/>
      <c r="I102" s="1126"/>
      <c r="J102" s="1135"/>
      <c r="K102" s="1135"/>
      <c r="L102" s="916"/>
    </row>
    <row r="103" spans="1:12" s="103" customFormat="1" ht="15.75" hidden="1" customHeight="1" outlineLevel="1">
      <c r="A103" s="916"/>
      <c r="B103" s="1123">
        <v>31</v>
      </c>
      <c r="C103" s="1127"/>
      <c r="D103" s="1125"/>
      <c r="E103" s="1125" t="s">
        <v>18</v>
      </c>
      <c r="F103" s="1130" t="str">
        <f>VLOOKUP(E103,$N$13:$O$17,2,0)</f>
        <v>-</v>
      </c>
      <c r="G103" s="92"/>
      <c r="H103" s="1125"/>
      <c r="I103" s="1125"/>
      <c r="J103" s="1133"/>
      <c r="K103" s="1133"/>
      <c r="L103" s="916"/>
    </row>
    <row r="104" spans="1:12" s="103" customFormat="1" ht="15.75" hidden="1" customHeight="1" outlineLevel="1">
      <c r="A104" s="916"/>
      <c r="B104" s="1123"/>
      <c r="C104" s="1127"/>
      <c r="D104" s="1125"/>
      <c r="E104" s="1125"/>
      <c r="F104" s="1130"/>
      <c r="G104" s="95"/>
      <c r="H104" s="1125"/>
      <c r="I104" s="1125"/>
      <c r="J104" s="1134"/>
      <c r="K104" s="1134"/>
      <c r="L104" s="916"/>
    </row>
    <row r="105" spans="1:12" s="103" customFormat="1" ht="15.75" hidden="1" customHeight="1" outlineLevel="1">
      <c r="A105" s="916"/>
      <c r="B105" s="1124"/>
      <c r="C105" s="1128"/>
      <c r="D105" s="1126"/>
      <c r="E105" s="1126"/>
      <c r="F105" s="1132"/>
      <c r="G105" s="100"/>
      <c r="H105" s="1126"/>
      <c r="I105" s="1126"/>
      <c r="J105" s="1135"/>
      <c r="K105" s="1135"/>
      <c r="L105" s="916"/>
    </row>
    <row r="106" spans="1:12" s="103" customFormat="1" ht="15.75" hidden="1" customHeight="1" outlineLevel="1">
      <c r="A106" s="916"/>
      <c r="B106" s="1123">
        <v>32</v>
      </c>
      <c r="C106" s="1127"/>
      <c r="D106" s="1125"/>
      <c r="E106" s="1125" t="s">
        <v>18</v>
      </c>
      <c r="F106" s="1130" t="str">
        <f>VLOOKUP(E106,$N$13:$O$17,2,0)</f>
        <v>-</v>
      </c>
      <c r="G106" s="92"/>
      <c r="H106" s="1125"/>
      <c r="I106" s="1125"/>
      <c r="J106" s="1133"/>
      <c r="K106" s="1133"/>
      <c r="L106" s="916"/>
    </row>
    <row r="107" spans="1:12" s="103" customFormat="1" ht="15.75" hidden="1" customHeight="1" outlineLevel="1">
      <c r="A107" s="916"/>
      <c r="B107" s="1123"/>
      <c r="C107" s="1127"/>
      <c r="D107" s="1125"/>
      <c r="E107" s="1125"/>
      <c r="F107" s="1130"/>
      <c r="G107" s="95"/>
      <c r="H107" s="1125"/>
      <c r="I107" s="1125"/>
      <c r="J107" s="1134"/>
      <c r="K107" s="1134"/>
      <c r="L107" s="916"/>
    </row>
    <row r="108" spans="1:12" s="103" customFormat="1" ht="15.75" hidden="1" customHeight="1" outlineLevel="1">
      <c r="A108" s="916"/>
      <c r="B108" s="1124"/>
      <c r="C108" s="1128"/>
      <c r="D108" s="1126"/>
      <c r="E108" s="1126"/>
      <c r="F108" s="1132"/>
      <c r="G108" s="100"/>
      <c r="H108" s="1126"/>
      <c r="I108" s="1126"/>
      <c r="J108" s="1135"/>
      <c r="K108" s="1135"/>
      <c r="L108" s="916"/>
    </row>
    <row r="109" spans="1:12" s="103" customFormat="1" ht="15.75" hidden="1" customHeight="1" outlineLevel="1">
      <c r="A109" s="916"/>
      <c r="B109" s="1123">
        <v>33</v>
      </c>
      <c r="C109" s="1127"/>
      <c r="D109" s="1125"/>
      <c r="E109" s="1125" t="s">
        <v>18</v>
      </c>
      <c r="F109" s="1130" t="str">
        <f>VLOOKUP(E109,$N$13:$O$17,2,0)</f>
        <v>-</v>
      </c>
      <c r="G109" s="92"/>
      <c r="H109" s="1125"/>
      <c r="I109" s="1125"/>
      <c r="J109" s="1133"/>
      <c r="K109" s="1133"/>
      <c r="L109" s="916"/>
    </row>
    <row r="110" spans="1:12" s="103" customFormat="1" ht="15.75" hidden="1" customHeight="1" outlineLevel="1">
      <c r="A110" s="916"/>
      <c r="B110" s="1123"/>
      <c r="C110" s="1127"/>
      <c r="D110" s="1125"/>
      <c r="E110" s="1125"/>
      <c r="F110" s="1130"/>
      <c r="G110" s="95"/>
      <c r="H110" s="1125"/>
      <c r="I110" s="1125"/>
      <c r="J110" s="1134"/>
      <c r="K110" s="1134"/>
      <c r="L110" s="916"/>
    </row>
    <row r="111" spans="1:12" s="103" customFormat="1" ht="15.75" hidden="1" customHeight="1" outlineLevel="1">
      <c r="A111" s="916"/>
      <c r="B111" s="1124"/>
      <c r="C111" s="1128"/>
      <c r="D111" s="1126"/>
      <c r="E111" s="1126"/>
      <c r="F111" s="1132"/>
      <c r="G111" s="100"/>
      <c r="H111" s="1126"/>
      <c r="I111" s="1126"/>
      <c r="J111" s="1135"/>
      <c r="K111" s="1135"/>
      <c r="L111" s="916"/>
    </row>
    <row r="112" spans="1:12" s="103" customFormat="1" ht="15.75" hidden="1" customHeight="1" outlineLevel="1">
      <c r="A112" s="916"/>
      <c r="B112" s="1123">
        <v>34</v>
      </c>
      <c r="C112" s="1127"/>
      <c r="D112" s="1125"/>
      <c r="E112" s="1125" t="s">
        <v>18</v>
      </c>
      <c r="F112" s="1130" t="str">
        <f>VLOOKUP(E112,$N$13:$O$17,2,0)</f>
        <v>-</v>
      </c>
      <c r="G112" s="92"/>
      <c r="H112" s="1125"/>
      <c r="I112" s="1125"/>
      <c r="J112" s="1133"/>
      <c r="K112" s="1133"/>
      <c r="L112" s="916"/>
    </row>
    <row r="113" spans="1:12" s="103" customFormat="1" ht="15.75" hidden="1" customHeight="1" outlineLevel="1">
      <c r="A113" s="916"/>
      <c r="B113" s="1123"/>
      <c r="C113" s="1127"/>
      <c r="D113" s="1125"/>
      <c r="E113" s="1125"/>
      <c r="F113" s="1130"/>
      <c r="G113" s="95"/>
      <c r="H113" s="1125"/>
      <c r="I113" s="1125"/>
      <c r="J113" s="1134"/>
      <c r="K113" s="1134"/>
      <c r="L113" s="916"/>
    </row>
    <row r="114" spans="1:12" s="103" customFormat="1" ht="15.75" hidden="1" customHeight="1" outlineLevel="1">
      <c r="A114" s="916"/>
      <c r="B114" s="1124"/>
      <c r="C114" s="1128"/>
      <c r="D114" s="1126"/>
      <c r="E114" s="1126"/>
      <c r="F114" s="1132"/>
      <c r="G114" s="100"/>
      <c r="H114" s="1126"/>
      <c r="I114" s="1126"/>
      <c r="J114" s="1135"/>
      <c r="K114" s="1135"/>
      <c r="L114" s="916"/>
    </row>
    <row r="115" spans="1:12" s="103" customFormat="1" ht="15.75" hidden="1" customHeight="1" outlineLevel="1">
      <c r="A115" s="916"/>
      <c r="B115" s="1123">
        <v>35</v>
      </c>
      <c r="C115" s="1127"/>
      <c r="D115" s="1125"/>
      <c r="E115" s="1125" t="s">
        <v>18</v>
      </c>
      <c r="F115" s="1130" t="str">
        <f>VLOOKUP(E115,$N$13:$O$17,2,0)</f>
        <v>-</v>
      </c>
      <c r="G115" s="92"/>
      <c r="H115" s="1125"/>
      <c r="I115" s="1125"/>
      <c r="J115" s="1133"/>
      <c r="K115" s="1133"/>
      <c r="L115" s="916"/>
    </row>
    <row r="116" spans="1:12" s="103" customFormat="1" ht="15.75" hidden="1" customHeight="1" outlineLevel="1">
      <c r="A116" s="916"/>
      <c r="B116" s="1123"/>
      <c r="C116" s="1127"/>
      <c r="D116" s="1125"/>
      <c r="E116" s="1125"/>
      <c r="F116" s="1130"/>
      <c r="G116" s="95"/>
      <c r="H116" s="1125"/>
      <c r="I116" s="1125"/>
      <c r="J116" s="1134"/>
      <c r="K116" s="1134"/>
      <c r="L116" s="916"/>
    </row>
    <row r="117" spans="1:12" s="103" customFormat="1" ht="15.75" hidden="1" customHeight="1" outlineLevel="1">
      <c r="A117" s="916"/>
      <c r="B117" s="1124"/>
      <c r="C117" s="1128"/>
      <c r="D117" s="1126"/>
      <c r="E117" s="1126"/>
      <c r="F117" s="1132"/>
      <c r="G117" s="100"/>
      <c r="H117" s="1126"/>
      <c r="I117" s="1126"/>
      <c r="J117" s="1135"/>
      <c r="K117" s="1135"/>
      <c r="L117" s="916"/>
    </row>
    <row r="118" spans="1:12" s="103" customFormat="1" ht="15.75" hidden="1" customHeight="1" outlineLevel="1">
      <c r="A118" s="916"/>
      <c r="B118" s="1123">
        <v>36</v>
      </c>
      <c r="C118" s="1127"/>
      <c r="D118" s="1125"/>
      <c r="E118" s="1125" t="s">
        <v>18</v>
      </c>
      <c r="F118" s="1130" t="str">
        <f>VLOOKUP(E118,$N$13:$O$17,2,0)</f>
        <v>-</v>
      </c>
      <c r="G118" s="92"/>
      <c r="H118" s="1125"/>
      <c r="I118" s="1125"/>
      <c r="J118" s="1133"/>
      <c r="K118" s="1133"/>
      <c r="L118" s="916"/>
    </row>
    <row r="119" spans="1:12" s="103" customFormat="1" ht="15.75" hidden="1" customHeight="1" outlineLevel="1">
      <c r="A119" s="916"/>
      <c r="B119" s="1123"/>
      <c r="C119" s="1127"/>
      <c r="D119" s="1125"/>
      <c r="E119" s="1125"/>
      <c r="F119" s="1130"/>
      <c r="G119" s="95"/>
      <c r="H119" s="1125"/>
      <c r="I119" s="1125"/>
      <c r="J119" s="1134"/>
      <c r="K119" s="1134"/>
      <c r="L119" s="916"/>
    </row>
    <row r="120" spans="1:12" s="103" customFormat="1" ht="15.75" hidden="1" customHeight="1" outlineLevel="1">
      <c r="A120" s="916"/>
      <c r="B120" s="1124"/>
      <c r="C120" s="1128"/>
      <c r="D120" s="1126"/>
      <c r="E120" s="1126"/>
      <c r="F120" s="1132"/>
      <c r="G120" s="100"/>
      <c r="H120" s="1126"/>
      <c r="I120" s="1126"/>
      <c r="J120" s="1135"/>
      <c r="K120" s="1135"/>
      <c r="L120" s="916"/>
    </row>
    <row r="121" spans="1:12" s="103" customFormat="1" ht="15.75" hidden="1" customHeight="1" outlineLevel="1">
      <c r="A121" s="916"/>
      <c r="B121" s="1123">
        <v>37</v>
      </c>
      <c r="C121" s="1127"/>
      <c r="D121" s="1125"/>
      <c r="E121" s="1125" t="s">
        <v>18</v>
      </c>
      <c r="F121" s="1130" t="str">
        <f>VLOOKUP(E121,$N$13:$O$17,2,0)</f>
        <v>-</v>
      </c>
      <c r="G121" s="92"/>
      <c r="H121" s="1125"/>
      <c r="I121" s="1125"/>
      <c r="J121" s="1133"/>
      <c r="K121" s="1133"/>
      <c r="L121" s="916"/>
    </row>
    <row r="122" spans="1:12" s="103" customFormat="1" ht="15.75" hidden="1" customHeight="1" outlineLevel="1">
      <c r="A122" s="916"/>
      <c r="B122" s="1123"/>
      <c r="C122" s="1127"/>
      <c r="D122" s="1125"/>
      <c r="E122" s="1125"/>
      <c r="F122" s="1130"/>
      <c r="G122" s="95"/>
      <c r="H122" s="1125"/>
      <c r="I122" s="1125"/>
      <c r="J122" s="1134"/>
      <c r="K122" s="1134"/>
      <c r="L122" s="916"/>
    </row>
    <row r="123" spans="1:12" s="103" customFormat="1" ht="15.75" hidden="1" customHeight="1" outlineLevel="1">
      <c r="A123" s="916"/>
      <c r="B123" s="1124"/>
      <c r="C123" s="1128"/>
      <c r="D123" s="1126"/>
      <c r="E123" s="1126"/>
      <c r="F123" s="1132"/>
      <c r="G123" s="100"/>
      <c r="H123" s="1126"/>
      <c r="I123" s="1126"/>
      <c r="J123" s="1135"/>
      <c r="K123" s="1135"/>
      <c r="L123" s="916"/>
    </row>
    <row r="124" spans="1:12" s="103" customFormat="1" ht="15.75" hidden="1" customHeight="1" outlineLevel="1">
      <c r="A124" s="916"/>
      <c r="B124" s="1123">
        <v>38</v>
      </c>
      <c r="C124" s="1127"/>
      <c r="D124" s="1125"/>
      <c r="E124" s="1125" t="s">
        <v>18</v>
      </c>
      <c r="F124" s="1130" t="str">
        <f>VLOOKUP(E124,$N$13:$O$17,2,0)</f>
        <v>-</v>
      </c>
      <c r="G124" s="92"/>
      <c r="H124" s="1125"/>
      <c r="I124" s="1125"/>
      <c r="J124" s="1133"/>
      <c r="K124" s="1133"/>
      <c r="L124" s="916"/>
    </row>
    <row r="125" spans="1:12" s="103" customFormat="1" ht="15.75" hidden="1" customHeight="1" outlineLevel="1">
      <c r="A125" s="916"/>
      <c r="B125" s="1123"/>
      <c r="C125" s="1127"/>
      <c r="D125" s="1125"/>
      <c r="E125" s="1125"/>
      <c r="F125" s="1130"/>
      <c r="G125" s="95"/>
      <c r="H125" s="1125"/>
      <c r="I125" s="1125"/>
      <c r="J125" s="1134"/>
      <c r="K125" s="1134"/>
      <c r="L125" s="916"/>
    </row>
    <row r="126" spans="1:12" s="103" customFormat="1" ht="15.75" hidden="1" customHeight="1" outlineLevel="1">
      <c r="A126" s="916"/>
      <c r="B126" s="1124"/>
      <c r="C126" s="1128"/>
      <c r="D126" s="1126"/>
      <c r="E126" s="1126"/>
      <c r="F126" s="1132"/>
      <c r="G126" s="100"/>
      <c r="H126" s="1126"/>
      <c r="I126" s="1126"/>
      <c r="J126" s="1135"/>
      <c r="K126" s="1135"/>
      <c r="L126" s="916"/>
    </row>
    <row r="127" spans="1:12" s="103" customFormat="1" ht="15.75" hidden="1" customHeight="1" outlineLevel="1">
      <c r="A127" s="916"/>
      <c r="B127" s="1123">
        <v>39</v>
      </c>
      <c r="C127" s="1127"/>
      <c r="D127" s="1125"/>
      <c r="E127" s="1125" t="s">
        <v>18</v>
      </c>
      <c r="F127" s="1130" t="str">
        <f>VLOOKUP(E127,$N$13:$O$17,2,0)</f>
        <v>-</v>
      </c>
      <c r="G127" s="92"/>
      <c r="H127" s="1125"/>
      <c r="I127" s="1125"/>
      <c r="J127" s="1133"/>
      <c r="K127" s="1133"/>
      <c r="L127" s="916"/>
    </row>
    <row r="128" spans="1:12" s="103" customFormat="1" ht="15.75" hidden="1" customHeight="1" outlineLevel="1">
      <c r="A128" s="916"/>
      <c r="B128" s="1123"/>
      <c r="C128" s="1127"/>
      <c r="D128" s="1125"/>
      <c r="E128" s="1125"/>
      <c r="F128" s="1130"/>
      <c r="G128" s="95"/>
      <c r="H128" s="1125"/>
      <c r="I128" s="1125"/>
      <c r="J128" s="1134"/>
      <c r="K128" s="1134"/>
      <c r="L128" s="916"/>
    </row>
    <row r="129" spans="1:12" s="103" customFormat="1" ht="15.75" hidden="1" customHeight="1" outlineLevel="1">
      <c r="A129" s="916"/>
      <c r="B129" s="1124"/>
      <c r="C129" s="1128"/>
      <c r="D129" s="1126"/>
      <c r="E129" s="1126"/>
      <c r="F129" s="1132"/>
      <c r="G129" s="100"/>
      <c r="H129" s="1126"/>
      <c r="I129" s="1126"/>
      <c r="J129" s="1135"/>
      <c r="K129" s="1135"/>
      <c r="L129" s="916"/>
    </row>
    <row r="130" spans="1:12" s="103" customFormat="1" ht="15.75" hidden="1" customHeight="1" outlineLevel="1">
      <c r="A130" s="916"/>
      <c r="B130" s="1123">
        <v>40</v>
      </c>
      <c r="C130" s="1127"/>
      <c r="D130" s="1125"/>
      <c r="E130" s="1125" t="s">
        <v>18</v>
      </c>
      <c r="F130" s="1130" t="str">
        <f>VLOOKUP(E130,$N$13:$O$17,2,0)</f>
        <v>-</v>
      </c>
      <c r="G130" s="92"/>
      <c r="H130" s="1125"/>
      <c r="I130" s="1125"/>
      <c r="J130" s="1133"/>
      <c r="K130" s="1133"/>
      <c r="L130" s="916"/>
    </row>
    <row r="131" spans="1:12" s="103" customFormat="1" ht="15.75" hidden="1" customHeight="1" outlineLevel="1">
      <c r="A131" s="916"/>
      <c r="B131" s="1123"/>
      <c r="C131" s="1127"/>
      <c r="D131" s="1125"/>
      <c r="E131" s="1125"/>
      <c r="F131" s="1130"/>
      <c r="G131" s="95"/>
      <c r="H131" s="1125"/>
      <c r="I131" s="1125"/>
      <c r="J131" s="1134"/>
      <c r="K131" s="1134"/>
      <c r="L131" s="916"/>
    </row>
    <row r="132" spans="1:12" s="103" customFormat="1" ht="15.75" hidden="1" customHeight="1" outlineLevel="1">
      <c r="A132" s="916"/>
      <c r="B132" s="1124"/>
      <c r="C132" s="1128"/>
      <c r="D132" s="1126"/>
      <c r="E132" s="1126"/>
      <c r="F132" s="1132"/>
      <c r="G132" s="100"/>
      <c r="H132" s="1126"/>
      <c r="I132" s="1126"/>
      <c r="J132" s="1135"/>
      <c r="K132" s="1135"/>
      <c r="L132" s="916"/>
    </row>
    <row r="133" spans="1:12" s="103" customFormat="1" ht="15.75" hidden="1" customHeight="1" outlineLevel="1">
      <c r="A133" s="916"/>
      <c r="B133" s="1123">
        <v>41</v>
      </c>
      <c r="C133" s="1127"/>
      <c r="D133" s="1125"/>
      <c r="E133" s="1125" t="s">
        <v>18</v>
      </c>
      <c r="F133" s="1130" t="str">
        <f>VLOOKUP(E133,$N$13:$O$17,2,0)</f>
        <v>-</v>
      </c>
      <c r="G133" s="92"/>
      <c r="H133" s="1125"/>
      <c r="I133" s="1125"/>
      <c r="J133" s="1133"/>
      <c r="K133" s="1133"/>
      <c r="L133" s="916"/>
    </row>
    <row r="134" spans="1:12" s="103" customFormat="1" ht="15.75" hidden="1" customHeight="1" outlineLevel="1">
      <c r="A134" s="916"/>
      <c r="B134" s="1123"/>
      <c r="C134" s="1127"/>
      <c r="D134" s="1125"/>
      <c r="E134" s="1125"/>
      <c r="F134" s="1130"/>
      <c r="G134" s="95"/>
      <c r="H134" s="1125"/>
      <c r="I134" s="1125"/>
      <c r="J134" s="1134"/>
      <c r="K134" s="1134"/>
      <c r="L134" s="916"/>
    </row>
    <row r="135" spans="1:12" s="103" customFormat="1" ht="15.75" hidden="1" customHeight="1" outlineLevel="1">
      <c r="A135" s="916"/>
      <c r="B135" s="1124"/>
      <c r="C135" s="1128"/>
      <c r="D135" s="1126"/>
      <c r="E135" s="1126"/>
      <c r="F135" s="1132"/>
      <c r="G135" s="100"/>
      <c r="H135" s="1126"/>
      <c r="I135" s="1126"/>
      <c r="J135" s="1135"/>
      <c r="K135" s="1135"/>
      <c r="L135" s="916"/>
    </row>
    <row r="136" spans="1:12" s="103" customFormat="1" ht="15.75" hidden="1" customHeight="1" outlineLevel="1">
      <c r="A136" s="916"/>
      <c r="B136" s="1123">
        <v>42</v>
      </c>
      <c r="C136" s="1127"/>
      <c r="D136" s="1125"/>
      <c r="E136" s="1125" t="s">
        <v>18</v>
      </c>
      <c r="F136" s="1130" t="str">
        <f>VLOOKUP(E136,$N$13:$O$17,2,0)</f>
        <v>-</v>
      </c>
      <c r="G136" s="92"/>
      <c r="H136" s="1125"/>
      <c r="I136" s="1125"/>
      <c r="J136" s="1133"/>
      <c r="K136" s="1133"/>
      <c r="L136" s="916"/>
    </row>
    <row r="137" spans="1:12" s="103" customFormat="1" ht="15.75" hidden="1" customHeight="1" outlineLevel="1">
      <c r="A137" s="916"/>
      <c r="B137" s="1123"/>
      <c r="C137" s="1127"/>
      <c r="D137" s="1125"/>
      <c r="E137" s="1125"/>
      <c r="F137" s="1130"/>
      <c r="G137" s="95"/>
      <c r="H137" s="1125"/>
      <c r="I137" s="1125"/>
      <c r="J137" s="1134"/>
      <c r="K137" s="1134"/>
      <c r="L137" s="916"/>
    </row>
    <row r="138" spans="1:12" s="103" customFormat="1" ht="15.75" hidden="1" customHeight="1" outlineLevel="1">
      <c r="A138" s="916"/>
      <c r="B138" s="1124"/>
      <c r="C138" s="1128"/>
      <c r="D138" s="1126"/>
      <c r="E138" s="1126"/>
      <c r="F138" s="1132"/>
      <c r="G138" s="100"/>
      <c r="H138" s="1126"/>
      <c r="I138" s="1126"/>
      <c r="J138" s="1135"/>
      <c r="K138" s="1135"/>
      <c r="L138" s="916"/>
    </row>
    <row r="139" spans="1:12" s="103" customFormat="1" ht="15.75" hidden="1" customHeight="1" outlineLevel="1">
      <c r="A139" s="916"/>
      <c r="B139" s="1123">
        <v>43</v>
      </c>
      <c r="C139" s="1127"/>
      <c r="D139" s="1125"/>
      <c r="E139" s="1125" t="s">
        <v>18</v>
      </c>
      <c r="F139" s="1130" t="str">
        <f>VLOOKUP(E139,$N$13:$O$17,2,0)</f>
        <v>-</v>
      </c>
      <c r="G139" s="92"/>
      <c r="H139" s="1125"/>
      <c r="I139" s="1125"/>
      <c r="J139" s="1133"/>
      <c r="K139" s="1133"/>
      <c r="L139" s="916"/>
    </row>
    <row r="140" spans="1:12" s="103" customFormat="1" ht="15.75" hidden="1" customHeight="1" outlineLevel="1">
      <c r="A140" s="916"/>
      <c r="B140" s="1123"/>
      <c r="C140" s="1127"/>
      <c r="D140" s="1125"/>
      <c r="E140" s="1125"/>
      <c r="F140" s="1130"/>
      <c r="G140" s="95"/>
      <c r="H140" s="1125"/>
      <c r="I140" s="1125"/>
      <c r="J140" s="1134"/>
      <c r="K140" s="1134"/>
      <c r="L140" s="916"/>
    </row>
    <row r="141" spans="1:12" s="103" customFormat="1" ht="15.75" hidden="1" customHeight="1" outlineLevel="1">
      <c r="A141" s="916"/>
      <c r="B141" s="1124"/>
      <c r="C141" s="1128"/>
      <c r="D141" s="1126"/>
      <c r="E141" s="1126"/>
      <c r="F141" s="1132"/>
      <c r="G141" s="100"/>
      <c r="H141" s="1126"/>
      <c r="I141" s="1126"/>
      <c r="J141" s="1135"/>
      <c r="K141" s="1135"/>
      <c r="L141" s="916"/>
    </row>
    <row r="142" spans="1:12" s="103" customFormat="1" ht="15.75" hidden="1" customHeight="1" outlineLevel="1">
      <c r="A142" s="916"/>
      <c r="B142" s="1123">
        <v>44</v>
      </c>
      <c r="C142" s="1127"/>
      <c r="D142" s="1125"/>
      <c r="E142" s="1125" t="s">
        <v>18</v>
      </c>
      <c r="F142" s="1130" t="str">
        <f>VLOOKUP(E142,$N$13:$O$17,2,0)</f>
        <v>-</v>
      </c>
      <c r="G142" s="92"/>
      <c r="H142" s="90"/>
      <c r="I142" s="1125"/>
      <c r="J142" s="1133"/>
      <c r="K142" s="1133"/>
      <c r="L142" s="916"/>
    </row>
    <row r="143" spans="1:12" s="103" customFormat="1" ht="15.75" hidden="1" customHeight="1" outlineLevel="1">
      <c r="A143" s="916"/>
      <c r="B143" s="1123"/>
      <c r="C143" s="1127"/>
      <c r="D143" s="1125"/>
      <c r="E143" s="1125"/>
      <c r="F143" s="1130"/>
      <c r="G143" s="95"/>
      <c r="H143" s="90"/>
      <c r="I143" s="1125"/>
      <c r="J143" s="1134"/>
      <c r="K143" s="1134"/>
      <c r="L143" s="916"/>
    </row>
    <row r="144" spans="1:12" s="103" customFormat="1" ht="15.75" hidden="1" customHeight="1" outlineLevel="1">
      <c r="A144" s="916"/>
      <c r="B144" s="1124"/>
      <c r="C144" s="1128"/>
      <c r="D144" s="1126"/>
      <c r="E144" s="1126"/>
      <c r="F144" s="1132"/>
      <c r="G144" s="100"/>
      <c r="H144" s="98"/>
      <c r="I144" s="1126"/>
      <c r="J144" s="1135"/>
      <c r="K144" s="1135"/>
      <c r="L144" s="916"/>
    </row>
    <row r="145" spans="1:12" s="103" customFormat="1" ht="15.75" hidden="1" customHeight="1" outlineLevel="1">
      <c r="A145" s="916"/>
      <c r="B145" s="1123">
        <v>45</v>
      </c>
      <c r="C145" s="1127"/>
      <c r="D145" s="1125"/>
      <c r="E145" s="1125" t="s">
        <v>18</v>
      </c>
      <c r="F145" s="1130" t="str">
        <f>VLOOKUP(E145,$N$13:$O$17,2,0)</f>
        <v>-</v>
      </c>
      <c r="G145" s="92"/>
      <c r="H145" s="90"/>
      <c r="I145" s="1125"/>
      <c r="J145" s="1133"/>
      <c r="K145" s="1133"/>
      <c r="L145" s="916"/>
    </row>
    <row r="146" spans="1:12" s="103" customFormat="1" ht="15.75" hidden="1" customHeight="1" outlineLevel="1">
      <c r="A146" s="916"/>
      <c r="B146" s="1123"/>
      <c r="C146" s="1127"/>
      <c r="D146" s="1125"/>
      <c r="E146" s="1125"/>
      <c r="F146" s="1130"/>
      <c r="G146" s="95"/>
      <c r="H146" s="90"/>
      <c r="I146" s="1125"/>
      <c r="J146" s="1134"/>
      <c r="K146" s="1134"/>
      <c r="L146" s="916"/>
    </row>
    <row r="147" spans="1:12" s="103" customFormat="1" ht="15.75" hidden="1" customHeight="1" outlineLevel="1">
      <c r="A147" s="916"/>
      <c r="B147" s="1124"/>
      <c r="C147" s="1128"/>
      <c r="D147" s="1126"/>
      <c r="E147" s="1126"/>
      <c r="F147" s="1132"/>
      <c r="G147" s="100"/>
      <c r="H147" s="98"/>
      <c r="I147" s="1126"/>
      <c r="J147" s="1135"/>
      <c r="K147" s="1135"/>
      <c r="L147" s="916"/>
    </row>
    <row r="148" spans="1:12" s="103" customFormat="1" ht="15.75" hidden="1" customHeight="1" outlineLevel="1">
      <c r="A148" s="916"/>
      <c r="B148" s="1123">
        <v>46</v>
      </c>
      <c r="C148" s="1127"/>
      <c r="D148" s="1125"/>
      <c r="E148" s="1125" t="s">
        <v>18</v>
      </c>
      <c r="F148" s="1130" t="str">
        <f>VLOOKUP(E148,$N$13:$O$17,2,0)</f>
        <v>-</v>
      </c>
      <c r="G148" s="92"/>
      <c r="H148" s="90"/>
      <c r="I148" s="1125"/>
      <c r="J148" s="1133"/>
      <c r="K148" s="1133"/>
      <c r="L148" s="916"/>
    </row>
    <row r="149" spans="1:12" s="103" customFormat="1" ht="15.75" hidden="1" customHeight="1" outlineLevel="1">
      <c r="A149" s="916"/>
      <c r="B149" s="1123"/>
      <c r="C149" s="1127"/>
      <c r="D149" s="1125"/>
      <c r="E149" s="1125"/>
      <c r="F149" s="1130"/>
      <c r="G149" s="95"/>
      <c r="H149" s="90"/>
      <c r="I149" s="1125"/>
      <c r="J149" s="1134"/>
      <c r="K149" s="1134"/>
      <c r="L149" s="916"/>
    </row>
    <row r="150" spans="1:12" s="103" customFormat="1" ht="15.75" hidden="1" customHeight="1" outlineLevel="1">
      <c r="A150" s="916"/>
      <c r="B150" s="1124"/>
      <c r="C150" s="1128"/>
      <c r="D150" s="1126"/>
      <c r="E150" s="1126"/>
      <c r="F150" s="1132"/>
      <c r="G150" s="100"/>
      <c r="H150" s="98"/>
      <c r="I150" s="1126"/>
      <c r="J150" s="1135"/>
      <c r="K150" s="1135"/>
      <c r="L150" s="916"/>
    </row>
    <row r="151" spans="1:12" s="103" customFormat="1" ht="15.75" hidden="1" customHeight="1" outlineLevel="1">
      <c r="A151" s="916"/>
      <c r="B151" s="1123">
        <v>47</v>
      </c>
      <c r="C151" s="1127"/>
      <c r="D151" s="1125"/>
      <c r="E151" s="1125" t="s">
        <v>18</v>
      </c>
      <c r="F151" s="1130" t="str">
        <f>VLOOKUP(E151,$N$13:$O$17,2,0)</f>
        <v>-</v>
      </c>
      <c r="G151" s="92"/>
      <c r="H151" s="90"/>
      <c r="I151" s="1125"/>
      <c r="J151" s="1133"/>
      <c r="K151" s="1133"/>
      <c r="L151" s="916"/>
    </row>
    <row r="152" spans="1:12" s="103" customFormat="1" ht="15.75" hidden="1" customHeight="1" outlineLevel="1">
      <c r="A152" s="916"/>
      <c r="B152" s="1123"/>
      <c r="C152" s="1127"/>
      <c r="D152" s="1125"/>
      <c r="E152" s="1125"/>
      <c r="F152" s="1130"/>
      <c r="G152" s="95"/>
      <c r="H152" s="90"/>
      <c r="I152" s="1125"/>
      <c r="J152" s="1134"/>
      <c r="K152" s="1134"/>
      <c r="L152" s="916"/>
    </row>
    <row r="153" spans="1:12" s="103" customFormat="1" ht="15.75" hidden="1" customHeight="1" outlineLevel="1">
      <c r="A153" s="916"/>
      <c r="B153" s="1124"/>
      <c r="C153" s="1128"/>
      <c r="D153" s="1126"/>
      <c r="E153" s="1126"/>
      <c r="F153" s="1132"/>
      <c r="G153" s="100"/>
      <c r="H153" s="98"/>
      <c r="I153" s="1126"/>
      <c r="J153" s="1135"/>
      <c r="K153" s="1135"/>
      <c r="L153" s="916"/>
    </row>
    <row r="154" spans="1:12" s="103" customFormat="1" ht="15.75" hidden="1" customHeight="1" outlineLevel="1">
      <c r="A154" s="916"/>
      <c r="B154" s="1123">
        <v>48</v>
      </c>
      <c r="C154" s="1127"/>
      <c r="D154" s="1125"/>
      <c r="E154" s="1125" t="s">
        <v>18</v>
      </c>
      <c r="F154" s="1130" t="str">
        <f>VLOOKUP(E154,$N$13:$O$17,2,0)</f>
        <v>-</v>
      </c>
      <c r="G154" s="92"/>
      <c r="H154" s="90"/>
      <c r="I154" s="1125"/>
      <c r="J154" s="1133"/>
      <c r="K154" s="1133"/>
      <c r="L154" s="916"/>
    </row>
    <row r="155" spans="1:12" s="103" customFormat="1" ht="15.75" hidden="1" customHeight="1" outlineLevel="1">
      <c r="A155" s="916"/>
      <c r="B155" s="1123"/>
      <c r="C155" s="1127"/>
      <c r="D155" s="1125"/>
      <c r="E155" s="1125"/>
      <c r="F155" s="1130"/>
      <c r="G155" s="95"/>
      <c r="H155" s="90"/>
      <c r="I155" s="1125"/>
      <c r="J155" s="1134"/>
      <c r="K155" s="1134"/>
      <c r="L155" s="916"/>
    </row>
    <row r="156" spans="1:12" s="103" customFormat="1" ht="15.75" hidden="1" customHeight="1" outlineLevel="1">
      <c r="A156" s="916"/>
      <c r="B156" s="1124"/>
      <c r="C156" s="1128"/>
      <c r="D156" s="1126"/>
      <c r="E156" s="1126"/>
      <c r="F156" s="1132"/>
      <c r="G156" s="100"/>
      <c r="H156" s="98"/>
      <c r="I156" s="1126"/>
      <c r="J156" s="1135"/>
      <c r="K156" s="1135"/>
      <c r="L156" s="916"/>
    </row>
    <row r="157" spans="1:12" s="103" customFormat="1" ht="15.75" hidden="1" customHeight="1" outlineLevel="1">
      <c r="A157" s="916"/>
      <c r="B157" s="1123">
        <v>49</v>
      </c>
      <c r="C157" s="1127"/>
      <c r="D157" s="1125"/>
      <c r="E157" s="1125" t="s">
        <v>18</v>
      </c>
      <c r="F157" s="1130" t="str">
        <f>VLOOKUP(E157,$N$13:$O$17,2,0)</f>
        <v>-</v>
      </c>
      <c r="G157" s="92"/>
      <c r="H157" s="90"/>
      <c r="I157" s="1125"/>
      <c r="J157" s="1133"/>
      <c r="K157" s="1133"/>
      <c r="L157" s="916"/>
    </row>
    <row r="158" spans="1:12" s="103" customFormat="1" ht="15.75" hidden="1" customHeight="1" outlineLevel="1">
      <c r="A158" s="916"/>
      <c r="B158" s="1123"/>
      <c r="C158" s="1127"/>
      <c r="D158" s="1125"/>
      <c r="E158" s="1125"/>
      <c r="F158" s="1130"/>
      <c r="G158" s="95"/>
      <c r="H158" s="90"/>
      <c r="I158" s="1125"/>
      <c r="J158" s="1134"/>
      <c r="K158" s="1134"/>
      <c r="L158" s="916"/>
    </row>
    <row r="159" spans="1:12" s="103" customFormat="1" ht="15.75" hidden="1" customHeight="1" outlineLevel="1">
      <c r="A159" s="916"/>
      <c r="B159" s="1124"/>
      <c r="C159" s="1128"/>
      <c r="D159" s="1126"/>
      <c r="E159" s="1126"/>
      <c r="F159" s="1132"/>
      <c r="G159" s="100"/>
      <c r="H159" s="98"/>
      <c r="I159" s="1126"/>
      <c r="J159" s="1135"/>
      <c r="K159" s="1135"/>
      <c r="L159" s="916"/>
    </row>
    <row r="160" spans="1:12" s="103" customFormat="1" ht="15.75" hidden="1" customHeight="1" outlineLevel="1">
      <c r="A160" s="916"/>
      <c r="B160" s="1123">
        <v>50</v>
      </c>
      <c r="C160" s="1127"/>
      <c r="D160" s="1125"/>
      <c r="E160" s="1125" t="s">
        <v>18</v>
      </c>
      <c r="F160" s="1130" t="str">
        <f>VLOOKUP(E160,$N$13:$O$17,2,0)</f>
        <v>-</v>
      </c>
      <c r="G160" s="92"/>
      <c r="H160" s="90"/>
      <c r="I160" s="1125"/>
      <c r="J160" s="1133"/>
      <c r="K160" s="1133"/>
      <c r="L160" s="916"/>
    </row>
    <row r="161" spans="1:12" s="103" customFormat="1" ht="15.75" hidden="1" customHeight="1" outlineLevel="1">
      <c r="A161" s="916"/>
      <c r="B161" s="1123"/>
      <c r="C161" s="1127"/>
      <c r="D161" s="1125"/>
      <c r="E161" s="1125"/>
      <c r="F161" s="1130"/>
      <c r="G161" s="95"/>
      <c r="H161" s="90"/>
      <c r="I161" s="1125"/>
      <c r="J161" s="1134"/>
      <c r="K161" s="1134"/>
      <c r="L161" s="916"/>
    </row>
    <row r="162" spans="1:12" s="103" customFormat="1" ht="15.75" hidden="1" customHeight="1" outlineLevel="1">
      <c r="A162" s="916"/>
      <c r="B162" s="1124"/>
      <c r="C162" s="1128"/>
      <c r="D162" s="1126"/>
      <c r="E162" s="1126"/>
      <c r="F162" s="1132"/>
      <c r="G162" s="100"/>
      <c r="H162" s="98"/>
      <c r="I162" s="1126"/>
      <c r="J162" s="1135"/>
      <c r="K162" s="1135"/>
      <c r="L162" s="916"/>
    </row>
    <row r="163" spans="1:12" s="103" customFormat="1" ht="15.75" hidden="1" customHeight="1" outlineLevel="1">
      <c r="A163" s="916"/>
      <c r="B163" s="1123">
        <v>51</v>
      </c>
      <c r="C163" s="1127"/>
      <c r="D163" s="1125"/>
      <c r="E163" s="1125" t="s">
        <v>18</v>
      </c>
      <c r="F163" s="1130" t="str">
        <f>VLOOKUP(E163,$N$13:$O$17,2,0)</f>
        <v>-</v>
      </c>
      <c r="G163" s="92"/>
      <c r="H163" s="90"/>
      <c r="I163" s="1125"/>
      <c r="J163" s="1133"/>
      <c r="K163" s="1133"/>
      <c r="L163" s="916"/>
    </row>
    <row r="164" spans="1:12" s="103" customFormat="1" ht="15.75" hidden="1" customHeight="1" outlineLevel="1">
      <c r="A164" s="916"/>
      <c r="B164" s="1123"/>
      <c r="C164" s="1127"/>
      <c r="D164" s="1125"/>
      <c r="E164" s="1125"/>
      <c r="F164" s="1130"/>
      <c r="G164" s="95"/>
      <c r="H164" s="90"/>
      <c r="I164" s="1125"/>
      <c r="J164" s="1134"/>
      <c r="K164" s="1134"/>
      <c r="L164" s="916"/>
    </row>
    <row r="165" spans="1:12" s="103" customFormat="1" ht="15.75" hidden="1" customHeight="1" outlineLevel="1">
      <c r="A165" s="916"/>
      <c r="B165" s="1124"/>
      <c r="C165" s="1128"/>
      <c r="D165" s="1126"/>
      <c r="E165" s="1126"/>
      <c r="F165" s="1132"/>
      <c r="G165" s="100"/>
      <c r="H165" s="98"/>
      <c r="I165" s="1126"/>
      <c r="J165" s="1135"/>
      <c r="K165" s="1135"/>
      <c r="L165" s="916"/>
    </row>
    <row r="166" spans="1:12" s="103" customFormat="1" ht="15.75" hidden="1" customHeight="1" outlineLevel="1">
      <c r="A166" s="916"/>
      <c r="B166" s="1123">
        <v>52</v>
      </c>
      <c r="C166" s="1127"/>
      <c r="D166" s="1125"/>
      <c r="E166" s="1125" t="s">
        <v>18</v>
      </c>
      <c r="F166" s="1130" t="str">
        <f>VLOOKUP(E166,$N$13:$O$17,2,0)</f>
        <v>-</v>
      </c>
      <c r="G166" s="92"/>
      <c r="H166" s="90"/>
      <c r="I166" s="1125"/>
      <c r="J166" s="1133"/>
      <c r="K166" s="1133"/>
      <c r="L166" s="916"/>
    </row>
    <row r="167" spans="1:12" s="103" customFormat="1" ht="15.75" hidden="1" customHeight="1" outlineLevel="1">
      <c r="A167" s="916"/>
      <c r="B167" s="1123"/>
      <c r="C167" s="1127"/>
      <c r="D167" s="1125"/>
      <c r="E167" s="1125"/>
      <c r="F167" s="1130"/>
      <c r="G167" s="95"/>
      <c r="H167" s="90"/>
      <c r="I167" s="1125"/>
      <c r="J167" s="1134"/>
      <c r="K167" s="1134"/>
      <c r="L167" s="916"/>
    </row>
    <row r="168" spans="1:12" s="103" customFormat="1" ht="15.75" hidden="1" customHeight="1" outlineLevel="1">
      <c r="A168" s="916"/>
      <c r="B168" s="1124"/>
      <c r="C168" s="1128"/>
      <c r="D168" s="1126"/>
      <c r="E168" s="1126"/>
      <c r="F168" s="1132"/>
      <c r="G168" s="100"/>
      <c r="H168" s="98"/>
      <c r="I168" s="1126"/>
      <c r="J168" s="1135"/>
      <c r="K168" s="1135"/>
      <c r="L168" s="916"/>
    </row>
    <row r="169" spans="1:12" s="103" customFormat="1" ht="15.75" hidden="1" customHeight="1" outlineLevel="1">
      <c r="A169" s="916"/>
      <c r="B169" s="1123">
        <v>53</v>
      </c>
      <c r="C169" s="1127"/>
      <c r="D169" s="1125"/>
      <c r="E169" s="1125" t="s">
        <v>18</v>
      </c>
      <c r="F169" s="1130" t="str">
        <f>VLOOKUP(E169,$N$13:$O$17,2,0)</f>
        <v>-</v>
      </c>
      <c r="G169" s="92"/>
      <c r="H169" s="90"/>
      <c r="I169" s="1125"/>
      <c r="J169" s="1133"/>
      <c r="K169" s="1133"/>
      <c r="L169" s="916"/>
    </row>
    <row r="170" spans="1:12" s="103" customFormat="1" ht="15.75" hidden="1" customHeight="1" outlineLevel="1">
      <c r="A170" s="916"/>
      <c r="B170" s="1123"/>
      <c r="C170" s="1127"/>
      <c r="D170" s="1125"/>
      <c r="E170" s="1125"/>
      <c r="F170" s="1130"/>
      <c r="G170" s="95"/>
      <c r="H170" s="90"/>
      <c r="I170" s="1125"/>
      <c r="J170" s="1134"/>
      <c r="K170" s="1134"/>
      <c r="L170" s="916"/>
    </row>
    <row r="171" spans="1:12" s="103" customFormat="1" ht="15.75" hidden="1" customHeight="1" outlineLevel="1">
      <c r="A171" s="916"/>
      <c r="B171" s="1124"/>
      <c r="C171" s="1128"/>
      <c r="D171" s="1126"/>
      <c r="E171" s="1126"/>
      <c r="F171" s="1132"/>
      <c r="G171" s="100"/>
      <c r="H171" s="98"/>
      <c r="I171" s="1126"/>
      <c r="J171" s="1135"/>
      <c r="K171" s="1135"/>
      <c r="L171" s="916"/>
    </row>
    <row r="172" spans="1:12" s="103" customFormat="1" ht="15.75" hidden="1" customHeight="1" outlineLevel="1">
      <c r="A172" s="916"/>
      <c r="B172" s="1123">
        <v>54</v>
      </c>
      <c r="C172" s="1127"/>
      <c r="D172" s="1125"/>
      <c r="E172" s="1125" t="s">
        <v>18</v>
      </c>
      <c r="F172" s="1130" t="str">
        <f>VLOOKUP(E172,$N$13:$O$17,2,0)</f>
        <v>-</v>
      </c>
      <c r="G172" s="92"/>
      <c r="H172" s="90"/>
      <c r="I172" s="1125"/>
      <c r="J172" s="1133"/>
      <c r="K172" s="1133"/>
      <c r="L172" s="916"/>
    </row>
    <row r="173" spans="1:12" s="103" customFormat="1" ht="15.75" hidden="1" customHeight="1" outlineLevel="1">
      <c r="A173" s="916"/>
      <c r="B173" s="1123"/>
      <c r="C173" s="1127"/>
      <c r="D173" s="1125"/>
      <c r="E173" s="1125"/>
      <c r="F173" s="1130"/>
      <c r="G173" s="95"/>
      <c r="H173" s="90"/>
      <c r="I173" s="1125"/>
      <c r="J173" s="1134"/>
      <c r="K173" s="1134"/>
      <c r="L173" s="916"/>
    </row>
    <row r="174" spans="1:12" s="103" customFormat="1" ht="15.75" hidden="1" customHeight="1" outlineLevel="1">
      <c r="A174" s="916"/>
      <c r="B174" s="1124"/>
      <c r="C174" s="1128"/>
      <c r="D174" s="1126"/>
      <c r="E174" s="1126"/>
      <c r="F174" s="1132"/>
      <c r="G174" s="100"/>
      <c r="H174" s="98"/>
      <c r="I174" s="1126"/>
      <c r="J174" s="1135"/>
      <c r="K174" s="1135"/>
      <c r="L174" s="916"/>
    </row>
    <row r="175" spans="1:12" s="103" customFormat="1" ht="15.75" hidden="1" customHeight="1" outlineLevel="1">
      <c r="A175" s="916"/>
      <c r="B175" s="1123">
        <v>55</v>
      </c>
      <c r="C175" s="1127"/>
      <c r="D175" s="1125"/>
      <c r="E175" s="1125" t="s">
        <v>18</v>
      </c>
      <c r="F175" s="1130" t="str">
        <f>VLOOKUP(E175,$N$13:$O$17,2,0)</f>
        <v>-</v>
      </c>
      <c r="G175" s="92"/>
      <c r="H175" s="90"/>
      <c r="I175" s="1125"/>
      <c r="J175" s="1133"/>
      <c r="K175" s="1133"/>
      <c r="L175" s="916"/>
    </row>
    <row r="176" spans="1:12" s="103" customFormat="1" ht="15.75" hidden="1" customHeight="1" outlineLevel="1">
      <c r="A176" s="916"/>
      <c r="B176" s="1123"/>
      <c r="C176" s="1127"/>
      <c r="D176" s="1125"/>
      <c r="E176" s="1125"/>
      <c r="F176" s="1130"/>
      <c r="G176" s="95"/>
      <c r="H176" s="90"/>
      <c r="I176" s="1125"/>
      <c r="J176" s="1134"/>
      <c r="K176" s="1134"/>
      <c r="L176" s="916"/>
    </row>
    <row r="177" spans="1:12" s="103" customFormat="1" ht="15.75" hidden="1" customHeight="1" outlineLevel="1">
      <c r="A177" s="916"/>
      <c r="B177" s="1124"/>
      <c r="C177" s="1128"/>
      <c r="D177" s="1126"/>
      <c r="E177" s="1126"/>
      <c r="F177" s="1132"/>
      <c r="G177" s="100"/>
      <c r="H177" s="98"/>
      <c r="I177" s="1126"/>
      <c r="J177" s="1135"/>
      <c r="K177" s="1135"/>
      <c r="L177" s="916"/>
    </row>
    <row r="178" spans="1:12" s="103" customFormat="1" ht="15.75" hidden="1" customHeight="1" outlineLevel="1">
      <c r="A178" s="916"/>
      <c r="B178" s="1123">
        <v>56</v>
      </c>
      <c r="C178" s="1127"/>
      <c r="D178" s="1125"/>
      <c r="E178" s="1125" t="s">
        <v>18</v>
      </c>
      <c r="F178" s="1130" t="str">
        <f>VLOOKUP(E178,$N$13:$O$17,2,0)</f>
        <v>-</v>
      </c>
      <c r="G178" s="92"/>
      <c r="H178" s="90"/>
      <c r="I178" s="1125"/>
      <c r="J178" s="1133"/>
      <c r="K178" s="1133"/>
      <c r="L178" s="916"/>
    </row>
    <row r="179" spans="1:12" s="103" customFormat="1" ht="15.75" hidden="1" customHeight="1" outlineLevel="1">
      <c r="A179" s="916"/>
      <c r="B179" s="1123"/>
      <c r="C179" s="1127"/>
      <c r="D179" s="1125"/>
      <c r="E179" s="1125"/>
      <c r="F179" s="1130"/>
      <c r="G179" s="95"/>
      <c r="H179" s="90"/>
      <c r="I179" s="1125"/>
      <c r="J179" s="1134"/>
      <c r="K179" s="1134"/>
      <c r="L179" s="916"/>
    </row>
    <row r="180" spans="1:12" s="103" customFormat="1" ht="15.75" hidden="1" customHeight="1" outlineLevel="1">
      <c r="A180" s="916"/>
      <c r="B180" s="1124"/>
      <c r="C180" s="1128"/>
      <c r="D180" s="1126"/>
      <c r="E180" s="1126"/>
      <c r="F180" s="1132"/>
      <c r="G180" s="100"/>
      <c r="H180" s="98"/>
      <c r="I180" s="1126"/>
      <c r="J180" s="1135"/>
      <c r="K180" s="1135"/>
      <c r="L180" s="916"/>
    </row>
    <row r="181" spans="1:12" s="103" customFormat="1" ht="15.75" hidden="1" customHeight="1" outlineLevel="1">
      <c r="A181" s="916"/>
      <c r="B181" s="1123">
        <v>57</v>
      </c>
      <c r="C181" s="1127"/>
      <c r="D181" s="1125"/>
      <c r="E181" s="1125" t="s">
        <v>18</v>
      </c>
      <c r="F181" s="1130" t="str">
        <f>VLOOKUP(E181,$N$13:$O$17,2,0)</f>
        <v>-</v>
      </c>
      <c r="G181" s="92"/>
      <c r="H181" s="90"/>
      <c r="I181" s="1125"/>
      <c r="J181" s="1133"/>
      <c r="K181" s="1133"/>
      <c r="L181" s="916"/>
    </row>
    <row r="182" spans="1:12" s="103" customFormat="1" ht="15.75" hidden="1" customHeight="1" outlineLevel="1">
      <c r="A182" s="916"/>
      <c r="B182" s="1123"/>
      <c r="C182" s="1127"/>
      <c r="D182" s="1125"/>
      <c r="E182" s="1125"/>
      <c r="F182" s="1130"/>
      <c r="G182" s="95"/>
      <c r="H182" s="90"/>
      <c r="I182" s="1125"/>
      <c r="J182" s="1134"/>
      <c r="K182" s="1134"/>
      <c r="L182" s="916"/>
    </row>
    <row r="183" spans="1:12" s="103" customFormat="1" ht="15.75" hidden="1" customHeight="1" outlineLevel="1">
      <c r="A183" s="916"/>
      <c r="B183" s="1124"/>
      <c r="C183" s="1128"/>
      <c r="D183" s="1126"/>
      <c r="E183" s="1126"/>
      <c r="F183" s="1132"/>
      <c r="G183" s="100"/>
      <c r="H183" s="98"/>
      <c r="I183" s="1126"/>
      <c r="J183" s="1135"/>
      <c r="K183" s="1135"/>
      <c r="L183" s="916"/>
    </row>
    <row r="184" spans="1:12" s="103" customFormat="1" ht="15.75" hidden="1" customHeight="1" outlineLevel="1">
      <c r="A184" s="916"/>
      <c r="B184" s="1123">
        <v>58</v>
      </c>
      <c r="C184" s="1127"/>
      <c r="D184" s="1125"/>
      <c r="E184" s="1125" t="s">
        <v>18</v>
      </c>
      <c r="F184" s="1130" t="str">
        <f>VLOOKUP(E184,$N$13:$O$17,2,0)</f>
        <v>-</v>
      </c>
      <c r="G184" s="92"/>
      <c r="H184" s="90"/>
      <c r="I184" s="1125"/>
      <c r="J184" s="1133"/>
      <c r="K184" s="1133"/>
      <c r="L184" s="916"/>
    </row>
    <row r="185" spans="1:12" s="103" customFormat="1" ht="15.75" hidden="1" customHeight="1" outlineLevel="1">
      <c r="A185" s="916"/>
      <c r="B185" s="1123"/>
      <c r="C185" s="1127"/>
      <c r="D185" s="1125"/>
      <c r="E185" s="1125"/>
      <c r="F185" s="1130"/>
      <c r="G185" s="95"/>
      <c r="H185" s="90"/>
      <c r="I185" s="1125"/>
      <c r="J185" s="1134"/>
      <c r="K185" s="1134"/>
      <c r="L185" s="916"/>
    </row>
    <row r="186" spans="1:12" s="103" customFormat="1" ht="15.75" hidden="1" customHeight="1" outlineLevel="1">
      <c r="A186" s="916"/>
      <c r="B186" s="1124"/>
      <c r="C186" s="1128"/>
      <c r="D186" s="1126"/>
      <c r="E186" s="1126"/>
      <c r="F186" s="1132"/>
      <c r="G186" s="100"/>
      <c r="H186" s="98"/>
      <c r="I186" s="1126"/>
      <c r="J186" s="1135"/>
      <c r="K186" s="1135"/>
      <c r="L186" s="916"/>
    </row>
    <row r="187" spans="1:12" s="103" customFormat="1" ht="15.75" hidden="1" customHeight="1" outlineLevel="1">
      <c r="A187" s="916"/>
      <c r="B187" s="1123">
        <v>59</v>
      </c>
      <c r="C187" s="1127"/>
      <c r="D187" s="1125"/>
      <c r="E187" s="1125" t="s">
        <v>18</v>
      </c>
      <c r="F187" s="1130" t="str">
        <f>VLOOKUP(E187,$N$13:$O$17,2,0)</f>
        <v>-</v>
      </c>
      <c r="G187" s="92"/>
      <c r="H187" s="90"/>
      <c r="I187" s="1125"/>
      <c r="J187" s="1133"/>
      <c r="K187" s="1133"/>
      <c r="L187" s="916"/>
    </row>
    <row r="188" spans="1:12" s="103" customFormat="1" ht="15.75" hidden="1" customHeight="1" outlineLevel="1">
      <c r="A188" s="916"/>
      <c r="B188" s="1123"/>
      <c r="C188" s="1127"/>
      <c r="D188" s="1125"/>
      <c r="E188" s="1125"/>
      <c r="F188" s="1130"/>
      <c r="G188" s="95"/>
      <c r="H188" s="90"/>
      <c r="I188" s="1125"/>
      <c r="J188" s="1134"/>
      <c r="K188" s="1134"/>
      <c r="L188" s="916"/>
    </row>
    <row r="189" spans="1:12" s="103" customFormat="1" ht="15.75" hidden="1" customHeight="1" outlineLevel="1">
      <c r="A189" s="916"/>
      <c r="B189" s="1124"/>
      <c r="C189" s="1128"/>
      <c r="D189" s="1126"/>
      <c r="E189" s="1126"/>
      <c r="F189" s="1132"/>
      <c r="G189" s="100"/>
      <c r="H189" s="98"/>
      <c r="I189" s="1126"/>
      <c r="J189" s="1135"/>
      <c r="K189" s="1135"/>
      <c r="L189" s="916"/>
    </row>
    <row r="190" spans="1:12" s="103" customFormat="1" ht="15.75" hidden="1" customHeight="1" outlineLevel="1">
      <c r="A190" s="916"/>
      <c r="B190" s="1123">
        <v>60</v>
      </c>
      <c r="C190" s="1127"/>
      <c r="D190" s="1125"/>
      <c r="E190" s="1125" t="s">
        <v>18</v>
      </c>
      <c r="F190" s="1130" t="str">
        <f>VLOOKUP(E190,$N$13:$O$17,2,0)</f>
        <v>-</v>
      </c>
      <c r="G190" s="92"/>
      <c r="H190" s="90"/>
      <c r="I190" s="1125"/>
      <c r="J190" s="1133"/>
      <c r="K190" s="1133"/>
      <c r="L190" s="916"/>
    </row>
    <row r="191" spans="1:12" s="103" customFormat="1" ht="15.75" hidden="1" customHeight="1" outlineLevel="1">
      <c r="A191" s="916"/>
      <c r="B191" s="1123"/>
      <c r="C191" s="1127"/>
      <c r="D191" s="1125"/>
      <c r="E191" s="1125"/>
      <c r="F191" s="1130"/>
      <c r="G191" s="95"/>
      <c r="H191" s="90"/>
      <c r="I191" s="1125"/>
      <c r="J191" s="1134"/>
      <c r="K191" s="1134"/>
      <c r="L191" s="916"/>
    </row>
    <row r="192" spans="1:12" s="103" customFormat="1" ht="15.75" hidden="1" customHeight="1" outlineLevel="1">
      <c r="A192" s="916"/>
      <c r="B192" s="1124"/>
      <c r="C192" s="1128"/>
      <c r="D192" s="1126"/>
      <c r="E192" s="1126"/>
      <c r="F192" s="1132"/>
      <c r="G192" s="100"/>
      <c r="H192" s="98"/>
      <c r="I192" s="1126"/>
      <c r="J192" s="1135"/>
      <c r="K192" s="1135"/>
      <c r="L192" s="916"/>
    </row>
    <row r="193" spans="1:12" s="103" customFormat="1" ht="15.75" hidden="1" customHeight="1" outlineLevel="1">
      <c r="A193" s="916"/>
      <c r="B193" s="1123">
        <v>61</v>
      </c>
      <c r="C193" s="1127"/>
      <c r="D193" s="1125"/>
      <c r="E193" s="1125" t="s">
        <v>18</v>
      </c>
      <c r="F193" s="1130" t="str">
        <f>VLOOKUP(E193,$N$13:$O$17,2,0)</f>
        <v>-</v>
      </c>
      <c r="G193" s="92"/>
      <c r="H193" s="90"/>
      <c r="I193" s="1125"/>
      <c r="J193" s="1133"/>
      <c r="K193" s="1133"/>
      <c r="L193" s="916"/>
    </row>
    <row r="194" spans="1:12" s="103" customFormat="1" ht="15.75" hidden="1" customHeight="1" outlineLevel="1">
      <c r="A194" s="916"/>
      <c r="B194" s="1123"/>
      <c r="C194" s="1127"/>
      <c r="D194" s="1125"/>
      <c r="E194" s="1125"/>
      <c r="F194" s="1130"/>
      <c r="G194" s="95"/>
      <c r="H194" s="90"/>
      <c r="I194" s="1125"/>
      <c r="J194" s="1134"/>
      <c r="K194" s="1134"/>
      <c r="L194" s="916"/>
    </row>
    <row r="195" spans="1:12" s="103" customFormat="1" ht="15.75" hidden="1" customHeight="1" outlineLevel="1">
      <c r="A195" s="916"/>
      <c r="B195" s="1124"/>
      <c r="C195" s="1128"/>
      <c r="D195" s="1126"/>
      <c r="E195" s="1126"/>
      <c r="F195" s="1132"/>
      <c r="G195" s="100"/>
      <c r="H195" s="98"/>
      <c r="I195" s="1126"/>
      <c r="J195" s="1135"/>
      <c r="K195" s="1135"/>
      <c r="L195" s="916"/>
    </row>
    <row r="196" spans="1:12" s="103" customFormat="1" ht="15.75" hidden="1" customHeight="1" outlineLevel="1">
      <c r="A196" s="916"/>
      <c r="B196" s="1123">
        <v>62</v>
      </c>
      <c r="C196" s="1127"/>
      <c r="D196" s="1125"/>
      <c r="E196" s="1125" t="s">
        <v>18</v>
      </c>
      <c r="F196" s="1130" t="str">
        <f>VLOOKUP(E196,$N$13:$O$17,2,0)</f>
        <v>-</v>
      </c>
      <c r="G196" s="92"/>
      <c r="H196" s="90"/>
      <c r="I196" s="1125"/>
      <c r="J196" s="1133"/>
      <c r="K196" s="1133"/>
      <c r="L196" s="916"/>
    </row>
    <row r="197" spans="1:12" s="103" customFormat="1" ht="15.75" hidden="1" customHeight="1" outlineLevel="1">
      <c r="A197" s="916"/>
      <c r="B197" s="1123"/>
      <c r="C197" s="1127"/>
      <c r="D197" s="1125"/>
      <c r="E197" s="1125"/>
      <c r="F197" s="1130"/>
      <c r="G197" s="95"/>
      <c r="H197" s="90"/>
      <c r="I197" s="1125"/>
      <c r="J197" s="1134"/>
      <c r="K197" s="1134"/>
      <c r="L197" s="916"/>
    </row>
    <row r="198" spans="1:12" s="103" customFormat="1" ht="15.75" hidden="1" customHeight="1" outlineLevel="1">
      <c r="A198" s="916"/>
      <c r="B198" s="1124"/>
      <c r="C198" s="1128"/>
      <c r="D198" s="1126"/>
      <c r="E198" s="1126"/>
      <c r="F198" s="1132"/>
      <c r="G198" s="100"/>
      <c r="H198" s="98"/>
      <c r="I198" s="1126"/>
      <c r="J198" s="1135"/>
      <c r="K198" s="1135"/>
      <c r="L198" s="916"/>
    </row>
    <row r="199" spans="1:12" s="103" customFormat="1" ht="15.75" hidden="1" customHeight="1" outlineLevel="1">
      <c r="A199" s="916"/>
      <c r="B199" s="1123">
        <v>63</v>
      </c>
      <c r="C199" s="1127"/>
      <c r="D199" s="1125"/>
      <c r="E199" s="1125" t="s">
        <v>18</v>
      </c>
      <c r="F199" s="1130" t="str">
        <f>VLOOKUP(E199,$N$13:$O$17,2,0)</f>
        <v>-</v>
      </c>
      <c r="G199" s="92"/>
      <c r="H199" s="90"/>
      <c r="I199" s="1125"/>
      <c r="J199" s="1133"/>
      <c r="K199" s="1133"/>
      <c r="L199" s="916"/>
    </row>
    <row r="200" spans="1:12" s="103" customFormat="1" ht="15.75" hidden="1" customHeight="1" outlineLevel="1">
      <c r="A200" s="916"/>
      <c r="B200" s="1123"/>
      <c r="C200" s="1127"/>
      <c r="D200" s="1125"/>
      <c r="E200" s="1125"/>
      <c r="F200" s="1130"/>
      <c r="G200" s="95"/>
      <c r="H200" s="90"/>
      <c r="I200" s="1125"/>
      <c r="J200" s="1134"/>
      <c r="K200" s="1134"/>
      <c r="L200" s="916"/>
    </row>
    <row r="201" spans="1:12" s="103" customFormat="1" ht="15.75" hidden="1" customHeight="1" outlineLevel="1">
      <c r="A201" s="916"/>
      <c r="B201" s="1124"/>
      <c r="C201" s="1128"/>
      <c r="D201" s="1126"/>
      <c r="E201" s="1126"/>
      <c r="F201" s="1132"/>
      <c r="G201" s="100"/>
      <c r="H201" s="98"/>
      <c r="I201" s="1126"/>
      <c r="J201" s="1135"/>
      <c r="K201" s="1135"/>
      <c r="L201" s="916"/>
    </row>
    <row r="202" spans="1:12" s="103" customFormat="1" ht="15.75" hidden="1" customHeight="1" outlineLevel="1">
      <c r="A202" s="916"/>
      <c r="B202" s="1123">
        <v>64</v>
      </c>
      <c r="C202" s="1127"/>
      <c r="D202" s="1125"/>
      <c r="E202" s="1125" t="s">
        <v>18</v>
      </c>
      <c r="F202" s="1130" t="str">
        <f>VLOOKUP(E202,$N$13:$O$17,2,0)</f>
        <v>-</v>
      </c>
      <c r="G202" s="92"/>
      <c r="H202" s="90"/>
      <c r="I202" s="1125"/>
      <c r="J202" s="1133"/>
      <c r="K202" s="1133"/>
      <c r="L202" s="916"/>
    </row>
    <row r="203" spans="1:12" s="103" customFormat="1" ht="15.75" hidden="1" customHeight="1" outlineLevel="1">
      <c r="A203" s="916"/>
      <c r="B203" s="1123"/>
      <c r="C203" s="1127"/>
      <c r="D203" s="1125"/>
      <c r="E203" s="1125"/>
      <c r="F203" s="1130"/>
      <c r="G203" s="95"/>
      <c r="H203" s="90"/>
      <c r="I203" s="1125"/>
      <c r="J203" s="1134"/>
      <c r="K203" s="1134"/>
      <c r="L203" s="916"/>
    </row>
    <row r="204" spans="1:12" s="103" customFormat="1" ht="15.75" hidden="1" customHeight="1" outlineLevel="1">
      <c r="A204" s="916"/>
      <c r="B204" s="1124"/>
      <c r="C204" s="1128"/>
      <c r="D204" s="1126"/>
      <c r="E204" s="1126"/>
      <c r="F204" s="1132"/>
      <c r="G204" s="100"/>
      <c r="H204" s="98"/>
      <c r="I204" s="1126"/>
      <c r="J204" s="1135"/>
      <c r="K204" s="1135"/>
      <c r="L204" s="916"/>
    </row>
    <row r="205" spans="1:12" s="103" customFormat="1" ht="15.75" hidden="1" customHeight="1" outlineLevel="1">
      <c r="A205" s="916"/>
      <c r="B205" s="1123">
        <v>65</v>
      </c>
      <c r="C205" s="1127"/>
      <c r="D205" s="1125"/>
      <c r="E205" s="1125" t="s">
        <v>18</v>
      </c>
      <c r="F205" s="1130" t="str">
        <f>VLOOKUP(E205,$N$13:$O$17,2,0)</f>
        <v>-</v>
      </c>
      <c r="G205" s="92"/>
      <c r="H205" s="90"/>
      <c r="I205" s="1125"/>
      <c r="J205" s="1133"/>
      <c r="K205" s="1133"/>
      <c r="L205" s="916"/>
    </row>
    <row r="206" spans="1:12" s="103" customFormat="1" ht="15.75" hidden="1" customHeight="1" outlineLevel="1">
      <c r="A206" s="916"/>
      <c r="B206" s="1123"/>
      <c r="C206" s="1127"/>
      <c r="D206" s="1125"/>
      <c r="E206" s="1125"/>
      <c r="F206" s="1130"/>
      <c r="G206" s="95"/>
      <c r="H206" s="90"/>
      <c r="I206" s="1125"/>
      <c r="J206" s="1134"/>
      <c r="K206" s="1134"/>
      <c r="L206" s="916"/>
    </row>
    <row r="207" spans="1:12" s="103" customFormat="1" ht="15.75" hidden="1" customHeight="1" outlineLevel="1">
      <c r="A207" s="916"/>
      <c r="B207" s="1124"/>
      <c r="C207" s="1128"/>
      <c r="D207" s="1126"/>
      <c r="E207" s="1126"/>
      <c r="F207" s="1132"/>
      <c r="G207" s="100"/>
      <c r="H207" s="98"/>
      <c r="I207" s="1126"/>
      <c r="J207" s="1135"/>
      <c r="K207" s="1135"/>
      <c r="L207" s="916"/>
    </row>
    <row r="208" spans="1:12" s="103" customFormat="1" ht="15.75" hidden="1" customHeight="1" outlineLevel="1">
      <c r="A208" s="916"/>
      <c r="B208" s="1123">
        <v>66</v>
      </c>
      <c r="C208" s="1127"/>
      <c r="D208" s="1125"/>
      <c r="E208" s="1125" t="s">
        <v>18</v>
      </c>
      <c r="F208" s="1130" t="str">
        <f>VLOOKUP(E208,$N$13:$O$17,2,0)</f>
        <v>-</v>
      </c>
      <c r="G208" s="92"/>
      <c r="H208" s="90"/>
      <c r="I208" s="1125"/>
      <c r="J208" s="1133"/>
      <c r="K208" s="1133"/>
      <c r="L208" s="916"/>
    </row>
    <row r="209" spans="1:12" s="103" customFormat="1" ht="15.75" hidden="1" customHeight="1" outlineLevel="1">
      <c r="A209" s="916"/>
      <c r="B209" s="1123"/>
      <c r="C209" s="1127"/>
      <c r="D209" s="1125"/>
      <c r="E209" s="1125"/>
      <c r="F209" s="1130"/>
      <c r="G209" s="95"/>
      <c r="H209" s="90"/>
      <c r="I209" s="1125"/>
      <c r="J209" s="1134"/>
      <c r="K209" s="1134"/>
      <c r="L209" s="916"/>
    </row>
    <row r="210" spans="1:12" s="103" customFormat="1" ht="15.75" hidden="1" customHeight="1" outlineLevel="1">
      <c r="A210" s="916"/>
      <c r="B210" s="1124"/>
      <c r="C210" s="1128"/>
      <c r="D210" s="1126"/>
      <c r="E210" s="1126"/>
      <c r="F210" s="1132"/>
      <c r="G210" s="100"/>
      <c r="H210" s="98"/>
      <c r="I210" s="1126"/>
      <c r="J210" s="1135"/>
      <c r="K210" s="1135"/>
      <c r="L210" s="916"/>
    </row>
    <row r="211" spans="1:12" s="103" customFormat="1" ht="15.75" hidden="1" customHeight="1" outlineLevel="1">
      <c r="A211" s="916"/>
      <c r="B211" s="1123">
        <v>67</v>
      </c>
      <c r="C211" s="1127"/>
      <c r="D211" s="1125"/>
      <c r="E211" s="1125" t="s">
        <v>18</v>
      </c>
      <c r="F211" s="1130" t="str">
        <f>VLOOKUP(E211,$N$13:$O$17,2,0)</f>
        <v>-</v>
      </c>
      <c r="G211" s="92"/>
      <c r="H211" s="90"/>
      <c r="I211" s="1125"/>
      <c r="J211" s="1133"/>
      <c r="K211" s="1133"/>
      <c r="L211" s="916"/>
    </row>
    <row r="212" spans="1:12" s="103" customFormat="1" ht="15.75" hidden="1" customHeight="1" outlineLevel="1">
      <c r="A212" s="916"/>
      <c r="B212" s="1123"/>
      <c r="C212" s="1127"/>
      <c r="D212" s="1125"/>
      <c r="E212" s="1125"/>
      <c r="F212" s="1130"/>
      <c r="G212" s="95"/>
      <c r="H212" s="90"/>
      <c r="I212" s="1125"/>
      <c r="J212" s="1134"/>
      <c r="K212" s="1134"/>
      <c r="L212" s="916"/>
    </row>
    <row r="213" spans="1:12" s="103" customFormat="1" ht="15.75" hidden="1" customHeight="1" outlineLevel="1">
      <c r="A213" s="916"/>
      <c r="B213" s="1124"/>
      <c r="C213" s="1128"/>
      <c r="D213" s="1126"/>
      <c r="E213" s="1126"/>
      <c r="F213" s="1132"/>
      <c r="G213" s="100"/>
      <c r="H213" s="98"/>
      <c r="I213" s="1126"/>
      <c r="J213" s="1135"/>
      <c r="K213" s="1135"/>
      <c r="L213" s="916"/>
    </row>
    <row r="214" spans="1:12" s="103" customFormat="1" ht="15.75" hidden="1" customHeight="1" outlineLevel="1">
      <c r="A214" s="916"/>
      <c r="B214" s="1123">
        <v>68</v>
      </c>
      <c r="C214" s="1127"/>
      <c r="D214" s="1125"/>
      <c r="E214" s="1125" t="s">
        <v>18</v>
      </c>
      <c r="F214" s="1130" t="str">
        <f>VLOOKUP(E214,$N$13:$O$17,2,0)</f>
        <v>-</v>
      </c>
      <c r="G214" s="92"/>
      <c r="H214" s="90"/>
      <c r="I214" s="1125"/>
      <c r="J214" s="1133"/>
      <c r="K214" s="1133"/>
      <c r="L214" s="916"/>
    </row>
    <row r="215" spans="1:12" s="103" customFormat="1" ht="15.75" hidden="1" customHeight="1" outlineLevel="1">
      <c r="A215" s="916"/>
      <c r="B215" s="1123"/>
      <c r="C215" s="1127"/>
      <c r="D215" s="1125"/>
      <c r="E215" s="1125"/>
      <c r="F215" s="1130"/>
      <c r="G215" s="95"/>
      <c r="H215" s="90"/>
      <c r="I215" s="1125"/>
      <c r="J215" s="1134"/>
      <c r="K215" s="1134"/>
      <c r="L215" s="916"/>
    </row>
    <row r="216" spans="1:12" s="103" customFormat="1" ht="15.75" hidden="1" customHeight="1" outlineLevel="1">
      <c r="A216" s="916"/>
      <c r="B216" s="1124"/>
      <c r="C216" s="1128"/>
      <c r="D216" s="1126"/>
      <c r="E216" s="1126"/>
      <c r="F216" s="1132"/>
      <c r="G216" s="100"/>
      <c r="H216" s="98"/>
      <c r="I216" s="1126"/>
      <c r="J216" s="1135"/>
      <c r="K216" s="1135"/>
      <c r="L216" s="916"/>
    </row>
    <row r="217" spans="1:12" s="103" customFormat="1" ht="15.75" hidden="1" customHeight="1" outlineLevel="1">
      <c r="A217" s="916"/>
      <c r="B217" s="1123">
        <v>69</v>
      </c>
      <c r="C217" s="1127"/>
      <c r="D217" s="1125"/>
      <c r="E217" s="1125" t="s">
        <v>18</v>
      </c>
      <c r="F217" s="1130" t="str">
        <f>VLOOKUP(E217,$N$13:$O$17,2,0)</f>
        <v>-</v>
      </c>
      <c r="G217" s="92"/>
      <c r="H217" s="90"/>
      <c r="I217" s="1125"/>
      <c r="J217" s="1133"/>
      <c r="K217" s="1133"/>
      <c r="L217" s="916"/>
    </row>
    <row r="218" spans="1:12" s="103" customFormat="1" ht="15.75" hidden="1" customHeight="1" outlineLevel="1">
      <c r="A218" s="916"/>
      <c r="B218" s="1123"/>
      <c r="C218" s="1127"/>
      <c r="D218" s="1125"/>
      <c r="E218" s="1125"/>
      <c r="F218" s="1130"/>
      <c r="G218" s="95"/>
      <c r="H218" s="90"/>
      <c r="I218" s="1125"/>
      <c r="J218" s="1134"/>
      <c r="K218" s="1134"/>
      <c r="L218" s="916"/>
    </row>
    <row r="219" spans="1:12" s="103" customFormat="1" ht="15.75" hidden="1" customHeight="1" outlineLevel="1">
      <c r="A219" s="916"/>
      <c r="B219" s="1124"/>
      <c r="C219" s="1128"/>
      <c r="D219" s="1126"/>
      <c r="E219" s="1126"/>
      <c r="F219" s="1132"/>
      <c r="G219" s="100"/>
      <c r="H219" s="98"/>
      <c r="I219" s="1126"/>
      <c r="J219" s="1135"/>
      <c r="K219" s="1135"/>
      <c r="L219" s="916"/>
    </row>
    <row r="220" spans="1:12" s="103" customFormat="1" ht="15.75" hidden="1" customHeight="1" outlineLevel="1">
      <c r="A220" s="916"/>
      <c r="B220" s="1123">
        <v>70</v>
      </c>
      <c r="C220" s="1127"/>
      <c r="D220" s="1125"/>
      <c r="E220" s="1125" t="s">
        <v>18</v>
      </c>
      <c r="F220" s="1130" t="str">
        <f>VLOOKUP(E220,$N$13:$O$17,2,0)</f>
        <v>-</v>
      </c>
      <c r="G220" s="92"/>
      <c r="H220" s="90"/>
      <c r="I220" s="1125"/>
      <c r="J220" s="1133"/>
      <c r="K220" s="1133"/>
      <c r="L220" s="916"/>
    </row>
    <row r="221" spans="1:12" s="103" customFormat="1" ht="15.75" hidden="1" customHeight="1" outlineLevel="1">
      <c r="A221" s="916"/>
      <c r="B221" s="1123"/>
      <c r="C221" s="1127"/>
      <c r="D221" s="1125"/>
      <c r="E221" s="1125"/>
      <c r="F221" s="1130"/>
      <c r="G221" s="95"/>
      <c r="H221" s="90"/>
      <c r="I221" s="1125"/>
      <c r="J221" s="1134"/>
      <c r="K221" s="1134"/>
      <c r="L221" s="916"/>
    </row>
    <row r="222" spans="1:12" s="103" customFormat="1" ht="15.75" hidden="1" customHeight="1" outlineLevel="1">
      <c r="A222" s="916"/>
      <c r="B222" s="1124"/>
      <c r="C222" s="1128"/>
      <c r="D222" s="1126"/>
      <c r="E222" s="1126"/>
      <c r="F222" s="1132"/>
      <c r="G222" s="100"/>
      <c r="H222" s="98"/>
      <c r="I222" s="1126"/>
      <c r="J222" s="1135"/>
      <c r="K222" s="1135"/>
      <c r="L222" s="916"/>
    </row>
    <row r="223" spans="1:12" s="103" customFormat="1" ht="15.75" hidden="1" customHeight="1" outlineLevel="1">
      <c r="A223" s="916"/>
      <c r="B223" s="1123">
        <v>71</v>
      </c>
      <c r="C223" s="1127"/>
      <c r="D223" s="1125"/>
      <c r="E223" s="1125" t="s">
        <v>18</v>
      </c>
      <c r="F223" s="1130" t="str">
        <f>VLOOKUP(E223,$N$13:$O$17,2,0)</f>
        <v>-</v>
      </c>
      <c r="G223" s="92"/>
      <c r="H223" s="90"/>
      <c r="I223" s="1125"/>
      <c r="J223" s="1133"/>
      <c r="K223" s="1133"/>
      <c r="L223" s="916"/>
    </row>
    <row r="224" spans="1:12" s="103" customFormat="1" ht="15.75" hidden="1" customHeight="1" outlineLevel="1">
      <c r="A224" s="916"/>
      <c r="B224" s="1123"/>
      <c r="C224" s="1127"/>
      <c r="D224" s="1125"/>
      <c r="E224" s="1125"/>
      <c r="F224" s="1130"/>
      <c r="G224" s="95"/>
      <c r="H224" s="90"/>
      <c r="I224" s="1125"/>
      <c r="J224" s="1134"/>
      <c r="K224" s="1134"/>
      <c r="L224" s="916"/>
    </row>
    <row r="225" spans="1:12" s="103" customFormat="1" ht="15.75" hidden="1" customHeight="1" outlineLevel="1">
      <c r="A225" s="916"/>
      <c r="B225" s="1124"/>
      <c r="C225" s="1128"/>
      <c r="D225" s="1126"/>
      <c r="E225" s="1126"/>
      <c r="F225" s="1132"/>
      <c r="G225" s="100"/>
      <c r="H225" s="98"/>
      <c r="I225" s="1126"/>
      <c r="J225" s="1135"/>
      <c r="K225" s="1135"/>
      <c r="L225" s="916"/>
    </row>
    <row r="226" spans="1:12" s="103" customFormat="1" ht="15.75" hidden="1" customHeight="1" outlineLevel="1">
      <c r="A226" s="916"/>
      <c r="B226" s="1123">
        <v>72</v>
      </c>
      <c r="C226" s="1127"/>
      <c r="D226" s="1125"/>
      <c r="E226" s="1125" t="s">
        <v>18</v>
      </c>
      <c r="F226" s="1130" t="str">
        <f>VLOOKUP(E226,$N$13:$O$17,2,0)</f>
        <v>-</v>
      </c>
      <c r="G226" s="92"/>
      <c r="H226" s="90"/>
      <c r="I226" s="1125"/>
      <c r="J226" s="1133"/>
      <c r="K226" s="1133"/>
      <c r="L226" s="916"/>
    </row>
    <row r="227" spans="1:12" s="103" customFormat="1" ht="15.75" hidden="1" customHeight="1" outlineLevel="1">
      <c r="A227" s="916"/>
      <c r="B227" s="1123"/>
      <c r="C227" s="1127"/>
      <c r="D227" s="1125"/>
      <c r="E227" s="1125"/>
      <c r="F227" s="1130"/>
      <c r="G227" s="95"/>
      <c r="H227" s="90"/>
      <c r="I227" s="1125"/>
      <c r="J227" s="1134"/>
      <c r="K227" s="1134"/>
      <c r="L227" s="916"/>
    </row>
    <row r="228" spans="1:12" s="103" customFormat="1" ht="15.75" hidden="1" customHeight="1" outlineLevel="1">
      <c r="A228" s="916"/>
      <c r="B228" s="1124"/>
      <c r="C228" s="1128"/>
      <c r="D228" s="1126"/>
      <c r="E228" s="1126"/>
      <c r="F228" s="1132"/>
      <c r="G228" s="100"/>
      <c r="H228" s="98"/>
      <c r="I228" s="1126"/>
      <c r="J228" s="1135"/>
      <c r="K228" s="1135"/>
      <c r="L228" s="916"/>
    </row>
    <row r="229" spans="1:12" s="103" customFormat="1" ht="15.75" hidden="1" customHeight="1" outlineLevel="1">
      <c r="A229" s="916"/>
      <c r="B229" s="1123">
        <v>73</v>
      </c>
      <c r="C229" s="1127"/>
      <c r="D229" s="1125"/>
      <c r="E229" s="1125" t="s">
        <v>18</v>
      </c>
      <c r="F229" s="1130" t="str">
        <f>VLOOKUP(E229,$N$13:$O$17,2,0)</f>
        <v>-</v>
      </c>
      <c r="G229" s="92"/>
      <c r="H229" s="90"/>
      <c r="I229" s="1125"/>
      <c r="J229" s="1133"/>
      <c r="K229" s="1133"/>
      <c r="L229" s="916"/>
    </row>
    <row r="230" spans="1:12" s="103" customFormat="1" ht="15.75" hidden="1" customHeight="1" outlineLevel="1">
      <c r="A230" s="916"/>
      <c r="B230" s="1123"/>
      <c r="C230" s="1127"/>
      <c r="D230" s="1125"/>
      <c r="E230" s="1125"/>
      <c r="F230" s="1130"/>
      <c r="G230" s="95"/>
      <c r="H230" s="90"/>
      <c r="I230" s="1125"/>
      <c r="J230" s="1134"/>
      <c r="K230" s="1134"/>
      <c r="L230" s="916"/>
    </row>
    <row r="231" spans="1:12" s="103" customFormat="1" ht="15.75" hidden="1" customHeight="1" outlineLevel="1">
      <c r="A231" s="916"/>
      <c r="B231" s="1124"/>
      <c r="C231" s="1128"/>
      <c r="D231" s="1126"/>
      <c r="E231" s="1126"/>
      <c r="F231" s="1132"/>
      <c r="G231" s="100"/>
      <c r="H231" s="98"/>
      <c r="I231" s="1126"/>
      <c r="J231" s="1135"/>
      <c r="K231" s="1135"/>
      <c r="L231" s="916"/>
    </row>
    <row r="232" spans="1:12" s="103" customFormat="1" ht="15.75" hidden="1" customHeight="1" outlineLevel="1">
      <c r="A232" s="916"/>
      <c r="B232" s="1123">
        <v>74</v>
      </c>
      <c r="C232" s="1127"/>
      <c r="D232" s="1125"/>
      <c r="E232" s="1125" t="s">
        <v>18</v>
      </c>
      <c r="F232" s="1130" t="str">
        <f>VLOOKUP(E232,$N$13:$O$17,2,0)</f>
        <v>-</v>
      </c>
      <c r="G232" s="92"/>
      <c r="H232" s="90"/>
      <c r="I232" s="1125"/>
      <c r="J232" s="1133"/>
      <c r="K232" s="1133"/>
      <c r="L232" s="916"/>
    </row>
    <row r="233" spans="1:12" s="103" customFormat="1" ht="15.75" hidden="1" customHeight="1" outlineLevel="1">
      <c r="A233" s="916"/>
      <c r="B233" s="1123"/>
      <c r="C233" s="1127"/>
      <c r="D233" s="1125"/>
      <c r="E233" s="1125"/>
      <c r="F233" s="1130"/>
      <c r="G233" s="95"/>
      <c r="H233" s="90"/>
      <c r="I233" s="1125"/>
      <c r="J233" s="1134"/>
      <c r="K233" s="1134"/>
      <c r="L233" s="916"/>
    </row>
    <row r="234" spans="1:12" s="103" customFormat="1" ht="15.75" hidden="1" customHeight="1" outlineLevel="1">
      <c r="A234" s="916"/>
      <c r="B234" s="1124"/>
      <c r="C234" s="1128"/>
      <c r="D234" s="1126"/>
      <c r="E234" s="1126"/>
      <c r="F234" s="1132"/>
      <c r="G234" s="100"/>
      <c r="H234" s="98"/>
      <c r="I234" s="1126"/>
      <c r="J234" s="1135"/>
      <c r="K234" s="1135"/>
      <c r="L234" s="916"/>
    </row>
    <row r="235" spans="1:12" s="103" customFormat="1" ht="15.75" hidden="1" customHeight="1" outlineLevel="1">
      <c r="A235" s="916"/>
      <c r="B235" s="1123">
        <v>75</v>
      </c>
      <c r="C235" s="1127"/>
      <c r="D235" s="1125"/>
      <c r="E235" s="1125" t="s">
        <v>18</v>
      </c>
      <c r="F235" s="1130" t="str">
        <f>VLOOKUP(E235,$N$13:$O$17,2,0)</f>
        <v>-</v>
      </c>
      <c r="G235" s="92"/>
      <c r="H235" s="90"/>
      <c r="I235" s="1125"/>
      <c r="J235" s="1133"/>
      <c r="K235" s="1133"/>
      <c r="L235" s="916"/>
    </row>
    <row r="236" spans="1:12" s="103" customFormat="1" ht="15.75" hidden="1" customHeight="1" outlineLevel="1">
      <c r="A236" s="916"/>
      <c r="B236" s="1123"/>
      <c r="C236" s="1127"/>
      <c r="D236" s="1125"/>
      <c r="E236" s="1125"/>
      <c r="F236" s="1130"/>
      <c r="G236" s="95"/>
      <c r="H236" s="90"/>
      <c r="I236" s="1125"/>
      <c r="J236" s="1134"/>
      <c r="K236" s="1134"/>
      <c r="L236" s="916"/>
    </row>
    <row r="237" spans="1:12" s="103" customFormat="1" ht="15.75" hidden="1" customHeight="1" outlineLevel="1">
      <c r="A237" s="916"/>
      <c r="B237" s="1124"/>
      <c r="C237" s="1128"/>
      <c r="D237" s="1126"/>
      <c r="E237" s="1126"/>
      <c r="F237" s="1132"/>
      <c r="G237" s="100"/>
      <c r="H237" s="98"/>
      <c r="I237" s="1126"/>
      <c r="J237" s="1135"/>
      <c r="K237" s="1135"/>
      <c r="L237" s="916"/>
    </row>
    <row r="238" spans="1:12" s="103" customFormat="1" ht="15.75" hidden="1" customHeight="1" outlineLevel="1">
      <c r="A238" s="916"/>
      <c r="B238" s="1123">
        <v>76</v>
      </c>
      <c r="C238" s="1127"/>
      <c r="D238" s="1125"/>
      <c r="E238" s="1125" t="s">
        <v>18</v>
      </c>
      <c r="F238" s="1130" t="str">
        <f>VLOOKUP(E238,$N$13:$O$17,2,0)</f>
        <v>-</v>
      </c>
      <c r="G238" s="92"/>
      <c r="H238" s="90"/>
      <c r="I238" s="1125"/>
      <c r="J238" s="1133"/>
      <c r="K238" s="1133"/>
      <c r="L238" s="916"/>
    </row>
    <row r="239" spans="1:12" s="103" customFormat="1" ht="15.75" hidden="1" customHeight="1" outlineLevel="1">
      <c r="A239" s="916"/>
      <c r="B239" s="1123"/>
      <c r="C239" s="1127"/>
      <c r="D239" s="1125"/>
      <c r="E239" s="1125"/>
      <c r="F239" s="1130"/>
      <c r="G239" s="95"/>
      <c r="H239" s="90"/>
      <c r="I239" s="1125"/>
      <c r="J239" s="1134"/>
      <c r="K239" s="1134"/>
      <c r="L239" s="916"/>
    </row>
    <row r="240" spans="1:12" s="103" customFormat="1" ht="15.75" hidden="1" customHeight="1" outlineLevel="1">
      <c r="A240" s="916"/>
      <c r="B240" s="1124"/>
      <c r="C240" s="1128"/>
      <c r="D240" s="1126"/>
      <c r="E240" s="1126"/>
      <c r="F240" s="1132"/>
      <c r="G240" s="100"/>
      <c r="H240" s="98"/>
      <c r="I240" s="1126"/>
      <c r="J240" s="1135"/>
      <c r="K240" s="1135"/>
      <c r="L240" s="916"/>
    </row>
    <row r="241" spans="1:12" s="103" customFormat="1" ht="15.75" hidden="1" customHeight="1" outlineLevel="1">
      <c r="A241" s="916"/>
      <c r="B241" s="1123">
        <v>77</v>
      </c>
      <c r="C241" s="1127"/>
      <c r="D241" s="1125"/>
      <c r="E241" s="1125" t="s">
        <v>18</v>
      </c>
      <c r="F241" s="1130" t="str">
        <f>VLOOKUP(E241,$N$13:$O$17,2,0)</f>
        <v>-</v>
      </c>
      <c r="G241" s="92"/>
      <c r="H241" s="90"/>
      <c r="I241" s="1125"/>
      <c r="J241" s="1133"/>
      <c r="K241" s="1133"/>
      <c r="L241" s="916"/>
    </row>
    <row r="242" spans="1:12" s="103" customFormat="1" ht="15.75" hidden="1" customHeight="1" outlineLevel="1">
      <c r="A242" s="916"/>
      <c r="B242" s="1123"/>
      <c r="C242" s="1127"/>
      <c r="D242" s="1125"/>
      <c r="E242" s="1125"/>
      <c r="F242" s="1130"/>
      <c r="G242" s="95"/>
      <c r="H242" s="90"/>
      <c r="I242" s="1125"/>
      <c r="J242" s="1134"/>
      <c r="K242" s="1134"/>
      <c r="L242" s="916"/>
    </row>
    <row r="243" spans="1:12" s="103" customFormat="1" ht="15.75" hidden="1" customHeight="1" outlineLevel="1">
      <c r="A243" s="916"/>
      <c r="B243" s="1124"/>
      <c r="C243" s="1128"/>
      <c r="D243" s="1126"/>
      <c r="E243" s="1126"/>
      <c r="F243" s="1132"/>
      <c r="G243" s="100"/>
      <c r="H243" s="98"/>
      <c r="I243" s="1126"/>
      <c r="J243" s="1135"/>
      <c r="K243" s="1135"/>
      <c r="L243" s="916"/>
    </row>
    <row r="244" spans="1:12" s="103" customFormat="1" ht="15.75" hidden="1" customHeight="1" outlineLevel="1">
      <c r="A244" s="916"/>
      <c r="B244" s="1123">
        <v>78</v>
      </c>
      <c r="C244" s="1127"/>
      <c r="D244" s="1125"/>
      <c r="E244" s="1125" t="s">
        <v>18</v>
      </c>
      <c r="F244" s="1130" t="str">
        <f>VLOOKUP(E244,$N$13:$O$17,2,0)</f>
        <v>-</v>
      </c>
      <c r="G244" s="92"/>
      <c r="H244" s="90"/>
      <c r="I244" s="1125"/>
      <c r="J244" s="1133"/>
      <c r="K244" s="1133"/>
      <c r="L244" s="916"/>
    </row>
    <row r="245" spans="1:12" s="103" customFormat="1" ht="15.75" hidden="1" customHeight="1" outlineLevel="1">
      <c r="A245" s="916"/>
      <c r="B245" s="1123"/>
      <c r="C245" s="1127"/>
      <c r="D245" s="1125"/>
      <c r="E245" s="1125"/>
      <c r="F245" s="1130"/>
      <c r="G245" s="95"/>
      <c r="H245" s="90"/>
      <c r="I245" s="1125"/>
      <c r="J245" s="1134"/>
      <c r="K245" s="1134"/>
      <c r="L245" s="916"/>
    </row>
    <row r="246" spans="1:12" s="103" customFormat="1" ht="15.75" hidden="1" customHeight="1" outlineLevel="1">
      <c r="A246" s="916"/>
      <c r="B246" s="1124"/>
      <c r="C246" s="1128"/>
      <c r="D246" s="1126"/>
      <c r="E246" s="1126"/>
      <c r="F246" s="1132"/>
      <c r="G246" s="100"/>
      <c r="H246" s="98"/>
      <c r="I246" s="1126"/>
      <c r="J246" s="1135"/>
      <c r="K246" s="1135"/>
      <c r="L246" s="916"/>
    </row>
    <row r="247" spans="1:12" s="103" customFormat="1" ht="15.75" hidden="1" customHeight="1" outlineLevel="1">
      <c r="A247" s="916"/>
      <c r="B247" s="1123">
        <v>79</v>
      </c>
      <c r="C247" s="1127"/>
      <c r="D247" s="1125"/>
      <c r="E247" s="1125" t="s">
        <v>18</v>
      </c>
      <c r="F247" s="1130" t="str">
        <f>VLOOKUP(E247,$N$13:$O$17,2,0)</f>
        <v>-</v>
      </c>
      <c r="G247" s="92"/>
      <c r="H247" s="90"/>
      <c r="I247" s="1125"/>
      <c r="J247" s="1133"/>
      <c r="K247" s="1133"/>
      <c r="L247" s="916"/>
    </row>
    <row r="248" spans="1:12" s="103" customFormat="1" ht="15.75" hidden="1" customHeight="1" outlineLevel="1">
      <c r="A248" s="916"/>
      <c r="B248" s="1123"/>
      <c r="C248" s="1127"/>
      <c r="D248" s="1125"/>
      <c r="E248" s="1125"/>
      <c r="F248" s="1130"/>
      <c r="G248" s="95"/>
      <c r="H248" s="90"/>
      <c r="I248" s="1125"/>
      <c r="J248" s="1134"/>
      <c r="K248" s="1134"/>
      <c r="L248" s="916"/>
    </row>
    <row r="249" spans="1:12" s="103" customFormat="1" ht="15.75" hidden="1" customHeight="1" outlineLevel="1">
      <c r="A249" s="916"/>
      <c r="B249" s="1124"/>
      <c r="C249" s="1128"/>
      <c r="D249" s="1126"/>
      <c r="E249" s="1126"/>
      <c r="F249" s="1132"/>
      <c r="G249" s="100"/>
      <c r="H249" s="98"/>
      <c r="I249" s="1126"/>
      <c r="J249" s="1135"/>
      <c r="K249" s="1135"/>
      <c r="L249" s="916"/>
    </row>
    <row r="250" spans="1:12" s="103" customFormat="1" ht="15.75" hidden="1" customHeight="1" outlineLevel="1">
      <c r="A250" s="916"/>
      <c r="B250" s="1123">
        <v>80</v>
      </c>
      <c r="C250" s="1127"/>
      <c r="D250" s="1125"/>
      <c r="E250" s="1125" t="s">
        <v>18</v>
      </c>
      <c r="F250" s="1130" t="str">
        <f>VLOOKUP(E250,$N$13:$O$17,2,0)</f>
        <v>-</v>
      </c>
      <c r="G250" s="92"/>
      <c r="H250" s="90"/>
      <c r="I250" s="1125"/>
      <c r="J250" s="1133"/>
      <c r="K250" s="1133"/>
      <c r="L250" s="916"/>
    </row>
    <row r="251" spans="1:12" s="103" customFormat="1" ht="15.75" hidden="1" customHeight="1" outlineLevel="1">
      <c r="A251" s="916"/>
      <c r="B251" s="1123"/>
      <c r="C251" s="1127"/>
      <c r="D251" s="1125"/>
      <c r="E251" s="1125"/>
      <c r="F251" s="1130"/>
      <c r="G251" s="95"/>
      <c r="H251" s="90"/>
      <c r="I251" s="1125"/>
      <c r="J251" s="1134"/>
      <c r="K251" s="1134"/>
      <c r="L251" s="916"/>
    </row>
    <row r="252" spans="1:12" s="103" customFormat="1" ht="15.75" hidden="1" customHeight="1" outlineLevel="1">
      <c r="A252" s="916"/>
      <c r="B252" s="1124"/>
      <c r="C252" s="1128"/>
      <c r="D252" s="1126"/>
      <c r="E252" s="1126"/>
      <c r="F252" s="1132"/>
      <c r="G252" s="100"/>
      <c r="H252" s="98"/>
      <c r="I252" s="1126"/>
      <c r="J252" s="1135"/>
      <c r="K252" s="1135"/>
      <c r="L252" s="916"/>
    </row>
    <row r="253" spans="1:12" s="103" customFormat="1" ht="15.75" hidden="1" customHeight="1" outlineLevel="1">
      <c r="A253" s="916"/>
      <c r="B253" s="1123">
        <v>81</v>
      </c>
      <c r="C253" s="1127"/>
      <c r="D253" s="1125"/>
      <c r="E253" s="1125" t="s">
        <v>18</v>
      </c>
      <c r="F253" s="1130" t="str">
        <f>VLOOKUP(E253,$N$13:$O$17,2,0)</f>
        <v>-</v>
      </c>
      <c r="G253" s="92"/>
      <c r="H253" s="90"/>
      <c r="I253" s="1125"/>
      <c r="J253" s="1133"/>
      <c r="K253" s="1133"/>
      <c r="L253" s="916"/>
    </row>
    <row r="254" spans="1:12" s="103" customFormat="1" ht="15.75" hidden="1" customHeight="1" outlineLevel="1">
      <c r="A254" s="916"/>
      <c r="B254" s="1123"/>
      <c r="C254" s="1127"/>
      <c r="D254" s="1125"/>
      <c r="E254" s="1125"/>
      <c r="F254" s="1130"/>
      <c r="G254" s="95"/>
      <c r="H254" s="90"/>
      <c r="I254" s="1125"/>
      <c r="J254" s="1134"/>
      <c r="K254" s="1134"/>
      <c r="L254" s="916"/>
    </row>
    <row r="255" spans="1:12" s="103" customFormat="1" ht="15.75" hidden="1" customHeight="1" outlineLevel="1">
      <c r="A255" s="916"/>
      <c r="B255" s="1124"/>
      <c r="C255" s="1128"/>
      <c r="D255" s="1126"/>
      <c r="E255" s="1126"/>
      <c r="F255" s="1132"/>
      <c r="G255" s="100"/>
      <c r="H255" s="98"/>
      <c r="I255" s="1126"/>
      <c r="J255" s="1135"/>
      <c r="K255" s="1135"/>
      <c r="L255" s="916"/>
    </row>
    <row r="256" spans="1:12" s="103" customFormat="1" ht="15.75" hidden="1" customHeight="1" outlineLevel="1">
      <c r="A256" s="916"/>
      <c r="B256" s="1123">
        <v>82</v>
      </c>
      <c r="C256" s="1127"/>
      <c r="D256" s="1125"/>
      <c r="E256" s="1125" t="s">
        <v>18</v>
      </c>
      <c r="F256" s="1130" t="str">
        <f>VLOOKUP(E256,$N$13:$O$17,2,0)</f>
        <v>-</v>
      </c>
      <c r="G256" s="92"/>
      <c r="H256" s="90"/>
      <c r="I256" s="1125"/>
      <c r="J256" s="1133"/>
      <c r="K256" s="1133"/>
      <c r="L256" s="916"/>
    </row>
    <row r="257" spans="1:12" s="103" customFormat="1" ht="15.75" hidden="1" customHeight="1" outlineLevel="1">
      <c r="A257" s="916"/>
      <c r="B257" s="1123"/>
      <c r="C257" s="1127"/>
      <c r="D257" s="1125"/>
      <c r="E257" s="1125"/>
      <c r="F257" s="1130"/>
      <c r="G257" s="95"/>
      <c r="H257" s="90"/>
      <c r="I257" s="1125"/>
      <c r="J257" s="1134"/>
      <c r="K257" s="1134"/>
      <c r="L257" s="916"/>
    </row>
    <row r="258" spans="1:12" s="103" customFormat="1" ht="15.75" hidden="1" customHeight="1" outlineLevel="1">
      <c r="A258" s="916"/>
      <c r="B258" s="1124"/>
      <c r="C258" s="1128"/>
      <c r="D258" s="1126"/>
      <c r="E258" s="1126"/>
      <c r="F258" s="1132"/>
      <c r="G258" s="100"/>
      <c r="H258" s="98"/>
      <c r="I258" s="1126"/>
      <c r="J258" s="1135"/>
      <c r="K258" s="1135"/>
      <c r="L258" s="916"/>
    </row>
    <row r="259" spans="1:12" s="103" customFormat="1" ht="15.75" hidden="1" customHeight="1" outlineLevel="1">
      <c r="A259" s="916"/>
      <c r="B259" s="1123">
        <v>83</v>
      </c>
      <c r="C259" s="1127"/>
      <c r="D259" s="1125"/>
      <c r="E259" s="1125" t="s">
        <v>18</v>
      </c>
      <c r="F259" s="1130" t="str">
        <f>VLOOKUP(E259,$N$13:$O$17,2,0)</f>
        <v>-</v>
      </c>
      <c r="G259" s="92"/>
      <c r="H259" s="90"/>
      <c r="I259" s="1125"/>
      <c r="J259" s="1133"/>
      <c r="K259" s="1133"/>
      <c r="L259" s="916"/>
    </row>
    <row r="260" spans="1:12" s="103" customFormat="1" ht="15.75" hidden="1" customHeight="1" outlineLevel="1">
      <c r="A260" s="916"/>
      <c r="B260" s="1123"/>
      <c r="C260" s="1127"/>
      <c r="D260" s="1125"/>
      <c r="E260" s="1125"/>
      <c r="F260" s="1130"/>
      <c r="G260" s="95"/>
      <c r="H260" s="90"/>
      <c r="I260" s="1125"/>
      <c r="J260" s="1134"/>
      <c r="K260" s="1134"/>
      <c r="L260" s="916"/>
    </row>
    <row r="261" spans="1:12" s="103" customFormat="1" ht="15.75" hidden="1" customHeight="1" outlineLevel="1">
      <c r="A261" s="916"/>
      <c r="B261" s="1124"/>
      <c r="C261" s="1128"/>
      <c r="D261" s="1126"/>
      <c r="E261" s="1126"/>
      <c r="F261" s="1132"/>
      <c r="G261" s="100"/>
      <c r="H261" s="98"/>
      <c r="I261" s="1126"/>
      <c r="J261" s="1135"/>
      <c r="K261" s="1135"/>
      <c r="L261" s="916"/>
    </row>
    <row r="262" spans="1:12" s="103" customFormat="1" ht="15.75" hidden="1" customHeight="1" outlineLevel="1">
      <c r="A262" s="916"/>
      <c r="B262" s="1123">
        <v>84</v>
      </c>
      <c r="C262" s="1127"/>
      <c r="D262" s="1125"/>
      <c r="E262" s="1125" t="s">
        <v>18</v>
      </c>
      <c r="F262" s="1130" t="str">
        <f>VLOOKUP(E262,$N$13:$O$17,2,0)</f>
        <v>-</v>
      </c>
      <c r="G262" s="92"/>
      <c r="H262" s="90"/>
      <c r="I262" s="1125"/>
      <c r="J262" s="1133"/>
      <c r="K262" s="1133"/>
      <c r="L262" s="916"/>
    </row>
    <row r="263" spans="1:12" s="103" customFormat="1" ht="15.75" hidden="1" customHeight="1" outlineLevel="1">
      <c r="A263" s="916"/>
      <c r="B263" s="1123"/>
      <c r="C263" s="1127"/>
      <c r="D263" s="1125"/>
      <c r="E263" s="1125"/>
      <c r="F263" s="1130"/>
      <c r="G263" s="95"/>
      <c r="H263" s="90"/>
      <c r="I263" s="1125"/>
      <c r="J263" s="1134"/>
      <c r="K263" s="1134"/>
      <c r="L263" s="916"/>
    </row>
    <row r="264" spans="1:12" s="103" customFormat="1" ht="15.75" hidden="1" customHeight="1" outlineLevel="1">
      <c r="A264" s="916"/>
      <c r="B264" s="1124"/>
      <c r="C264" s="1128"/>
      <c r="D264" s="1126"/>
      <c r="E264" s="1126"/>
      <c r="F264" s="1132"/>
      <c r="G264" s="100"/>
      <c r="H264" s="98"/>
      <c r="I264" s="1126"/>
      <c r="J264" s="1135"/>
      <c r="K264" s="1135"/>
      <c r="L264" s="916"/>
    </row>
    <row r="265" spans="1:12" s="103" customFormat="1" ht="15.75" hidden="1" customHeight="1" outlineLevel="1">
      <c r="A265" s="916"/>
      <c r="B265" s="1123">
        <v>85</v>
      </c>
      <c r="C265" s="1127"/>
      <c r="D265" s="1125"/>
      <c r="E265" s="1125" t="s">
        <v>18</v>
      </c>
      <c r="F265" s="1130" t="str">
        <f>VLOOKUP(E265,$N$13:$O$17,2,0)</f>
        <v>-</v>
      </c>
      <c r="G265" s="92"/>
      <c r="H265" s="90"/>
      <c r="I265" s="1125"/>
      <c r="J265" s="1133"/>
      <c r="K265" s="1133"/>
      <c r="L265" s="916"/>
    </row>
    <row r="266" spans="1:12" s="103" customFormat="1" ht="15.75" hidden="1" customHeight="1" outlineLevel="1">
      <c r="A266" s="916"/>
      <c r="B266" s="1123"/>
      <c r="C266" s="1127"/>
      <c r="D266" s="1125"/>
      <c r="E266" s="1125"/>
      <c r="F266" s="1130"/>
      <c r="G266" s="95"/>
      <c r="H266" s="90"/>
      <c r="I266" s="1125"/>
      <c r="J266" s="1134"/>
      <c r="K266" s="1134"/>
      <c r="L266" s="916"/>
    </row>
    <row r="267" spans="1:12" s="103" customFormat="1" ht="15.75" hidden="1" customHeight="1" outlineLevel="1">
      <c r="A267" s="916"/>
      <c r="B267" s="1124"/>
      <c r="C267" s="1128"/>
      <c r="D267" s="1126"/>
      <c r="E267" s="1126"/>
      <c r="F267" s="1132"/>
      <c r="G267" s="100"/>
      <c r="H267" s="98"/>
      <c r="I267" s="1126"/>
      <c r="J267" s="1135"/>
      <c r="K267" s="1135"/>
      <c r="L267" s="916"/>
    </row>
    <row r="268" spans="1:12" s="103" customFormat="1" ht="15.75" hidden="1" customHeight="1" outlineLevel="1">
      <c r="A268" s="916"/>
      <c r="B268" s="1123">
        <v>86</v>
      </c>
      <c r="C268" s="1127"/>
      <c r="D268" s="1125"/>
      <c r="E268" s="1125" t="s">
        <v>18</v>
      </c>
      <c r="F268" s="1130" t="str">
        <f>VLOOKUP(E268,$N$13:$O$17,2,0)</f>
        <v>-</v>
      </c>
      <c r="G268" s="92"/>
      <c r="H268" s="90"/>
      <c r="I268" s="1125"/>
      <c r="J268" s="1133"/>
      <c r="K268" s="1133"/>
      <c r="L268" s="916"/>
    </row>
    <row r="269" spans="1:12" s="103" customFormat="1" ht="15.75" hidden="1" customHeight="1" outlineLevel="1">
      <c r="A269" s="916"/>
      <c r="B269" s="1123"/>
      <c r="C269" s="1127"/>
      <c r="D269" s="1125"/>
      <c r="E269" s="1125"/>
      <c r="F269" s="1130"/>
      <c r="G269" s="95"/>
      <c r="H269" s="90"/>
      <c r="I269" s="1125"/>
      <c r="J269" s="1134"/>
      <c r="K269" s="1134"/>
      <c r="L269" s="916"/>
    </row>
    <row r="270" spans="1:12" s="103" customFormat="1" ht="15.75" hidden="1" customHeight="1" outlineLevel="1">
      <c r="A270" s="916"/>
      <c r="B270" s="1124"/>
      <c r="C270" s="1128"/>
      <c r="D270" s="1126"/>
      <c r="E270" s="1126"/>
      <c r="F270" s="1132"/>
      <c r="G270" s="100"/>
      <c r="H270" s="98"/>
      <c r="I270" s="1126"/>
      <c r="J270" s="1135"/>
      <c r="K270" s="1135"/>
      <c r="L270" s="916"/>
    </row>
    <row r="271" spans="1:12" s="103" customFormat="1" ht="15.75" hidden="1" customHeight="1" outlineLevel="1">
      <c r="A271" s="916"/>
      <c r="B271" s="1123">
        <v>87</v>
      </c>
      <c r="C271" s="1127"/>
      <c r="D271" s="1125"/>
      <c r="E271" s="1125" t="s">
        <v>18</v>
      </c>
      <c r="F271" s="1130" t="str">
        <f>VLOOKUP(E271,$N$13:$O$17,2,0)</f>
        <v>-</v>
      </c>
      <c r="G271" s="92"/>
      <c r="H271" s="90"/>
      <c r="I271" s="1125"/>
      <c r="J271" s="1133"/>
      <c r="K271" s="1133"/>
      <c r="L271" s="916"/>
    </row>
    <row r="272" spans="1:12" s="103" customFormat="1" ht="15.75" hidden="1" customHeight="1" outlineLevel="1">
      <c r="A272" s="916"/>
      <c r="B272" s="1123"/>
      <c r="C272" s="1127"/>
      <c r="D272" s="1125"/>
      <c r="E272" s="1125"/>
      <c r="F272" s="1130"/>
      <c r="G272" s="95"/>
      <c r="H272" s="90"/>
      <c r="I272" s="1125"/>
      <c r="J272" s="1134"/>
      <c r="K272" s="1134"/>
      <c r="L272" s="916"/>
    </row>
    <row r="273" spans="1:12" s="103" customFormat="1" ht="15.75" hidden="1" customHeight="1" outlineLevel="1">
      <c r="A273" s="916"/>
      <c r="B273" s="1124"/>
      <c r="C273" s="1128"/>
      <c r="D273" s="1126"/>
      <c r="E273" s="1126"/>
      <c r="F273" s="1132"/>
      <c r="G273" s="100"/>
      <c r="H273" s="98"/>
      <c r="I273" s="1126"/>
      <c r="J273" s="1135"/>
      <c r="K273" s="1135"/>
      <c r="L273" s="916"/>
    </row>
    <row r="274" spans="1:12" s="103" customFormat="1" ht="15.75" hidden="1" customHeight="1" outlineLevel="1">
      <c r="A274" s="916"/>
      <c r="B274" s="1123">
        <v>88</v>
      </c>
      <c r="C274" s="1127"/>
      <c r="D274" s="1125"/>
      <c r="E274" s="1125" t="s">
        <v>18</v>
      </c>
      <c r="F274" s="1130" t="str">
        <f>VLOOKUP(E274,$N$13:$O$17,2,0)</f>
        <v>-</v>
      </c>
      <c r="G274" s="92"/>
      <c r="H274" s="90"/>
      <c r="I274" s="1125"/>
      <c r="J274" s="1133"/>
      <c r="K274" s="1133"/>
      <c r="L274" s="916"/>
    </row>
    <row r="275" spans="1:12" s="103" customFormat="1" ht="15.75" hidden="1" customHeight="1" outlineLevel="1">
      <c r="A275" s="916"/>
      <c r="B275" s="1123"/>
      <c r="C275" s="1127"/>
      <c r="D275" s="1125"/>
      <c r="E275" s="1125"/>
      <c r="F275" s="1130"/>
      <c r="G275" s="95"/>
      <c r="H275" s="90"/>
      <c r="I275" s="1125"/>
      <c r="J275" s="1134"/>
      <c r="K275" s="1134"/>
      <c r="L275" s="916"/>
    </row>
    <row r="276" spans="1:12" s="103" customFormat="1" ht="15.75" hidden="1" customHeight="1" outlineLevel="1">
      <c r="A276" s="916"/>
      <c r="B276" s="1124"/>
      <c r="C276" s="1128"/>
      <c r="D276" s="1126"/>
      <c r="E276" s="1126"/>
      <c r="F276" s="1132"/>
      <c r="G276" s="100"/>
      <c r="H276" s="98"/>
      <c r="I276" s="1126"/>
      <c r="J276" s="1135"/>
      <c r="K276" s="1135"/>
      <c r="L276" s="916"/>
    </row>
    <row r="277" spans="1:12" s="103" customFormat="1" ht="15.75" hidden="1" customHeight="1" outlineLevel="1">
      <c r="A277" s="916"/>
      <c r="B277" s="1123">
        <v>89</v>
      </c>
      <c r="C277" s="1127"/>
      <c r="D277" s="1125"/>
      <c r="E277" s="1125" t="s">
        <v>18</v>
      </c>
      <c r="F277" s="1130" t="str">
        <f>VLOOKUP(E277,$N$13:$O$17,2,0)</f>
        <v>-</v>
      </c>
      <c r="G277" s="92"/>
      <c r="H277" s="90"/>
      <c r="I277" s="1125"/>
      <c r="J277" s="1133"/>
      <c r="K277" s="1133"/>
      <c r="L277" s="916"/>
    </row>
    <row r="278" spans="1:12" s="103" customFormat="1" ht="15.75" hidden="1" customHeight="1" outlineLevel="1">
      <c r="A278" s="916"/>
      <c r="B278" s="1123"/>
      <c r="C278" s="1127"/>
      <c r="D278" s="1125"/>
      <c r="E278" s="1125"/>
      <c r="F278" s="1130"/>
      <c r="G278" s="95"/>
      <c r="H278" s="90"/>
      <c r="I278" s="1125"/>
      <c r="J278" s="1134"/>
      <c r="K278" s="1134"/>
      <c r="L278" s="916"/>
    </row>
    <row r="279" spans="1:12" s="103" customFormat="1" ht="15.75" hidden="1" customHeight="1" outlineLevel="1">
      <c r="A279" s="916"/>
      <c r="B279" s="1124"/>
      <c r="C279" s="1128"/>
      <c r="D279" s="1126"/>
      <c r="E279" s="1126"/>
      <c r="F279" s="1132"/>
      <c r="G279" s="100"/>
      <c r="H279" s="98"/>
      <c r="I279" s="1126"/>
      <c r="J279" s="1135"/>
      <c r="K279" s="1135"/>
      <c r="L279" s="916"/>
    </row>
    <row r="280" spans="1:12" s="103" customFormat="1" ht="15.75" hidden="1" customHeight="1" outlineLevel="1">
      <c r="A280" s="916"/>
      <c r="B280" s="1123">
        <v>90</v>
      </c>
      <c r="C280" s="1127"/>
      <c r="D280" s="1125"/>
      <c r="E280" s="1125" t="s">
        <v>18</v>
      </c>
      <c r="F280" s="1130" t="str">
        <f>VLOOKUP(E280,$N$13:$O$17,2,0)</f>
        <v>-</v>
      </c>
      <c r="G280" s="92"/>
      <c r="H280" s="90"/>
      <c r="I280" s="1125"/>
      <c r="J280" s="1133"/>
      <c r="K280" s="1133"/>
      <c r="L280" s="916"/>
    </row>
    <row r="281" spans="1:12" s="103" customFormat="1" ht="15.75" hidden="1" customHeight="1" outlineLevel="1">
      <c r="A281" s="916"/>
      <c r="B281" s="1123"/>
      <c r="C281" s="1127"/>
      <c r="D281" s="1125"/>
      <c r="E281" s="1125"/>
      <c r="F281" s="1130"/>
      <c r="G281" s="95"/>
      <c r="H281" s="90"/>
      <c r="I281" s="1125"/>
      <c r="J281" s="1134"/>
      <c r="K281" s="1134"/>
      <c r="L281" s="916"/>
    </row>
    <row r="282" spans="1:12" s="103" customFormat="1" ht="15.75" hidden="1" customHeight="1" outlineLevel="1">
      <c r="A282" s="916"/>
      <c r="B282" s="1124"/>
      <c r="C282" s="1128"/>
      <c r="D282" s="1126"/>
      <c r="E282" s="1126"/>
      <c r="F282" s="1132"/>
      <c r="G282" s="100"/>
      <c r="H282" s="98"/>
      <c r="I282" s="1126"/>
      <c r="J282" s="1135"/>
      <c r="K282" s="1135"/>
      <c r="L282" s="916"/>
    </row>
    <row r="283" spans="1:12" s="103" customFormat="1" ht="15.75" hidden="1" customHeight="1" outlineLevel="1">
      <c r="A283" s="916"/>
      <c r="B283" s="1123">
        <v>91</v>
      </c>
      <c r="C283" s="1127"/>
      <c r="D283" s="1125"/>
      <c r="E283" s="1125" t="s">
        <v>18</v>
      </c>
      <c r="F283" s="1130" t="str">
        <f>VLOOKUP(E283,$N$13:$O$17,2,0)</f>
        <v>-</v>
      </c>
      <c r="G283" s="92"/>
      <c r="H283" s="90"/>
      <c r="I283" s="1125"/>
      <c r="J283" s="1133"/>
      <c r="K283" s="1133"/>
      <c r="L283" s="916"/>
    </row>
    <row r="284" spans="1:12" s="103" customFormat="1" ht="15.75" hidden="1" customHeight="1" outlineLevel="1">
      <c r="A284" s="916"/>
      <c r="B284" s="1123"/>
      <c r="C284" s="1127"/>
      <c r="D284" s="1125"/>
      <c r="E284" s="1125"/>
      <c r="F284" s="1130"/>
      <c r="G284" s="95"/>
      <c r="H284" s="90"/>
      <c r="I284" s="1125"/>
      <c r="J284" s="1134"/>
      <c r="K284" s="1134"/>
      <c r="L284" s="916"/>
    </row>
    <row r="285" spans="1:12" s="103" customFormat="1" ht="15.75" hidden="1" customHeight="1" outlineLevel="1">
      <c r="A285" s="916"/>
      <c r="B285" s="1124"/>
      <c r="C285" s="1128"/>
      <c r="D285" s="1126"/>
      <c r="E285" s="1126"/>
      <c r="F285" s="1132"/>
      <c r="G285" s="100"/>
      <c r="H285" s="98"/>
      <c r="I285" s="1126"/>
      <c r="J285" s="1135"/>
      <c r="K285" s="1135"/>
      <c r="L285" s="916"/>
    </row>
    <row r="286" spans="1:12" s="103" customFormat="1" ht="15.75" hidden="1" customHeight="1" outlineLevel="1">
      <c r="A286" s="916"/>
      <c r="B286" s="1123">
        <v>92</v>
      </c>
      <c r="C286" s="1127"/>
      <c r="D286" s="1125"/>
      <c r="E286" s="1125" t="s">
        <v>18</v>
      </c>
      <c r="F286" s="1130" t="str">
        <f>VLOOKUP(E286,$N$13:$O$17,2,0)</f>
        <v>-</v>
      </c>
      <c r="G286" s="92"/>
      <c r="H286" s="90"/>
      <c r="I286" s="1125"/>
      <c r="J286" s="1133"/>
      <c r="K286" s="1133"/>
      <c r="L286" s="916"/>
    </row>
    <row r="287" spans="1:12" s="103" customFormat="1" ht="15.75" hidden="1" customHeight="1" outlineLevel="1">
      <c r="A287" s="916"/>
      <c r="B287" s="1123"/>
      <c r="C287" s="1127"/>
      <c r="D287" s="1125"/>
      <c r="E287" s="1125"/>
      <c r="F287" s="1130"/>
      <c r="G287" s="95"/>
      <c r="H287" s="90"/>
      <c r="I287" s="1125"/>
      <c r="J287" s="1134"/>
      <c r="K287" s="1134"/>
      <c r="L287" s="916"/>
    </row>
    <row r="288" spans="1:12" s="103" customFormat="1" ht="15.75" hidden="1" customHeight="1" outlineLevel="1">
      <c r="A288" s="916"/>
      <c r="B288" s="1124"/>
      <c r="C288" s="1128"/>
      <c r="D288" s="1126"/>
      <c r="E288" s="1126"/>
      <c r="F288" s="1132"/>
      <c r="G288" s="100"/>
      <c r="H288" s="98"/>
      <c r="I288" s="1126"/>
      <c r="J288" s="1135"/>
      <c r="K288" s="1135"/>
      <c r="L288" s="916"/>
    </row>
    <row r="289" spans="1:12" s="103" customFormat="1" ht="15.75" hidden="1" customHeight="1" outlineLevel="1">
      <c r="A289" s="916"/>
      <c r="B289" s="1123">
        <v>93</v>
      </c>
      <c r="C289" s="1127"/>
      <c r="D289" s="1125"/>
      <c r="E289" s="1125" t="s">
        <v>18</v>
      </c>
      <c r="F289" s="1130" t="str">
        <f>VLOOKUP(E289,$N$13:$O$17,2,0)</f>
        <v>-</v>
      </c>
      <c r="G289" s="92"/>
      <c r="H289" s="90"/>
      <c r="I289" s="1125"/>
      <c r="J289" s="1133"/>
      <c r="K289" s="1133"/>
      <c r="L289" s="916"/>
    </row>
    <row r="290" spans="1:12" s="103" customFormat="1" ht="15.75" hidden="1" customHeight="1" outlineLevel="1">
      <c r="A290" s="916"/>
      <c r="B290" s="1123"/>
      <c r="C290" s="1127"/>
      <c r="D290" s="1125"/>
      <c r="E290" s="1125"/>
      <c r="F290" s="1130"/>
      <c r="G290" s="95"/>
      <c r="H290" s="90"/>
      <c r="I290" s="1125"/>
      <c r="J290" s="1134"/>
      <c r="K290" s="1134"/>
      <c r="L290" s="916"/>
    </row>
    <row r="291" spans="1:12" s="103" customFormat="1" ht="15.75" hidden="1" customHeight="1" outlineLevel="1">
      <c r="A291" s="916"/>
      <c r="B291" s="1124"/>
      <c r="C291" s="1128"/>
      <c r="D291" s="1126"/>
      <c r="E291" s="1126"/>
      <c r="F291" s="1132"/>
      <c r="G291" s="100"/>
      <c r="H291" s="98"/>
      <c r="I291" s="1126"/>
      <c r="J291" s="1135"/>
      <c r="K291" s="1135"/>
      <c r="L291" s="916"/>
    </row>
    <row r="292" spans="1:12" s="103" customFormat="1" ht="15.75" hidden="1" customHeight="1" outlineLevel="1">
      <c r="A292" s="916"/>
      <c r="B292" s="1123">
        <v>94</v>
      </c>
      <c r="C292" s="1127"/>
      <c r="D292" s="1125"/>
      <c r="E292" s="1125" t="s">
        <v>18</v>
      </c>
      <c r="F292" s="1130" t="str">
        <f>VLOOKUP(E292,$N$13:$O$17,2,0)</f>
        <v>-</v>
      </c>
      <c r="G292" s="92"/>
      <c r="H292" s="90"/>
      <c r="I292" s="1125"/>
      <c r="J292" s="1133"/>
      <c r="K292" s="1133"/>
      <c r="L292" s="916"/>
    </row>
    <row r="293" spans="1:12" s="103" customFormat="1" ht="15.75" hidden="1" customHeight="1" outlineLevel="1">
      <c r="A293" s="916"/>
      <c r="B293" s="1123"/>
      <c r="C293" s="1127"/>
      <c r="D293" s="1125"/>
      <c r="E293" s="1125"/>
      <c r="F293" s="1130"/>
      <c r="G293" s="95"/>
      <c r="H293" s="90"/>
      <c r="I293" s="1125"/>
      <c r="J293" s="1134"/>
      <c r="K293" s="1134"/>
      <c r="L293" s="916"/>
    </row>
    <row r="294" spans="1:12" s="103" customFormat="1" ht="15.75" hidden="1" customHeight="1" outlineLevel="1">
      <c r="A294" s="916"/>
      <c r="B294" s="1124"/>
      <c r="C294" s="1128"/>
      <c r="D294" s="1126"/>
      <c r="E294" s="1126"/>
      <c r="F294" s="1132"/>
      <c r="G294" s="100"/>
      <c r="H294" s="98"/>
      <c r="I294" s="1126"/>
      <c r="J294" s="1135"/>
      <c r="K294" s="1135"/>
      <c r="L294" s="916"/>
    </row>
    <row r="295" spans="1:12" s="103" customFormat="1" ht="15.75" hidden="1" customHeight="1" outlineLevel="1">
      <c r="A295" s="916"/>
      <c r="B295" s="1123">
        <v>95</v>
      </c>
      <c r="C295" s="1127"/>
      <c r="D295" s="1125"/>
      <c r="E295" s="1125" t="s">
        <v>18</v>
      </c>
      <c r="F295" s="1130" t="str">
        <f>VLOOKUP(E295,$N$13:$O$17,2,0)</f>
        <v>-</v>
      </c>
      <c r="G295" s="92"/>
      <c r="H295" s="90"/>
      <c r="I295" s="1125"/>
      <c r="J295" s="1133"/>
      <c r="K295" s="1133"/>
      <c r="L295" s="916"/>
    </row>
    <row r="296" spans="1:12" s="103" customFormat="1" ht="15.75" hidden="1" customHeight="1" outlineLevel="1">
      <c r="A296" s="916"/>
      <c r="B296" s="1123"/>
      <c r="C296" s="1127"/>
      <c r="D296" s="1125"/>
      <c r="E296" s="1125"/>
      <c r="F296" s="1130"/>
      <c r="G296" s="95"/>
      <c r="H296" s="90"/>
      <c r="I296" s="1125"/>
      <c r="J296" s="1134"/>
      <c r="K296" s="1134"/>
      <c r="L296" s="916"/>
    </row>
    <row r="297" spans="1:12" s="103" customFormat="1" ht="15.75" hidden="1" customHeight="1" outlineLevel="1">
      <c r="A297" s="916"/>
      <c r="B297" s="1124"/>
      <c r="C297" s="1128"/>
      <c r="D297" s="1126"/>
      <c r="E297" s="1126"/>
      <c r="F297" s="1132"/>
      <c r="G297" s="100"/>
      <c r="H297" s="98"/>
      <c r="I297" s="1126"/>
      <c r="J297" s="1135"/>
      <c r="K297" s="1135"/>
      <c r="L297" s="916"/>
    </row>
    <row r="298" spans="1:12" s="103" customFormat="1" ht="15.75" hidden="1" customHeight="1" outlineLevel="1">
      <c r="A298" s="916"/>
      <c r="B298" s="1123">
        <v>96</v>
      </c>
      <c r="C298" s="1127"/>
      <c r="D298" s="1125"/>
      <c r="E298" s="1125" t="s">
        <v>18</v>
      </c>
      <c r="F298" s="1130" t="str">
        <f>VLOOKUP(E298,$N$13:$O$17,2,0)</f>
        <v>-</v>
      </c>
      <c r="G298" s="92"/>
      <c r="H298" s="90"/>
      <c r="I298" s="1125"/>
      <c r="J298" s="1133"/>
      <c r="K298" s="1133"/>
      <c r="L298" s="916"/>
    </row>
    <row r="299" spans="1:12" s="103" customFormat="1" ht="15.75" hidden="1" customHeight="1" outlineLevel="1">
      <c r="A299" s="916"/>
      <c r="B299" s="1123"/>
      <c r="C299" s="1127"/>
      <c r="D299" s="1125"/>
      <c r="E299" s="1125"/>
      <c r="F299" s="1130"/>
      <c r="G299" s="95"/>
      <c r="H299" s="90"/>
      <c r="I299" s="1125"/>
      <c r="J299" s="1134"/>
      <c r="K299" s="1134"/>
      <c r="L299" s="916"/>
    </row>
    <row r="300" spans="1:12" s="103" customFormat="1" ht="15.75" hidden="1" customHeight="1" outlineLevel="1">
      <c r="A300" s="916"/>
      <c r="B300" s="1124"/>
      <c r="C300" s="1128"/>
      <c r="D300" s="1126"/>
      <c r="E300" s="1126"/>
      <c r="F300" s="1132"/>
      <c r="G300" s="100"/>
      <c r="H300" s="98"/>
      <c r="I300" s="1126"/>
      <c r="J300" s="1135"/>
      <c r="K300" s="1135"/>
      <c r="L300" s="916"/>
    </row>
    <row r="301" spans="1:12" s="103" customFormat="1" ht="15.75" hidden="1" customHeight="1" outlineLevel="1">
      <c r="A301" s="916"/>
      <c r="B301" s="1123">
        <v>97</v>
      </c>
      <c r="C301" s="1127"/>
      <c r="D301" s="1125"/>
      <c r="E301" s="1125" t="s">
        <v>18</v>
      </c>
      <c r="F301" s="1130" t="str">
        <f>VLOOKUP(E301,$N$13:$O$17,2,0)</f>
        <v>-</v>
      </c>
      <c r="G301" s="92"/>
      <c r="H301" s="90"/>
      <c r="I301" s="1125"/>
      <c r="J301" s="1133"/>
      <c r="K301" s="1133"/>
      <c r="L301" s="916"/>
    </row>
    <row r="302" spans="1:12" s="103" customFormat="1" ht="15.75" hidden="1" customHeight="1" outlineLevel="1">
      <c r="A302" s="916"/>
      <c r="B302" s="1123"/>
      <c r="C302" s="1127"/>
      <c r="D302" s="1125"/>
      <c r="E302" s="1125"/>
      <c r="F302" s="1130"/>
      <c r="G302" s="95"/>
      <c r="H302" s="90"/>
      <c r="I302" s="1125"/>
      <c r="J302" s="1134"/>
      <c r="K302" s="1134"/>
      <c r="L302" s="916"/>
    </row>
    <row r="303" spans="1:12" s="103" customFormat="1" ht="15.75" hidden="1" customHeight="1" outlineLevel="1">
      <c r="A303" s="916"/>
      <c r="B303" s="1124"/>
      <c r="C303" s="1128"/>
      <c r="D303" s="1126"/>
      <c r="E303" s="1126"/>
      <c r="F303" s="1132"/>
      <c r="G303" s="100"/>
      <c r="H303" s="98"/>
      <c r="I303" s="1126"/>
      <c r="J303" s="1135"/>
      <c r="K303" s="1135"/>
      <c r="L303" s="916"/>
    </row>
    <row r="304" spans="1:12" s="103" customFormat="1" ht="15.75" hidden="1" customHeight="1" outlineLevel="1">
      <c r="A304" s="916"/>
      <c r="B304" s="1123">
        <v>98</v>
      </c>
      <c r="C304" s="1127"/>
      <c r="D304" s="1125"/>
      <c r="E304" s="1125" t="s">
        <v>18</v>
      </c>
      <c r="F304" s="1130" t="str">
        <f>VLOOKUP(E304,$N$13:$O$17,2,0)</f>
        <v>-</v>
      </c>
      <c r="G304" s="92"/>
      <c r="H304" s="90"/>
      <c r="I304" s="1125"/>
      <c r="J304" s="1133"/>
      <c r="K304" s="1133"/>
      <c r="L304" s="916"/>
    </row>
    <row r="305" spans="1:12" s="103" customFormat="1" ht="15.75" hidden="1" customHeight="1" outlineLevel="1">
      <c r="A305" s="916"/>
      <c r="B305" s="1123"/>
      <c r="C305" s="1127"/>
      <c r="D305" s="1125"/>
      <c r="E305" s="1125"/>
      <c r="F305" s="1130"/>
      <c r="G305" s="95"/>
      <c r="H305" s="90"/>
      <c r="I305" s="1125"/>
      <c r="J305" s="1134"/>
      <c r="K305" s="1134"/>
      <c r="L305" s="916"/>
    </row>
    <row r="306" spans="1:12" s="103" customFormat="1" ht="15.75" hidden="1" customHeight="1" outlineLevel="1">
      <c r="A306" s="916"/>
      <c r="B306" s="1124"/>
      <c r="C306" s="1128"/>
      <c r="D306" s="1126"/>
      <c r="E306" s="1126"/>
      <c r="F306" s="1132"/>
      <c r="G306" s="100"/>
      <c r="H306" s="98"/>
      <c r="I306" s="1126"/>
      <c r="J306" s="1135"/>
      <c r="K306" s="1135"/>
      <c r="L306" s="916"/>
    </row>
    <row r="307" spans="1:12" s="103" customFormat="1" ht="15.75" hidden="1" customHeight="1" outlineLevel="1">
      <c r="A307" s="916"/>
      <c r="B307" s="1123">
        <v>99</v>
      </c>
      <c r="C307" s="1127"/>
      <c r="D307" s="1125"/>
      <c r="E307" s="1125" t="s">
        <v>18</v>
      </c>
      <c r="F307" s="1130" t="str">
        <f>VLOOKUP(E307,$N$13:$O$17,2,0)</f>
        <v>-</v>
      </c>
      <c r="G307" s="92"/>
      <c r="H307" s="90"/>
      <c r="I307" s="1125"/>
      <c r="J307" s="1133"/>
      <c r="K307" s="1133"/>
      <c r="L307" s="916"/>
    </row>
    <row r="308" spans="1:12" s="103" customFormat="1" ht="15.75" hidden="1" customHeight="1" outlineLevel="1">
      <c r="A308" s="916"/>
      <c r="B308" s="1123"/>
      <c r="C308" s="1127"/>
      <c r="D308" s="1125"/>
      <c r="E308" s="1125"/>
      <c r="F308" s="1130"/>
      <c r="G308" s="95"/>
      <c r="H308" s="90"/>
      <c r="I308" s="1125"/>
      <c r="J308" s="1134"/>
      <c r="K308" s="1134"/>
      <c r="L308" s="916"/>
    </row>
    <row r="309" spans="1:12" s="103" customFormat="1" ht="15.75" hidden="1" customHeight="1" outlineLevel="1">
      <c r="A309" s="916"/>
      <c r="B309" s="1124"/>
      <c r="C309" s="1128"/>
      <c r="D309" s="1126"/>
      <c r="E309" s="1126"/>
      <c r="F309" s="1132"/>
      <c r="G309" s="100"/>
      <c r="H309" s="98"/>
      <c r="I309" s="1126"/>
      <c r="J309" s="1135"/>
      <c r="K309" s="1135"/>
      <c r="L309" s="916"/>
    </row>
    <row r="310" spans="1:12" s="103" customFormat="1" ht="15.75" hidden="1" customHeight="1" outlineLevel="1">
      <c r="A310" s="916"/>
      <c r="B310" s="1123">
        <v>100</v>
      </c>
      <c r="C310" s="1127"/>
      <c r="D310" s="1125"/>
      <c r="E310" s="1125" t="s">
        <v>18</v>
      </c>
      <c r="F310" s="1130" t="str">
        <f>VLOOKUP(E310,$N$13:$O$17,2,0)</f>
        <v>-</v>
      </c>
      <c r="G310" s="92"/>
      <c r="H310" s="90"/>
      <c r="I310" s="1125"/>
      <c r="J310" s="1133"/>
      <c r="K310" s="1133"/>
      <c r="L310" s="916"/>
    </row>
    <row r="311" spans="1:12" s="103" customFormat="1" ht="15.75" hidden="1" customHeight="1" outlineLevel="1">
      <c r="A311" s="916"/>
      <c r="B311" s="1123"/>
      <c r="C311" s="1127"/>
      <c r="D311" s="1125"/>
      <c r="E311" s="1125"/>
      <c r="F311" s="1130"/>
      <c r="G311" s="95"/>
      <c r="H311" s="90"/>
      <c r="I311" s="1125"/>
      <c r="J311" s="1134"/>
      <c r="K311" s="1134"/>
      <c r="L311" s="916"/>
    </row>
    <row r="312" spans="1:12" s="103" customFormat="1" ht="15.75" hidden="1" customHeight="1" outlineLevel="1">
      <c r="A312" s="916"/>
      <c r="B312" s="1124"/>
      <c r="C312" s="1128"/>
      <c r="D312" s="1126"/>
      <c r="E312" s="1126"/>
      <c r="F312" s="1132"/>
      <c r="G312" s="100"/>
      <c r="H312" s="98"/>
      <c r="I312" s="1126"/>
      <c r="J312" s="1135"/>
      <c r="K312" s="1135"/>
      <c r="L312" s="916"/>
    </row>
    <row r="313" spans="1:12" s="103" customFormat="1" ht="15.75" hidden="1" customHeight="1" outlineLevel="1">
      <c r="A313" s="916"/>
      <c r="B313" s="1123">
        <v>101</v>
      </c>
      <c r="C313" s="1127"/>
      <c r="D313" s="1125"/>
      <c r="E313" s="1125" t="s">
        <v>18</v>
      </c>
      <c r="F313" s="1130" t="str">
        <f>VLOOKUP(E313,$N$13:$O$17,2,0)</f>
        <v>-</v>
      </c>
      <c r="G313" s="92"/>
      <c r="H313" s="90"/>
      <c r="I313" s="1125"/>
      <c r="J313" s="1133"/>
      <c r="K313" s="1133"/>
      <c r="L313" s="916"/>
    </row>
    <row r="314" spans="1:12" s="103" customFormat="1" ht="15.75" hidden="1" customHeight="1" outlineLevel="1">
      <c r="A314" s="916"/>
      <c r="B314" s="1123"/>
      <c r="C314" s="1127"/>
      <c r="D314" s="1125"/>
      <c r="E314" s="1125"/>
      <c r="F314" s="1130"/>
      <c r="G314" s="95"/>
      <c r="H314" s="90"/>
      <c r="I314" s="1125"/>
      <c r="J314" s="1134"/>
      <c r="K314" s="1134"/>
      <c r="L314" s="916"/>
    </row>
    <row r="315" spans="1:12" s="103" customFormat="1" ht="15.75" hidden="1" customHeight="1" outlineLevel="1">
      <c r="A315" s="916"/>
      <c r="B315" s="1124"/>
      <c r="C315" s="1128"/>
      <c r="D315" s="1126"/>
      <c r="E315" s="1126"/>
      <c r="F315" s="1132"/>
      <c r="G315" s="100"/>
      <c r="H315" s="98"/>
      <c r="I315" s="1126"/>
      <c r="J315" s="1135"/>
      <c r="K315" s="1135"/>
      <c r="L315" s="916"/>
    </row>
    <row r="316" spans="1:12" s="103" customFormat="1" ht="15.75" hidden="1" customHeight="1" outlineLevel="1">
      <c r="A316" s="916"/>
      <c r="B316" s="1123">
        <v>102</v>
      </c>
      <c r="C316" s="1127"/>
      <c r="D316" s="1125"/>
      <c r="E316" s="1125" t="s">
        <v>18</v>
      </c>
      <c r="F316" s="1130" t="str">
        <f>VLOOKUP(E316,$N$13:$O$17,2,0)</f>
        <v>-</v>
      </c>
      <c r="G316" s="92"/>
      <c r="H316" s="90"/>
      <c r="I316" s="1125"/>
      <c r="J316" s="1133"/>
      <c r="K316" s="1133"/>
      <c r="L316" s="916"/>
    </row>
    <row r="317" spans="1:12" s="103" customFormat="1" ht="15.75" hidden="1" customHeight="1" outlineLevel="1">
      <c r="A317" s="916"/>
      <c r="B317" s="1123"/>
      <c r="C317" s="1127"/>
      <c r="D317" s="1125"/>
      <c r="E317" s="1125"/>
      <c r="F317" s="1130"/>
      <c r="G317" s="95"/>
      <c r="H317" s="90"/>
      <c r="I317" s="1125"/>
      <c r="J317" s="1134"/>
      <c r="K317" s="1134"/>
      <c r="L317" s="916"/>
    </row>
    <row r="318" spans="1:12" s="103" customFormat="1" ht="15.75" hidden="1" customHeight="1" outlineLevel="1">
      <c r="A318" s="916"/>
      <c r="B318" s="1124"/>
      <c r="C318" s="1128"/>
      <c r="D318" s="1126"/>
      <c r="E318" s="1126"/>
      <c r="F318" s="1132"/>
      <c r="G318" s="100"/>
      <c r="H318" s="98"/>
      <c r="I318" s="1126"/>
      <c r="J318" s="1135"/>
      <c r="K318" s="1135"/>
      <c r="L318" s="916"/>
    </row>
    <row r="319" spans="1:12" s="103" customFormat="1" ht="15.75" hidden="1" customHeight="1" outlineLevel="1">
      <c r="A319" s="916"/>
      <c r="B319" s="1123">
        <v>103</v>
      </c>
      <c r="C319" s="1127"/>
      <c r="D319" s="1125"/>
      <c r="E319" s="1125" t="s">
        <v>18</v>
      </c>
      <c r="F319" s="1130" t="str">
        <f>VLOOKUP(E319,$N$13:$O$17,2,0)</f>
        <v>-</v>
      </c>
      <c r="G319" s="92"/>
      <c r="H319" s="90"/>
      <c r="I319" s="1125"/>
      <c r="J319" s="1133"/>
      <c r="K319" s="1133"/>
      <c r="L319" s="916"/>
    </row>
    <row r="320" spans="1:12" s="103" customFormat="1" ht="15.75" hidden="1" customHeight="1" outlineLevel="1">
      <c r="A320" s="916"/>
      <c r="B320" s="1123"/>
      <c r="C320" s="1127"/>
      <c r="D320" s="1125"/>
      <c r="E320" s="1125"/>
      <c r="F320" s="1130"/>
      <c r="G320" s="95"/>
      <c r="H320" s="90"/>
      <c r="I320" s="1125"/>
      <c r="J320" s="1134"/>
      <c r="K320" s="1134"/>
      <c r="L320" s="916"/>
    </row>
    <row r="321" spans="1:12" s="103" customFormat="1" ht="15.75" hidden="1" customHeight="1" outlineLevel="1">
      <c r="A321" s="916"/>
      <c r="B321" s="1124"/>
      <c r="C321" s="1128"/>
      <c r="D321" s="1126"/>
      <c r="E321" s="1126"/>
      <c r="F321" s="1132"/>
      <c r="G321" s="100"/>
      <c r="H321" s="98"/>
      <c r="I321" s="1126"/>
      <c r="J321" s="1135"/>
      <c r="K321" s="1135"/>
      <c r="L321" s="916"/>
    </row>
    <row r="322" spans="1:12" s="103" customFormat="1" ht="15.75" hidden="1" customHeight="1" outlineLevel="1">
      <c r="A322" s="916"/>
      <c r="B322" s="1123">
        <v>104</v>
      </c>
      <c r="C322" s="1127"/>
      <c r="D322" s="1125"/>
      <c r="E322" s="1125" t="s">
        <v>18</v>
      </c>
      <c r="F322" s="1130" t="str">
        <f>VLOOKUP(E322,$N$13:$O$17,2,0)</f>
        <v>-</v>
      </c>
      <c r="G322" s="92"/>
      <c r="H322" s="90"/>
      <c r="I322" s="1125"/>
      <c r="J322" s="1133"/>
      <c r="K322" s="1133"/>
      <c r="L322" s="916"/>
    </row>
    <row r="323" spans="1:12" s="103" customFormat="1" ht="15.75" hidden="1" customHeight="1" outlineLevel="1">
      <c r="A323" s="916"/>
      <c r="B323" s="1123"/>
      <c r="C323" s="1127"/>
      <c r="D323" s="1125"/>
      <c r="E323" s="1125"/>
      <c r="F323" s="1130"/>
      <c r="G323" s="95"/>
      <c r="H323" s="90"/>
      <c r="I323" s="1125"/>
      <c r="J323" s="1134"/>
      <c r="K323" s="1134"/>
      <c r="L323" s="916"/>
    </row>
    <row r="324" spans="1:12" s="103" customFormat="1" ht="15.75" hidden="1" customHeight="1" outlineLevel="1">
      <c r="A324" s="916"/>
      <c r="B324" s="1124"/>
      <c r="C324" s="1128"/>
      <c r="D324" s="1126"/>
      <c r="E324" s="1126"/>
      <c r="F324" s="1132"/>
      <c r="G324" s="100"/>
      <c r="H324" s="98"/>
      <c r="I324" s="1126"/>
      <c r="J324" s="1135"/>
      <c r="K324" s="1135"/>
      <c r="L324" s="916"/>
    </row>
    <row r="325" spans="1:12" s="103" customFormat="1" ht="15.75" hidden="1" customHeight="1" outlineLevel="1">
      <c r="A325" s="916"/>
      <c r="B325" s="1123">
        <v>105</v>
      </c>
      <c r="C325" s="1127"/>
      <c r="D325" s="1125"/>
      <c r="E325" s="1125" t="s">
        <v>18</v>
      </c>
      <c r="F325" s="1130" t="str">
        <f>VLOOKUP(E325,$N$13:$O$17,2,0)</f>
        <v>-</v>
      </c>
      <c r="G325" s="92"/>
      <c r="H325" s="90"/>
      <c r="I325" s="1125"/>
      <c r="J325" s="1133"/>
      <c r="K325" s="1133"/>
      <c r="L325" s="916"/>
    </row>
    <row r="326" spans="1:12" s="103" customFormat="1" ht="15.75" hidden="1" customHeight="1" outlineLevel="1">
      <c r="A326" s="916"/>
      <c r="B326" s="1123"/>
      <c r="C326" s="1127"/>
      <c r="D326" s="1125"/>
      <c r="E326" s="1125"/>
      <c r="F326" s="1130"/>
      <c r="G326" s="95"/>
      <c r="H326" s="90"/>
      <c r="I326" s="1125"/>
      <c r="J326" s="1134"/>
      <c r="K326" s="1134"/>
      <c r="L326" s="916"/>
    </row>
    <row r="327" spans="1:12" s="103" customFormat="1" ht="15.75" hidden="1" customHeight="1" outlineLevel="1">
      <c r="A327" s="916"/>
      <c r="B327" s="1124"/>
      <c r="C327" s="1128"/>
      <c r="D327" s="1126"/>
      <c r="E327" s="1126"/>
      <c r="F327" s="1132"/>
      <c r="G327" s="100"/>
      <c r="H327" s="98"/>
      <c r="I327" s="1126"/>
      <c r="J327" s="1135"/>
      <c r="K327" s="1135"/>
      <c r="L327" s="916"/>
    </row>
    <row r="328" spans="1:12" s="103" customFormat="1" ht="15.75" hidden="1" customHeight="1" outlineLevel="1">
      <c r="A328" s="916"/>
      <c r="B328" s="1123">
        <v>106</v>
      </c>
      <c r="C328" s="1127"/>
      <c r="D328" s="1125"/>
      <c r="E328" s="1125" t="s">
        <v>18</v>
      </c>
      <c r="F328" s="1130" t="str">
        <f>VLOOKUP(E328,$N$13:$O$17,2,0)</f>
        <v>-</v>
      </c>
      <c r="G328" s="92"/>
      <c r="H328" s="90"/>
      <c r="I328" s="1125"/>
      <c r="J328" s="1133"/>
      <c r="K328" s="1133"/>
      <c r="L328" s="916"/>
    </row>
    <row r="329" spans="1:12" s="103" customFormat="1" ht="15.75" hidden="1" customHeight="1" outlineLevel="1">
      <c r="A329" s="916"/>
      <c r="B329" s="1123"/>
      <c r="C329" s="1127"/>
      <c r="D329" s="1125"/>
      <c r="E329" s="1125"/>
      <c r="F329" s="1130"/>
      <c r="G329" s="95"/>
      <c r="H329" s="90"/>
      <c r="I329" s="1125"/>
      <c r="J329" s="1134"/>
      <c r="K329" s="1134"/>
      <c r="L329" s="916"/>
    </row>
    <row r="330" spans="1:12" s="103" customFormat="1" ht="15.75" hidden="1" customHeight="1" outlineLevel="1">
      <c r="A330" s="916"/>
      <c r="B330" s="1124"/>
      <c r="C330" s="1128"/>
      <c r="D330" s="1126"/>
      <c r="E330" s="1126"/>
      <c r="F330" s="1132"/>
      <c r="G330" s="100"/>
      <c r="H330" s="98"/>
      <c r="I330" s="1126"/>
      <c r="J330" s="1135"/>
      <c r="K330" s="1135"/>
      <c r="L330" s="916"/>
    </row>
    <row r="331" spans="1:12" s="103" customFormat="1" ht="15.75" hidden="1" customHeight="1" outlineLevel="1">
      <c r="A331" s="916"/>
      <c r="B331" s="1123">
        <v>107</v>
      </c>
      <c r="C331" s="1127"/>
      <c r="D331" s="1125"/>
      <c r="E331" s="1125" t="s">
        <v>18</v>
      </c>
      <c r="F331" s="1130" t="str">
        <f>VLOOKUP(E331,$N$13:$O$17,2,0)</f>
        <v>-</v>
      </c>
      <c r="G331" s="92"/>
      <c r="H331" s="90"/>
      <c r="I331" s="1125"/>
      <c r="J331" s="1133"/>
      <c r="K331" s="1133"/>
      <c r="L331" s="916"/>
    </row>
    <row r="332" spans="1:12" s="103" customFormat="1" ht="15.75" hidden="1" customHeight="1" outlineLevel="1">
      <c r="A332" s="916"/>
      <c r="B332" s="1123"/>
      <c r="C332" s="1127"/>
      <c r="D332" s="1125"/>
      <c r="E332" s="1125"/>
      <c r="F332" s="1130"/>
      <c r="G332" s="95"/>
      <c r="H332" s="90"/>
      <c r="I332" s="1125"/>
      <c r="J332" s="1134"/>
      <c r="K332" s="1134"/>
      <c r="L332" s="916"/>
    </row>
    <row r="333" spans="1:12" s="103" customFormat="1" ht="15.75" hidden="1" customHeight="1" outlineLevel="1">
      <c r="A333" s="916"/>
      <c r="B333" s="1124"/>
      <c r="C333" s="1128"/>
      <c r="D333" s="1126"/>
      <c r="E333" s="1126"/>
      <c r="F333" s="1132"/>
      <c r="G333" s="100"/>
      <c r="H333" s="98"/>
      <c r="I333" s="1126"/>
      <c r="J333" s="1135"/>
      <c r="K333" s="1135"/>
      <c r="L333" s="916"/>
    </row>
    <row r="334" spans="1:12" s="103" customFormat="1" ht="15.75" hidden="1" customHeight="1" outlineLevel="1">
      <c r="A334" s="916"/>
      <c r="B334" s="1123">
        <v>108</v>
      </c>
      <c r="C334" s="1127"/>
      <c r="D334" s="1125"/>
      <c r="E334" s="1125" t="s">
        <v>18</v>
      </c>
      <c r="F334" s="1130" t="str">
        <f>VLOOKUP(E334,$N$13:$O$17,2,0)</f>
        <v>-</v>
      </c>
      <c r="G334" s="92"/>
      <c r="H334" s="90"/>
      <c r="I334" s="1125"/>
      <c r="J334" s="1133"/>
      <c r="K334" s="1133"/>
      <c r="L334" s="916"/>
    </row>
    <row r="335" spans="1:12" s="103" customFormat="1" ht="15.75" hidden="1" customHeight="1" outlineLevel="1">
      <c r="A335" s="916"/>
      <c r="B335" s="1123"/>
      <c r="C335" s="1127"/>
      <c r="D335" s="1125"/>
      <c r="E335" s="1125"/>
      <c r="F335" s="1130"/>
      <c r="G335" s="95"/>
      <c r="H335" s="90"/>
      <c r="I335" s="1125"/>
      <c r="J335" s="1134"/>
      <c r="K335" s="1134"/>
      <c r="L335" s="916"/>
    </row>
    <row r="336" spans="1:12" s="103" customFormat="1" ht="15.75" hidden="1" customHeight="1" outlineLevel="1">
      <c r="A336" s="916"/>
      <c r="B336" s="1124"/>
      <c r="C336" s="1128"/>
      <c r="D336" s="1126"/>
      <c r="E336" s="1126"/>
      <c r="F336" s="1132"/>
      <c r="G336" s="100"/>
      <c r="H336" s="98"/>
      <c r="I336" s="1126"/>
      <c r="J336" s="1135"/>
      <c r="K336" s="1135"/>
      <c r="L336" s="916"/>
    </row>
    <row r="337" spans="1:12" s="103" customFormat="1" ht="15.75" hidden="1" customHeight="1" outlineLevel="1">
      <c r="A337" s="916"/>
      <c r="B337" s="1123">
        <v>109</v>
      </c>
      <c r="C337" s="1127"/>
      <c r="D337" s="1125"/>
      <c r="E337" s="1125" t="s">
        <v>18</v>
      </c>
      <c r="F337" s="1130" t="str">
        <f>VLOOKUP(E337,$N$13:$O$17,2,0)</f>
        <v>-</v>
      </c>
      <c r="G337" s="92"/>
      <c r="H337" s="90"/>
      <c r="I337" s="1125"/>
      <c r="J337" s="1133"/>
      <c r="K337" s="1133"/>
      <c r="L337" s="916"/>
    </row>
    <row r="338" spans="1:12" s="103" customFormat="1" ht="15.75" hidden="1" customHeight="1" outlineLevel="1">
      <c r="A338" s="916"/>
      <c r="B338" s="1123"/>
      <c r="C338" s="1127"/>
      <c r="D338" s="1125"/>
      <c r="E338" s="1125"/>
      <c r="F338" s="1130"/>
      <c r="G338" s="95"/>
      <c r="H338" s="90"/>
      <c r="I338" s="1125"/>
      <c r="J338" s="1134"/>
      <c r="K338" s="1134"/>
      <c r="L338" s="916"/>
    </row>
    <row r="339" spans="1:12" s="103" customFormat="1" ht="15.75" hidden="1" customHeight="1" outlineLevel="1">
      <c r="A339" s="916"/>
      <c r="B339" s="1124"/>
      <c r="C339" s="1128"/>
      <c r="D339" s="1126"/>
      <c r="E339" s="1126"/>
      <c r="F339" s="1132"/>
      <c r="G339" s="100"/>
      <c r="H339" s="98"/>
      <c r="I339" s="1126"/>
      <c r="J339" s="1135"/>
      <c r="K339" s="1135"/>
      <c r="L339" s="916"/>
    </row>
    <row r="340" spans="1:12" s="103" customFormat="1" ht="15.75" hidden="1" customHeight="1" outlineLevel="1">
      <c r="A340" s="916"/>
      <c r="B340" s="1123">
        <v>110</v>
      </c>
      <c r="C340" s="1127"/>
      <c r="D340" s="1125"/>
      <c r="E340" s="1125" t="s">
        <v>18</v>
      </c>
      <c r="F340" s="1130" t="str">
        <f>VLOOKUP(E340,$N$13:$O$17,2,0)</f>
        <v>-</v>
      </c>
      <c r="G340" s="92"/>
      <c r="H340" s="90"/>
      <c r="I340" s="1125"/>
      <c r="J340" s="1133"/>
      <c r="K340" s="1133"/>
      <c r="L340" s="916"/>
    </row>
    <row r="341" spans="1:12" s="103" customFormat="1" ht="15.75" hidden="1" customHeight="1" outlineLevel="1">
      <c r="A341" s="916"/>
      <c r="B341" s="1123"/>
      <c r="C341" s="1127"/>
      <c r="D341" s="1125"/>
      <c r="E341" s="1125"/>
      <c r="F341" s="1130"/>
      <c r="G341" s="95"/>
      <c r="H341" s="90"/>
      <c r="I341" s="1125"/>
      <c r="J341" s="1134"/>
      <c r="K341" s="1134"/>
      <c r="L341" s="916"/>
    </row>
    <row r="342" spans="1:12" s="103" customFormat="1" ht="15.75" hidden="1" customHeight="1" outlineLevel="1">
      <c r="A342" s="916"/>
      <c r="B342" s="1124"/>
      <c r="C342" s="1128"/>
      <c r="D342" s="1126"/>
      <c r="E342" s="1126"/>
      <c r="F342" s="1132"/>
      <c r="G342" s="100"/>
      <c r="H342" s="98"/>
      <c r="I342" s="1126"/>
      <c r="J342" s="1135"/>
      <c r="K342" s="1135"/>
      <c r="L342" s="916"/>
    </row>
    <row r="343" spans="1:12" s="103" customFormat="1" ht="15.75" hidden="1" customHeight="1" outlineLevel="1">
      <c r="A343" s="916"/>
      <c r="B343" s="1123">
        <v>111</v>
      </c>
      <c r="C343" s="1127"/>
      <c r="D343" s="1125"/>
      <c r="E343" s="1125" t="s">
        <v>18</v>
      </c>
      <c r="F343" s="1130" t="str">
        <f>VLOOKUP(E343,$N$13:$O$17,2,0)</f>
        <v>-</v>
      </c>
      <c r="G343" s="92"/>
      <c r="H343" s="90"/>
      <c r="I343" s="1125"/>
      <c r="J343" s="1133"/>
      <c r="K343" s="1133"/>
      <c r="L343" s="916"/>
    </row>
    <row r="344" spans="1:12" s="103" customFormat="1" ht="15.75" hidden="1" customHeight="1" outlineLevel="1">
      <c r="A344" s="916"/>
      <c r="B344" s="1123"/>
      <c r="C344" s="1127"/>
      <c r="D344" s="1125"/>
      <c r="E344" s="1125"/>
      <c r="F344" s="1130"/>
      <c r="G344" s="95"/>
      <c r="H344" s="90"/>
      <c r="I344" s="1125"/>
      <c r="J344" s="1134"/>
      <c r="K344" s="1134"/>
      <c r="L344" s="916"/>
    </row>
    <row r="345" spans="1:12" s="103" customFormat="1" ht="15.75" hidden="1" customHeight="1" outlineLevel="1">
      <c r="A345" s="916"/>
      <c r="B345" s="1124"/>
      <c r="C345" s="1128"/>
      <c r="D345" s="1126"/>
      <c r="E345" s="1126"/>
      <c r="F345" s="1132"/>
      <c r="G345" s="100"/>
      <c r="H345" s="98"/>
      <c r="I345" s="1126"/>
      <c r="J345" s="1135"/>
      <c r="K345" s="1135"/>
      <c r="L345" s="916"/>
    </row>
    <row r="346" spans="1:12" s="103" customFormat="1" ht="15.75" hidden="1" customHeight="1" outlineLevel="1">
      <c r="A346" s="916"/>
      <c r="B346" s="1123">
        <v>112</v>
      </c>
      <c r="C346" s="1127"/>
      <c r="D346" s="1125"/>
      <c r="E346" s="1125" t="s">
        <v>18</v>
      </c>
      <c r="F346" s="1130" t="str">
        <f>VLOOKUP(E346,$N$13:$O$17,2,0)</f>
        <v>-</v>
      </c>
      <c r="G346" s="92"/>
      <c r="H346" s="90"/>
      <c r="I346" s="1125"/>
      <c r="J346" s="1133"/>
      <c r="K346" s="1133"/>
      <c r="L346" s="916"/>
    </row>
    <row r="347" spans="1:12" s="103" customFormat="1" ht="15.75" hidden="1" customHeight="1" outlineLevel="1">
      <c r="A347" s="916"/>
      <c r="B347" s="1123"/>
      <c r="C347" s="1127"/>
      <c r="D347" s="1125"/>
      <c r="E347" s="1125"/>
      <c r="F347" s="1130"/>
      <c r="G347" s="95"/>
      <c r="H347" s="90"/>
      <c r="I347" s="1125"/>
      <c r="J347" s="1134"/>
      <c r="K347" s="1134"/>
      <c r="L347" s="916"/>
    </row>
    <row r="348" spans="1:12" s="103" customFormat="1" ht="15.75" hidden="1" customHeight="1" outlineLevel="1">
      <c r="A348" s="916"/>
      <c r="B348" s="1124"/>
      <c r="C348" s="1128"/>
      <c r="D348" s="1126"/>
      <c r="E348" s="1126"/>
      <c r="F348" s="1132"/>
      <c r="G348" s="100"/>
      <c r="H348" s="98"/>
      <c r="I348" s="1126"/>
      <c r="J348" s="1135"/>
      <c r="K348" s="1135"/>
      <c r="L348" s="916"/>
    </row>
    <row r="349" spans="1:12" s="103" customFormat="1" ht="15.75" hidden="1" customHeight="1" outlineLevel="1">
      <c r="A349" s="916"/>
      <c r="B349" s="1123">
        <v>113</v>
      </c>
      <c r="C349" s="1127"/>
      <c r="D349" s="1125"/>
      <c r="E349" s="1125" t="s">
        <v>18</v>
      </c>
      <c r="F349" s="1130" t="str">
        <f>VLOOKUP(E349,$N$13:$O$17,2,0)</f>
        <v>-</v>
      </c>
      <c r="G349" s="92"/>
      <c r="H349" s="90"/>
      <c r="I349" s="1125"/>
      <c r="J349" s="1133"/>
      <c r="K349" s="1133"/>
      <c r="L349" s="916"/>
    </row>
    <row r="350" spans="1:12" s="103" customFormat="1" ht="15.75" hidden="1" customHeight="1" outlineLevel="1">
      <c r="A350" s="916"/>
      <c r="B350" s="1123"/>
      <c r="C350" s="1127"/>
      <c r="D350" s="1125"/>
      <c r="E350" s="1125"/>
      <c r="F350" s="1130"/>
      <c r="G350" s="95"/>
      <c r="H350" s="90"/>
      <c r="I350" s="1125"/>
      <c r="J350" s="1134"/>
      <c r="K350" s="1134"/>
      <c r="L350" s="916"/>
    </row>
    <row r="351" spans="1:12" s="103" customFormat="1" ht="15.75" hidden="1" customHeight="1" outlineLevel="1">
      <c r="A351" s="916"/>
      <c r="B351" s="1124"/>
      <c r="C351" s="1128"/>
      <c r="D351" s="1126"/>
      <c r="E351" s="1126"/>
      <c r="F351" s="1132"/>
      <c r="G351" s="100"/>
      <c r="H351" s="98"/>
      <c r="I351" s="1126"/>
      <c r="J351" s="1135"/>
      <c r="K351" s="1135"/>
      <c r="L351" s="916"/>
    </row>
    <row r="352" spans="1:12" s="103" customFormat="1" ht="15.75" hidden="1" customHeight="1" outlineLevel="1">
      <c r="A352" s="916"/>
      <c r="B352" s="1123">
        <v>114</v>
      </c>
      <c r="C352" s="1127"/>
      <c r="D352" s="1125"/>
      <c r="E352" s="1125" t="s">
        <v>18</v>
      </c>
      <c r="F352" s="1130" t="str">
        <f>VLOOKUP(E352,$N$13:$O$17,2,0)</f>
        <v>-</v>
      </c>
      <c r="G352" s="92"/>
      <c r="H352" s="90"/>
      <c r="I352" s="1125"/>
      <c r="J352" s="1133"/>
      <c r="K352" s="1133"/>
      <c r="L352" s="916"/>
    </row>
    <row r="353" spans="1:12" s="103" customFormat="1" ht="15.75" hidden="1" customHeight="1" outlineLevel="1">
      <c r="A353" s="916"/>
      <c r="B353" s="1123"/>
      <c r="C353" s="1127"/>
      <c r="D353" s="1125"/>
      <c r="E353" s="1125"/>
      <c r="F353" s="1130"/>
      <c r="G353" s="95"/>
      <c r="H353" s="90"/>
      <c r="I353" s="1125"/>
      <c r="J353" s="1134"/>
      <c r="K353" s="1134"/>
      <c r="L353" s="916"/>
    </row>
    <row r="354" spans="1:12" s="103" customFormat="1" ht="15.75" hidden="1" customHeight="1" outlineLevel="1">
      <c r="A354" s="916"/>
      <c r="B354" s="1124"/>
      <c r="C354" s="1128"/>
      <c r="D354" s="1126"/>
      <c r="E354" s="1126"/>
      <c r="F354" s="1132"/>
      <c r="G354" s="100"/>
      <c r="H354" s="98"/>
      <c r="I354" s="1126"/>
      <c r="J354" s="1135"/>
      <c r="K354" s="1135"/>
      <c r="L354" s="916"/>
    </row>
    <row r="355" spans="1:12" s="103" customFormat="1" ht="15.75" hidden="1" customHeight="1" outlineLevel="1">
      <c r="A355" s="916"/>
      <c r="B355" s="1123">
        <v>115</v>
      </c>
      <c r="C355" s="1127"/>
      <c r="D355" s="1125"/>
      <c r="E355" s="1125" t="s">
        <v>18</v>
      </c>
      <c r="F355" s="1130" t="str">
        <f>VLOOKUP(E355,$N$13:$O$17,2,0)</f>
        <v>-</v>
      </c>
      <c r="G355" s="92"/>
      <c r="H355" s="90"/>
      <c r="I355" s="1125"/>
      <c r="J355" s="1133"/>
      <c r="K355" s="1133"/>
      <c r="L355" s="916"/>
    </row>
    <row r="356" spans="1:12" s="103" customFormat="1" ht="15.75" hidden="1" customHeight="1" outlineLevel="1">
      <c r="A356" s="916"/>
      <c r="B356" s="1123"/>
      <c r="C356" s="1127"/>
      <c r="D356" s="1125"/>
      <c r="E356" s="1125"/>
      <c r="F356" s="1130"/>
      <c r="G356" s="95"/>
      <c r="H356" s="90"/>
      <c r="I356" s="1125"/>
      <c r="J356" s="1134"/>
      <c r="K356" s="1134"/>
      <c r="L356" s="916"/>
    </row>
    <row r="357" spans="1:12" s="103" customFormat="1" ht="15.75" hidden="1" customHeight="1" outlineLevel="1">
      <c r="A357" s="916"/>
      <c r="B357" s="1124"/>
      <c r="C357" s="1128"/>
      <c r="D357" s="1126"/>
      <c r="E357" s="1126"/>
      <c r="F357" s="1132"/>
      <c r="G357" s="100"/>
      <c r="H357" s="98"/>
      <c r="I357" s="1126"/>
      <c r="J357" s="1135"/>
      <c r="K357" s="1135"/>
      <c r="L357" s="916"/>
    </row>
    <row r="358" spans="1:12" s="103" customFormat="1" ht="15.75" hidden="1" customHeight="1" outlineLevel="1">
      <c r="A358" s="916"/>
      <c r="B358" s="1123">
        <v>116</v>
      </c>
      <c r="C358" s="1127"/>
      <c r="D358" s="1125"/>
      <c r="E358" s="1125" t="s">
        <v>18</v>
      </c>
      <c r="F358" s="1130" t="str">
        <f>VLOOKUP(E358,$N$13:$O$17,2,0)</f>
        <v>-</v>
      </c>
      <c r="G358" s="92"/>
      <c r="H358" s="90"/>
      <c r="I358" s="1125"/>
      <c r="J358" s="1133"/>
      <c r="K358" s="1133"/>
      <c r="L358" s="916"/>
    </row>
    <row r="359" spans="1:12" s="103" customFormat="1" ht="15.75" hidden="1" customHeight="1" outlineLevel="1">
      <c r="A359" s="916"/>
      <c r="B359" s="1123"/>
      <c r="C359" s="1127"/>
      <c r="D359" s="1125"/>
      <c r="E359" s="1125"/>
      <c r="F359" s="1130"/>
      <c r="G359" s="95"/>
      <c r="H359" s="90"/>
      <c r="I359" s="1125"/>
      <c r="J359" s="1134"/>
      <c r="K359" s="1134"/>
      <c r="L359" s="916"/>
    </row>
    <row r="360" spans="1:12" s="103" customFormat="1" ht="15.75" hidden="1" customHeight="1" outlineLevel="1">
      <c r="A360" s="916"/>
      <c r="B360" s="1124"/>
      <c r="C360" s="1128"/>
      <c r="D360" s="1126"/>
      <c r="E360" s="1126"/>
      <c r="F360" s="1132"/>
      <c r="G360" s="100"/>
      <c r="H360" s="98"/>
      <c r="I360" s="1126"/>
      <c r="J360" s="1135"/>
      <c r="K360" s="1135"/>
      <c r="L360" s="916"/>
    </row>
    <row r="361" spans="1:12" s="103" customFormat="1" ht="15.75" hidden="1" customHeight="1" outlineLevel="1">
      <c r="A361" s="916"/>
      <c r="B361" s="1123">
        <v>117</v>
      </c>
      <c r="C361" s="1127"/>
      <c r="D361" s="1125"/>
      <c r="E361" s="1125" t="s">
        <v>18</v>
      </c>
      <c r="F361" s="1130" t="str">
        <f>VLOOKUP(E361,$N$13:$O$17,2,0)</f>
        <v>-</v>
      </c>
      <c r="G361" s="92"/>
      <c r="H361" s="90"/>
      <c r="I361" s="1125"/>
      <c r="J361" s="1133"/>
      <c r="K361" s="1133"/>
      <c r="L361" s="916"/>
    </row>
    <row r="362" spans="1:12" s="103" customFormat="1" ht="15.75" hidden="1" customHeight="1" outlineLevel="1">
      <c r="A362" s="916"/>
      <c r="B362" s="1123"/>
      <c r="C362" s="1127"/>
      <c r="D362" s="1125"/>
      <c r="E362" s="1125"/>
      <c r="F362" s="1130"/>
      <c r="G362" s="95"/>
      <c r="H362" s="90"/>
      <c r="I362" s="1125"/>
      <c r="J362" s="1134"/>
      <c r="K362" s="1134"/>
      <c r="L362" s="916"/>
    </row>
    <row r="363" spans="1:12" s="103" customFormat="1" ht="15.75" hidden="1" customHeight="1" outlineLevel="1">
      <c r="A363" s="916"/>
      <c r="B363" s="1124"/>
      <c r="C363" s="1128"/>
      <c r="D363" s="1126"/>
      <c r="E363" s="1126"/>
      <c r="F363" s="1132"/>
      <c r="G363" s="100"/>
      <c r="H363" s="98"/>
      <c r="I363" s="1126"/>
      <c r="J363" s="1135"/>
      <c r="K363" s="1135"/>
      <c r="L363" s="916"/>
    </row>
    <row r="364" spans="1:12" s="103" customFormat="1" ht="15.75" hidden="1" customHeight="1" outlineLevel="1">
      <c r="A364" s="916"/>
      <c r="B364" s="1123">
        <v>118</v>
      </c>
      <c r="C364" s="1127"/>
      <c r="D364" s="1125"/>
      <c r="E364" s="1125" t="s">
        <v>18</v>
      </c>
      <c r="F364" s="1130" t="str">
        <f>VLOOKUP(E364,$N$13:$O$17,2,0)</f>
        <v>-</v>
      </c>
      <c r="G364" s="92"/>
      <c r="H364" s="90"/>
      <c r="I364" s="1125"/>
      <c r="J364" s="1133"/>
      <c r="K364" s="1133"/>
      <c r="L364" s="916"/>
    </row>
    <row r="365" spans="1:12" s="103" customFormat="1" ht="15.75" hidden="1" customHeight="1" outlineLevel="1">
      <c r="A365" s="916"/>
      <c r="B365" s="1123"/>
      <c r="C365" s="1127"/>
      <c r="D365" s="1125"/>
      <c r="E365" s="1125"/>
      <c r="F365" s="1130"/>
      <c r="G365" s="95"/>
      <c r="H365" s="90"/>
      <c r="I365" s="1125"/>
      <c r="J365" s="1134"/>
      <c r="K365" s="1134"/>
      <c r="L365" s="916"/>
    </row>
    <row r="366" spans="1:12" s="103" customFormat="1" ht="15.75" hidden="1" customHeight="1" outlineLevel="1">
      <c r="A366" s="916"/>
      <c r="B366" s="1124"/>
      <c r="C366" s="1128"/>
      <c r="D366" s="1126"/>
      <c r="E366" s="1126"/>
      <c r="F366" s="1132"/>
      <c r="G366" s="100"/>
      <c r="H366" s="98"/>
      <c r="I366" s="1126"/>
      <c r="J366" s="1135"/>
      <c r="K366" s="1135"/>
      <c r="L366" s="916"/>
    </row>
    <row r="367" spans="1:12" s="103" customFormat="1" ht="15.75" hidden="1" customHeight="1" outlineLevel="1">
      <c r="A367" s="916"/>
      <c r="B367" s="1123">
        <v>119</v>
      </c>
      <c r="C367" s="1127"/>
      <c r="D367" s="1125"/>
      <c r="E367" s="1125" t="s">
        <v>18</v>
      </c>
      <c r="F367" s="1130" t="str">
        <f>VLOOKUP(E367,$N$13:$O$17,2,0)</f>
        <v>-</v>
      </c>
      <c r="G367" s="92"/>
      <c r="H367" s="90"/>
      <c r="I367" s="1125"/>
      <c r="J367" s="1133"/>
      <c r="K367" s="1133"/>
      <c r="L367" s="916"/>
    </row>
    <row r="368" spans="1:12" s="103" customFormat="1" ht="15.75" hidden="1" customHeight="1" outlineLevel="1">
      <c r="A368" s="916"/>
      <c r="B368" s="1123"/>
      <c r="C368" s="1127"/>
      <c r="D368" s="1125"/>
      <c r="E368" s="1125"/>
      <c r="F368" s="1130"/>
      <c r="G368" s="95"/>
      <c r="H368" s="90"/>
      <c r="I368" s="1125"/>
      <c r="J368" s="1134"/>
      <c r="K368" s="1134"/>
      <c r="L368" s="916"/>
    </row>
    <row r="369" spans="1:12" s="103" customFormat="1" ht="15.75" hidden="1" customHeight="1" outlineLevel="1">
      <c r="A369" s="916"/>
      <c r="B369" s="1124"/>
      <c r="C369" s="1128"/>
      <c r="D369" s="1126"/>
      <c r="E369" s="1126"/>
      <c r="F369" s="1132"/>
      <c r="G369" s="100"/>
      <c r="H369" s="98"/>
      <c r="I369" s="1126"/>
      <c r="J369" s="1135"/>
      <c r="K369" s="1135"/>
      <c r="L369" s="916"/>
    </row>
    <row r="370" spans="1:12" s="103" customFormat="1" ht="15.75" hidden="1" customHeight="1" outlineLevel="1">
      <c r="A370" s="916"/>
      <c r="B370" s="1123">
        <v>120</v>
      </c>
      <c r="C370" s="1127"/>
      <c r="D370" s="1125"/>
      <c r="E370" s="1125" t="s">
        <v>18</v>
      </c>
      <c r="F370" s="1130" t="str">
        <f>VLOOKUP(E370,$N$13:$O$17,2,0)</f>
        <v>-</v>
      </c>
      <c r="G370" s="92"/>
      <c r="H370" s="90"/>
      <c r="I370" s="1125"/>
      <c r="J370" s="1133"/>
      <c r="K370" s="1133"/>
      <c r="L370" s="916"/>
    </row>
    <row r="371" spans="1:12" s="103" customFormat="1" ht="15.75" hidden="1" customHeight="1" outlineLevel="1">
      <c r="A371" s="916"/>
      <c r="B371" s="1123"/>
      <c r="C371" s="1127"/>
      <c r="D371" s="1125"/>
      <c r="E371" s="1125"/>
      <c r="F371" s="1130"/>
      <c r="G371" s="95"/>
      <c r="H371" s="90"/>
      <c r="I371" s="1125"/>
      <c r="J371" s="1134"/>
      <c r="K371" s="1134"/>
      <c r="L371" s="916"/>
    </row>
    <row r="372" spans="1:12" s="103" customFormat="1" ht="15.75" hidden="1" customHeight="1" outlineLevel="1">
      <c r="A372" s="916"/>
      <c r="B372" s="1124"/>
      <c r="C372" s="1128"/>
      <c r="D372" s="1126"/>
      <c r="E372" s="1126"/>
      <c r="F372" s="1132"/>
      <c r="G372" s="100"/>
      <c r="H372" s="98"/>
      <c r="I372" s="1126"/>
      <c r="J372" s="1135"/>
      <c r="K372" s="1135"/>
      <c r="L372" s="916"/>
    </row>
    <row r="373" spans="1:12" s="103" customFormat="1" ht="15.75" hidden="1" customHeight="1" outlineLevel="1">
      <c r="A373" s="916"/>
      <c r="B373" s="1123">
        <v>121</v>
      </c>
      <c r="C373" s="1127"/>
      <c r="D373" s="1125"/>
      <c r="E373" s="1125" t="s">
        <v>18</v>
      </c>
      <c r="F373" s="1130" t="str">
        <f>VLOOKUP(E373,$N$13:$O$17,2,0)</f>
        <v>-</v>
      </c>
      <c r="G373" s="92"/>
      <c r="H373" s="90"/>
      <c r="I373" s="1125"/>
      <c r="J373" s="1133"/>
      <c r="K373" s="1133"/>
      <c r="L373" s="916"/>
    </row>
    <row r="374" spans="1:12" s="103" customFormat="1" ht="15.75" hidden="1" customHeight="1" outlineLevel="1">
      <c r="A374" s="916"/>
      <c r="B374" s="1123"/>
      <c r="C374" s="1127"/>
      <c r="D374" s="1125"/>
      <c r="E374" s="1125"/>
      <c r="F374" s="1130"/>
      <c r="G374" s="95"/>
      <c r="H374" s="90"/>
      <c r="I374" s="1125"/>
      <c r="J374" s="1134"/>
      <c r="K374" s="1134"/>
      <c r="L374" s="916"/>
    </row>
    <row r="375" spans="1:12" s="103" customFormat="1" ht="15.75" hidden="1" customHeight="1" outlineLevel="1">
      <c r="A375" s="916"/>
      <c r="B375" s="1124"/>
      <c r="C375" s="1128"/>
      <c r="D375" s="1126"/>
      <c r="E375" s="1126"/>
      <c r="F375" s="1132"/>
      <c r="G375" s="100"/>
      <c r="H375" s="98"/>
      <c r="I375" s="1126"/>
      <c r="J375" s="1135"/>
      <c r="K375" s="1135"/>
      <c r="L375" s="916"/>
    </row>
    <row r="376" spans="1:12" s="103" customFormat="1" ht="15.75" hidden="1" customHeight="1" outlineLevel="1">
      <c r="A376" s="916"/>
      <c r="B376" s="1123">
        <v>122</v>
      </c>
      <c r="C376" s="1127"/>
      <c r="D376" s="1125"/>
      <c r="E376" s="1125" t="s">
        <v>18</v>
      </c>
      <c r="F376" s="1130" t="str">
        <f>VLOOKUP(E376,$N$13:$O$17,2,0)</f>
        <v>-</v>
      </c>
      <c r="G376" s="92"/>
      <c r="H376" s="90"/>
      <c r="I376" s="1125"/>
      <c r="J376" s="1133"/>
      <c r="K376" s="1133"/>
      <c r="L376" s="916"/>
    </row>
    <row r="377" spans="1:12" s="103" customFormat="1" ht="15.75" hidden="1" customHeight="1" outlineLevel="1">
      <c r="A377" s="916"/>
      <c r="B377" s="1123"/>
      <c r="C377" s="1127"/>
      <c r="D377" s="1125"/>
      <c r="E377" s="1125"/>
      <c r="F377" s="1130"/>
      <c r="G377" s="95"/>
      <c r="H377" s="90"/>
      <c r="I377" s="1125"/>
      <c r="J377" s="1134"/>
      <c r="K377" s="1134"/>
      <c r="L377" s="916"/>
    </row>
    <row r="378" spans="1:12" s="103" customFormat="1" ht="15.75" hidden="1" customHeight="1" outlineLevel="1">
      <c r="A378" s="916"/>
      <c r="B378" s="1124"/>
      <c r="C378" s="1128"/>
      <c r="D378" s="1126"/>
      <c r="E378" s="1126"/>
      <c r="F378" s="1132"/>
      <c r="G378" s="100"/>
      <c r="H378" s="98"/>
      <c r="I378" s="1126"/>
      <c r="J378" s="1135"/>
      <c r="K378" s="1135"/>
      <c r="L378" s="916"/>
    </row>
    <row r="379" spans="1:12" s="103" customFormat="1" ht="15.75" hidden="1" customHeight="1" outlineLevel="1">
      <c r="A379" s="916"/>
      <c r="B379" s="1123">
        <v>123</v>
      </c>
      <c r="C379" s="1127"/>
      <c r="D379" s="1125"/>
      <c r="E379" s="1125" t="s">
        <v>18</v>
      </c>
      <c r="F379" s="1130" t="str">
        <f>VLOOKUP(E379,$N$13:$O$17,2,0)</f>
        <v>-</v>
      </c>
      <c r="G379" s="92"/>
      <c r="H379" s="90"/>
      <c r="I379" s="1125"/>
      <c r="J379" s="1133"/>
      <c r="K379" s="1133"/>
      <c r="L379" s="916"/>
    </row>
    <row r="380" spans="1:12" s="103" customFormat="1" ht="15.75" hidden="1" customHeight="1" outlineLevel="1">
      <c r="A380" s="916"/>
      <c r="B380" s="1123"/>
      <c r="C380" s="1127"/>
      <c r="D380" s="1125"/>
      <c r="E380" s="1125"/>
      <c r="F380" s="1130"/>
      <c r="G380" s="95"/>
      <c r="H380" s="90"/>
      <c r="I380" s="1125"/>
      <c r="J380" s="1134"/>
      <c r="K380" s="1134"/>
      <c r="L380" s="916"/>
    </row>
    <row r="381" spans="1:12" s="103" customFormat="1" ht="15.75" hidden="1" customHeight="1" outlineLevel="1">
      <c r="A381" s="916"/>
      <c r="B381" s="1124"/>
      <c r="C381" s="1128"/>
      <c r="D381" s="1126"/>
      <c r="E381" s="1126"/>
      <c r="F381" s="1132"/>
      <c r="G381" s="100"/>
      <c r="H381" s="98"/>
      <c r="I381" s="1126"/>
      <c r="J381" s="1135"/>
      <c r="K381" s="1135"/>
      <c r="L381" s="916"/>
    </row>
    <row r="382" spans="1:12" s="103" customFormat="1" ht="15.75" hidden="1" customHeight="1" outlineLevel="1">
      <c r="A382" s="916"/>
      <c r="B382" s="1123">
        <v>124</v>
      </c>
      <c r="C382" s="1127"/>
      <c r="D382" s="1125"/>
      <c r="E382" s="1125" t="s">
        <v>18</v>
      </c>
      <c r="F382" s="1130" t="str">
        <f>VLOOKUP(E382,$N$13:$O$17,2,0)</f>
        <v>-</v>
      </c>
      <c r="G382" s="92"/>
      <c r="H382" s="90"/>
      <c r="I382" s="1125"/>
      <c r="J382" s="1133"/>
      <c r="K382" s="1133"/>
      <c r="L382" s="916"/>
    </row>
    <row r="383" spans="1:12" s="103" customFormat="1" ht="15.75" hidden="1" customHeight="1" outlineLevel="1">
      <c r="A383" s="916"/>
      <c r="B383" s="1123"/>
      <c r="C383" s="1127"/>
      <c r="D383" s="1125"/>
      <c r="E383" s="1125"/>
      <c r="F383" s="1130"/>
      <c r="G383" s="95"/>
      <c r="H383" s="90"/>
      <c r="I383" s="1125"/>
      <c r="J383" s="1134"/>
      <c r="K383" s="1134"/>
      <c r="L383" s="916"/>
    </row>
    <row r="384" spans="1:12" s="103" customFormat="1" ht="15.75" hidden="1" customHeight="1" outlineLevel="1">
      <c r="A384" s="916"/>
      <c r="B384" s="1124"/>
      <c r="C384" s="1128"/>
      <c r="D384" s="1126"/>
      <c r="E384" s="1126"/>
      <c r="F384" s="1132"/>
      <c r="G384" s="100"/>
      <c r="H384" s="98"/>
      <c r="I384" s="1126"/>
      <c r="J384" s="1135"/>
      <c r="K384" s="1135"/>
      <c r="L384" s="916"/>
    </row>
    <row r="385" spans="1:12" s="103" customFormat="1" ht="15.75" hidden="1" customHeight="1" outlineLevel="1">
      <c r="A385" s="916"/>
      <c r="B385" s="1123">
        <v>125</v>
      </c>
      <c r="C385" s="1127"/>
      <c r="D385" s="1125"/>
      <c r="E385" s="1125" t="s">
        <v>18</v>
      </c>
      <c r="F385" s="1130" t="str">
        <f>VLOOKUP(E385,$N$13:$O$17,2,0)</f>
        <v>-</v>
      </c>
      <c r="G385" s="92"/>
      <c r="H385" s="90"/>
      <c r="I385" s="1125"/>
      <c r="J385" s="1133"/>
      <c r="K385" s="1133"/>
      <c r="L385" s="916"/>
    </row>
    <row r="386" spans="1:12" s="103" customFormat="1" ht="15.75" hidden="1" customHeight="1" outlineLevel="1">
      <c r="A386" s="916"/>
      <c r="B386" s="1123"/>
      <c r="C386" s="1127"/>
      <c r="D386" s="1125"/>
      <c r="E386" s="1125"/>
      <c r="F386" s="1130"/>
      <c r="G386" s="95"/>
      <c r="H386" s="90"/>
      <c r="I386" s="1125"/>
      <c r="J386" s="1134"/>
      <c r="K386" s="1134"/>
      <c r="L386" s="916"/>
    </row>
    <row r="387" spans="1:12" s="103" customFormat="1" ht="15.75" hidden="1" customHeight="1" outlineLevel="1">
      <c r="A387" s="916"/>
      <c r="B387" s="1124"/>
      <c r="C387" s="1128"/>
      <c r="D387" s="1126"/>
      <c r="E387" s="1126"/>
      <c r="F387" s="1132"/>
      <c r="G387" s="100"/>
      <c r="H387" s="98"/>
      <c r="I387" s="1126"/>
      <c r="J387" s="1135"/>
      <c r="K387" s="1135"/>
      <c r="L387" s="916"/>
    </row>
    <row r="388" spans="1:12" s="103" customFormat="1" ht="15.75" hidden="1" customHeight="1" outlineLevel="1">
      <c r="A388" s="916"/>
      <c r="B388" s="1123">
        <v>126</v>
      </c>
      <c r="C388" s="1127"/>
      <c r="D388" s="1125"/>
      <c r="E388" s="1125" t="s">
        <v>18</v>
      </c>
      <c r="F388" s="1130" t="str">
        <f>VLOOKUP(E388,$N$13:$O$17,2,0)</f>
        <v>-</v>
      </c>
      <c r="G388" s="92"/>
      <c r="H388" s="90"/>
      <c r="I388" s="1125"/>
      <c r="J388" s="1133"/>
      <c r="K388" s="1133"/>
      <c r="L388" s="916"/>
    </row>
    <row r="389" spans="1:12" s="103" customFormat="1" ht="15.75" hidden="1" customHeight="1" outlineLevel="1">
      <c r="A389" s="916"/>
      <c r="B389" s="1123"/>
      <c r="C389" s="1127"/>
      <c r="D389" s="1125"/>
      <c r="E389" s="1125"/>
      <c r="F389" s="1130"/>
      <c r="G389" s="95"/>
      <c r="H389" s="90"/>
      <c r="I389" s="1125"/>
      <c r="J389" s="1134"/>
      <c r="K389" s="1134"/>
      <c r="L389" s="916"/>
    </row>
    <row r="390" spans="1:12" s="103" customFormat="1" ht="15.75" hidden="1" customHeight="1" outlineLevel="1">
      <c r="A390" s="916"/>
      <c r="B390" s="1124"/>
      <c r="C390" s="1128"/>
      <c r="D390" s="1126"/>
      <c r="E390" s="1126"/>
      <c r="F390" s="1132"/>
      <c r="G390" s="100"/>
      <c r="H390" s="98"/>
      <c r="I390" s="1126"/>
      <c r="J390" s="1135"/>
      <c r="K390" s="1135"/>
      <c r="L390" s="916"/>
    </row>
    <row r="391" spans="1:12" s="103" customFormat="1" ht="15.75" hidden="1" customHeight="1" outlineLevel="1">
      <c r="A391" s="916"/>
      <c r="B391" s="1123">
        <v>127</v>
      </c>
      <c r="C391" s="1127"/>
      <c r="D391" s="1125"/>
      <c r="E391" s="1125" t="s">
        <v>18</v>
      </c>
      <c r="F391" s="1130" t="str">
        <f>VLOOKUP(E391,$N$13:$O$17,2,0)</f>
        <v>-</v>
      </c>
      <c r="G391" s="92"/>
      <c r="H391" s="90"/>
      <c r="I391" s="1125"/>
      <c r="J391" s="1133"/>
      <c r="K391" s="1133"/>
      <c r="L391" s="916"/>
    </row>
    <row r="392" spans="1:12" s="103" customFormat="1" ht="15.75" hidden="1" customHeight="1" outlineLevel="1">
      <c r="A392" s="916"/>
      <c r="B392" s="1123"/>
      <c r="C392" s="1127"/>
      <c r="D392" s="1125"/>
      <c r="E392" s="1125"/>
      <c r="F392" s="1130"/>
      <c r="G392" s="95"/>
      <c r="H392" s="90"/>
      <c r="I392" s="1125"/>
      <c r="J392" s="1134"/>
      <c r="K392" s="1134"/>
      <c r="L392" s="916"/>
    </row>
    <row r="393" spans="1:12" s="103" customFormat="1" ht="15.75" hidden="1" customHeight="1" outlineLevel="1">
      <c r="A393" s="916"/>
      <c r="B393" s="1124"/>
      <c r="C393" s="1128"/>
      <c r="D393" s="1126"/>
      <c r="E393" s="1126"/>
      <c r="F393" s="1132"/>
      <c r="G393" s="100"/>
      <c r="H393" s="98"/>
      <c r="I393" s="1126"/>
      <c r="J393" s="1135"/>
      <c r="K393" s="1135"/>
      <c r="L393" s="916"/>
    </row>
    <row r="394" spans="1:12" s="103" customFormat="1" ht="15.75" hidden="1" customHeight="1" outlineLevel="1">
      <c r="A394" s="916"/>
      <c r="B394" s="1123">
        <v>128</v>
      </c>
      <c r="C394" s="1127"/>
      <c r="D394" s="1125"/>
      <c r="E394" s="1125" t="s">
        <v>18</v>
      </c>
      <c r="F394" s="1130" t="str">
        <f>VLOOKUP(E394,$N$13:$O$17,2,0)</f>
        <v>-</v>
      </c>
      <c r="G394" s="92"/>
      <c r="H394" s="90"/>
      <c r="I394" s="1125"/>
      <c r="J394" s="1133"/>
      <c r="K394" s="1133"/>
      <c r="L394" s="916"/>
    </row>
    <row r="395" spans="1:12" s="103" customFormat="1" ht="15.75" hidden="1" customHeight="1" outlineLevel="1">
      <c r="A395" s="916"/>
      <c r="B395" s="1123"/>
      <c r="C395" s="1127"/>
      <c r="D395" s="1125"/>
      <c r="E395" s="1125"/>
      <c r="F395" s="1130"/>
      <c r="G395" s="95"/>
      <c r="H395" s="90"/>
      <c r="I395" s="1125"/>
      <c r="J395" s="1134"/>
      <c r="K395" s="1134"/>
      <c r="L395" s="916"/>
    </row>
    <row r="396" spans="1:12" s="103" customFormat="1" ht="15.75" hidden="1" customHeight="1" outlineLevel="1">
      <c r="A396" s="916"/>
      <c r="B396" s="1124"/>
      <c r="C396" s="1128"/>
      <c r="D396" s="1126"/>
      <c r="E396" s="1126"/>
      <c r="F396" s="1132"/>
      <c r="G396" s="100"/>
      <c r="H396" s="98"/>
      <c r="I396" s="1126"/>
      <c r="J396" s="1135"/>
      <c r="K396" s="1135"/>
      <c r="L396" s="916"/>
    </row>
    <row r="397" spans="1:12" s="103" customFormat="1" ht="15.75" hidden="1" customHeight="1" outlineLevel="1">
      <c r="A397" s="916"/>
      <c r="B397" s="1123">
        <v>129</v>
      </c>
      <c r="C397" s="1127"/>
      <c r="D397" s="1125"/>
      <c r="E397" s="1125" t="s">
        <v>18</v>
      </c>
      <c r="F397" s="1130" t="str">
        <f>VLOOKUP(E397,$N$13:$O$17,2,0)</f>
        <v>-</v>
      </c>
      <c r="G397" s="92"/>
      <c r="H397" s="90"/>
      <c r="I397" s="1125"/>
      <c r="J397" s="1133"/>
      <c r="K397" s="1133"/>
      <c r="L397" s="916"/>
    </row>
    <row r="398" spans="1:12" s="103" customFormat="1" ht="15.75" hidden="1" customHeight="1" outlineLevel="1">
      <c r="A398" s="916"/>
      <c r="B398" s="1123"/>
      <c r="C398" s="1127"/>
      <c r="D398" s="1125"/>
      <c r="E398" s="1125"/>
      <c r="F398" s="1130"/>
      <c r="G398" s="95"/>
      <c r="H398" s="90"/>
      <c r="I398" s="1125"/>
      <c r="J398" s="1134"/>
      <c r="K398" s="1134"/>
      <c r="L398" s="916"/>
    </row>
    <row r="399" spans="1:12" s="103" customFormat="1" ht="15.75" hidden="1" customHeight="1" outlineLevel="1">
      <c r="A399" s="916"/>
      <c r="B399" s="1124"/>
      <c r="C399" s="1128"/>
      <c r="D399" s="1126"/>
      <c r="E399" s="1126"/>
      <c r="F399" s="1132"/>
      <c r="G399" s="100"/>
      <c r="H399" s="98"/>
      <c r="I399" s="1126"/>
      <c r="J399" s="1135"/>
      <c r="K399" s="1135"/>
      <c r="L399" s="916"/>
    </row>
    <row r="400" spans="1:12" s="103" customFormat="1" ht="15.75" hidden="1" customHeight="1" outlineLevel="1">
      <c r="A400" s="916"/>
      <c r="B400" s="1123">
        <v>130</v>
      </c>
      <c r="C400" s="1127"/>
      <c r="D400" s="1125"/>
      <c r="E400" s="1125" t="s">
        <v>18</v>
      </c>
      <c r="F400" s="1130" t="str">
        <f>VLOOKUP(E400,$N$13:$O$17,2,0)</f>
        <v>-</v>
      </c>
      <c r="G400" s="92"/>
      <c r="H400" s="90"/>
      <c r="I400" s="1125"/>
      <c r="J400" s="1133"/>
      <c r="K400" s="1133"/>
      <c r="L400" s="916"/>
    </row>
    <row r="401" spans="1:12" s="103" customFormat="1" ht="15.75" hidden="1" customHeight="1" outlineLevel="1">
      <c r="A401" s="916"/>
      <c r="B401" s="1123"/>
      <c r="C401" s="1127"/>
      <c r="D401" s="1125"/>
      <c r="E401" s="1125"/>
      <c r="F401" s="1130"/>
      <c r="G401" s="95"/>
      <c r="H401" s="90"/>
      <c r="I401" s="1125"/>
      <c r="J401" s="1134"/>
      <c r="K401" s="1134"/>
      <c r="L401" s="916"/>
    </row>
    <row r="402" spans="1:12" s="103" customFormat="1" ht="15.75" hidden="1" customHeight="1" outlineLevel="1">
      <c r="A402" s="916"/>
      <c r="B402" s="1124"/>
      <c r="C402" s="1128"/>
      <c r="D402" s="1126"/>
      <c r="E402" s="1126"/>
      <c r="F402" s="1132"/>
      <c r="G402" s="100"/>
      <c r="H402" s="98"/>
      <c r="I402" s="1126"/>
      <c r="J402" s="1135"/>
      <c r="K402" s="1135"/>
      <c r="L402" s="916"/>
    </row>
    <row r="403" spans="1:12" s="103" customFormat="1" ht="15.75" hidden="1" customHeight="1" outlineLevel="1">
      <c r="A403" s="916"/>
      <c r="B403" s="1123">
        <v>131</v>
      </c>
      <c r="C403" s="1127"/>
      <c r="D403" s="1125"/>
      <c r="E403" s="1125" t="s">
        <v>18</v>
      </c>
      <c r="F403" s="1130" t="str">
        <f>VLOOKUP(E403,$N$13:$O$17,2,0)</f>
        <v>-</v>
      </c>
      <c r="G403" s="92"/>
      <c r="H403" s="90"/>
      <c r="I403" s="1125"/>
      <c r="J403" s="1133"/>
      <c r="K403" s="1133"/>
      <c r="L403" s="916"/>
    </row>
    <row r="404" spans="1:12" s="103" customFormat="1" ht="15.75" hidden="1" customHeight="1" outlineLevel="1">
      <c r="A404" s="916"/>
      <c r="B404" s="1123"/>
      <c r="C404" s="1127"/>
      <c r="D404" s="1125"/>
      <c r="E404" s="1125"/>
      <c r="F404" s="1130"/>
      <c r="G404" s="95"/>
      <c r="H404" s="90"/>
      <c r="I404" s="1125"/>
      <c r="J404" s="1134"/>
      <c r="K404" s="1134"/>
      <c r="L404" s="916"/>
    </row>
    <row r="405" spans="1:12" s="103" customFormat="1" ht="15.75" hidden="1" customHeight="1" outlineLevel="1">
      <c r="A405" s="916"/>
      <c r="B405" s="1124"/>
      <c r="C405" s="1128"/>
      <c r="D405" s="1126"/>
      <c r="E405" s="1126"/>
      <c r="F405" s="1132"/>
      <c r="G405" s="100"/>
      <c r="H405" s="98"/>
      <c r="I405" s="1126"/>
      <c r="J405" s="1135"/>
      <c r="K405" s="1135"/>
      <c r="L405" s="916"/>
    </row>
    <row r="406" spans="1:12" s="103" customFormat="1" ht="15.75" hidden="1" customHeight="1" outlineLevel="1">
      <c r="A406" s="916"/>
      <c r="B406" s="1123">
        <v>132</v>
      </c>
      <c r="C406" s="1127"/>
      <c r="D406" s="1125"/>
      <c r="E406" s="1125" t="s">
        <v>18</v>
      </c>
      <c r="F406" s="1130" t="str">
        <f>VLOOKUP(E406,$N$13:$O$17,2,0)</f>
        <v>-</v>
      </c>
      <c r="G406" s="92"/>
      <c r="H406" s="90"/>
      <c r="I406" s="1125"/>
      <c r="J406" s="1133"/>
      <c r="K406" s="1133"/>
      <c r="L406" s="916"/>
    </row>
    <row r="407" spans="1:12" s="103" customFormat="1" ht="15.75" hidden="1" customHeight="1" outlineLevel="1">
      <c r="A407" s="916"/>
      <c r="B407" s="1123"/>
      <c r="C407" s="1127"/>
      <c r="D407" s="1125"/>
      <c r="E407" s="1125"/>
      <c r="F407" s="1130"/>
      <c r="G407" s="95"/>
      <c r="H407" s="90"/>
      <c r="I407" s="1125"/>
      <c r="J407" s="1134"/>
      <c r="K407" s="1134"/>
      <c r="L407" s="916"/>
    </row>
    <row r="408" spans="1:12" s="103" customFormat="1" ht="15.75" hidden="1" customHeight="1" outlineLevel="1">
      <c r="A408" s="916"/>
      <c r="B408" s="1124"/>
      <c r="C408" s="1128"/>
      <c r="D408" s="1126"/>
      <c r="E408" s="1126"/>
      <c r="F408" s="1132"/>
      <c r="G408" s="100"/>
      <c r="H408" s="98"/>
      <c r="I408" s="1126"/>
      <c r="J408" s="1135"/>
      <c r="K408" s="1135"/>
      <c r="L408" s="916"/>
    </row>
    <row r="409" spans="1:12" s="103" customFormat="1" ht="15.75" hidden="1" customHeight="1" outlineLevel="1">
      <c r="A409" s="916"/>
      <c r="B409" s="1123">
        <v>133</v>
      </c>
      <c r="C409" s="1127"/>
      <c r="D409" s="1125"/>
      <c r="E409" s="1125" t="s">
        <v>18</v>
      </c>
      <c r="F409" s="1130" t="str">
        <f>VLOOKUP(E409,$N$13:$O$17,2,0)</f>
        <v>-</v>
      </c>
      <c r="G409" s="92"/>
      <c r="H409" s="90"/>
      <c r="I409" s="1125"/>
      <c r="J409" s="1133"/>
      <c r="K409" s="1133"/>
      <c r="L409" s="916"/>
    </row>
    <row r="410" spans="1:12" s="103" customFormat="1" ht="15.75" hidden="1" customHeight="1" outlineLevel="1">
      <c r="A410" s="916"/>
      <c r="B410" s="1123"/>
      <c r="C410" s="1127"/>
      <c r="D410" s="1125"/>
      <c r="E410" s="1125"/>
      <c r="F410" s="1130"/>
      <c r="G410" s="95"/>
      <c r="H410" s="90"/>
      <c r="I410" s="1125"/>
      <c r="J410" s="1134"/>
      <c r="K410" s="1134"/>
      <c r="L410" s="916"/>
    </row>
    <row r="411" spans="1:12" s="103" customFormat="1" ht="15.75" hidden="1" customHeight="1" outlineLevel="1">
      <c r="A411" s="916"/>
      <c r="B411" s="1124"/>
      <c r="C411" s="1128"/>
      <c r="D411" s="1126"/>
      <c r="E411" s="1126"/>
      <c r="F411" s="1132"/>
      <c r="G411" s="100"/>
      <c r="H411" s="98"/>
      <c r="I411" s="1126"/>
      <c r="J411" s="1135"/>
      <c r="K411" s="1135"/>
      <c r="L411" s="916"/>
    </row>
    <row r="412" spans="1:12" s="103" customFormat="1" ht="15.75" hidden="1" customHeight="1" outlineLevel="1">
      <c r="A412" s="916"/>
      <c r="B412" s="1123">
        <v>134</v>
      </c>
      <c r="C412" s="1127"/>
      <c r="D412" s="1125"/>
      <c r="E412" s="1125" t="s">
        <v>18</v>
      </c>
      <c r="F412" s="1130" t="str">
        <f>VLOOKUP(E412,$N$13:$O$17,2,0)</f>
        <v>-</v>
      </c>
      <c r="G412" s="92"/>
      <c r="H412" s="90"/>
      <c r="I412" s="1125"/>
      <c r="J412" s="1133"/>
      <c r="K412" s="1133"/>
      <c r="L412" s="916"/>
    </row>
    <row r="413" spans="1:12" s="103" customFormat="1" ht="15.75" hidden="1" customHeight="1" outlineLevel="1">
      <c r="A413" s="916"/>
      <c r="B413" s="1123"/>
      <c r="C413" s="1127"/>
      <c r="D413" s="1125"/>
      <c r="E413" s="1125"/>
      <c r="F413" s="1130"/>
      <c r="G413" s="95"/>
      <c r="H413" s="90"/>
      <c r="I413" s="1125"/>
      <c r="J413" s="1134"/>
      <c r="K413" s="1134"/>
      <c r="L413" s="916"/>
    </row>
    <row r="414" spans="1:12" s="103" customFormat="1" ht="15.75" hidden="1" customHeight="1" outlineLevel="1">
      <c r="A414" s="916"/>
      <c r="B414" s="1124"/>
      <c r="C414" s="1128"/>
      <c r="D414" s="1126"/>
      <c r="E414" s="1126"/>
      <c r="F414" s="1132"/>
      <c r="G414" s="100"/>
      <c r="H414" s="98"/>
      <c r="I414" s="1126"/>
      <c r="J414" s="1135"/>
      <c r="K414" s="1135"/>
      <c r="L414" s="916"/>
    </row>
    <row r="415" spans="1:12" s="103" customFormat="1" ht="15.75" hidden="1" customHeight="1" outlineLevel="1">
      <c r="A415" s="916"/>
      <c r="B415" s="1123">
        <v>135</v>
      </c>
      <c r="C415" s="1127"/>
      <c r="D415" s="1125"/>
      <c r="E415" s="1125" t="s">
        <v>18</v>
      </c>
      <c r="F415" s="1130" t="str">
        <f>VLOOKUP(E415,$N$13:$O$17,2,0)</f>
        <v>-</v>
      </c>
      <c r="G415" s="92"/>
      <c r="H415" s="90"/>
      <c r="I415" s="1125"/>
      <c r="J415" s="1133"/>
      <c r="K415" s="1133"/>
      <c r="L415" s="916"/>
    </row>
    <row r="416" spans="1:12" s="103" customFormat="1" ht="15.75" hidden="1" customHeight="1" outlineLevel="1">
      <c r="A416" s="916"/>
      <c r="B416" s="1123"/>
      <c r="C416" s="1127"/>
      <c r="D416" s="1125"/>
      <c r="E416" s="1125"/>
      <c r="F416" s="1130"/>
      <c r="G416" s="95"/>
      <c r="H416" s="90"/>
      <c r="I416" s="1125"/>
      <c r="J416" s="1134"/>
      <c r="K416" s="1134"/>
      <c r="L416" s="916"/>
    </row>
    <row r="417" spans="1:12" s="103" customFormat="1" ht="15.75" hidden="1" customHeight="1" outlineLevel="1">
      <c r="A417" s="916"/>
      <c r="B417" s="1124"/>
      <c r="C417" s="1128"/>
      <c r="D417" s="1126"/>
      <c r="E417" s="1126"/>
      <c r="F417" s="1132"/>
      <c r="G417" s="100"/>
      <c r="H417" s="98"/>
      <c r="I417" s="1126"/>
      <c r="J417" s="1135"/>
      <c r="K417" s="1135"/>
      <c r="L417" s="916"/>
    </row>
    <row r="418" spans="1:12" s="103" customFormat="1" ht="15.75" hidden="1" customHeight="1" outlineLevel="1">
      <c r="A418" s="916"/>
      <c r="B418" s="1123">
        <v>136</v>
      </c>
      <c r="C418" s="1127"/>
      <c r="D418" s="1125"/>
      <c r="E418" s="1125" t="s">
        <v>18</v>
      </c>
      <c r="F418" s="1130" t="str">
        <f>VLOOKUP(E418,$N$13:$O$17,2,0)</f>
        <v>-</v>
      </c>
      <c r="G418" s="92"/>
      <c r="H418" s="90"/>
      <c r="I418" s="1125"/>
      <c r="J418" s="1133"/>
      <c r="K418" s="1133"/>
      <c r="L418" s="916"/>
    </row>
    <row r="419" spans="1:12" s="103" customFormat="1" ht="15.75" hidden="1" customHeight="1" outlineLevel="1">
      <c r="A419" s="916"/>
      <c r="B419" s="1123"/>
      <c r="C419" s="1127"/>
      <c r="D419" s="1125"/>
      <c r="E419" s="1125"/>
      <c r="F419" s="1130"/>
      <c r="G419" s="95"/>
      <c r="H419" s="90"/>
      <c r="I419" s="1125"/>
      <c r="J419" s="1134"/>
      <c r="K419" s="1134"/>
      <c r="L419" s="916"/>
    </row>
    <row r="420" spans="1:12" s="103" customFormat="1" ht="15.75" hidden="1" customHeight="1" outlineLevel="1">
      <c r="A420" s="916"/>
      <c r="B420" s="1124"/>
      <c r="C420" s="1128"/>
      <c r="D420" s="1126"/>
      <c r="E420" s="1126"/>
      <c r="F420" s="1132"/>
      <c r="G420" s="100"/>
      <c r="H420" s="98"/>
      <c r="I420" s="1126"/>
      <c r="J420" s="1135"/>
      <c r="K420" s="1135"/>
      <c r="L420" s="916"/>
    </row>
    <row r="421" spans="1:12" s="103" customFormat="1" ht="15.75" hidden="1" customHeight="1" outlineLevel="1">
      <c r="A421" s="916"/>
      <c r="B421" s="1123">
        <v>137</v>
      </c>
      <c r="C421" s="1127"/>
      <c r="D421" s="1125"/>
      <c r="E421" s="1125" t="s">
        <v>18</v>
      </c>
      <c r="F421" s="1130" t="str">
        <f>VLOOKUP(E421,$N$13:$O$17,2,0)</f>
        <v>-</v>
      </c>
      <c r="G421" s="92"/>
      <c r="H421" s="90"/>
      <c r="I421" s="1125"/>
      <c r="J421" s="1133"/>
      <c r="K421" s="1133"/>
      <c r="L421" s="916"/>
    </row>
    <row r="422" spans="1:12" s="103" customFormat="1" ht="15.75" hidden="1" customHeight="1" outlineLevel="1">
      <c r="A422" s="916"/>
      <c r="B422" s="1123"/>
      <c r="C422" s="1127"/>
      <c r="D422" s="1125"/>
      <c r="E422" s="1125"/>
      <c r="F422" s="1130"/>
      <c r="G422" s="95"/>
      <c r="H422" s="90"/>
      <c r="I422" s="1125"/>
      <c r="J422" s="1134"/>
      <c r="K422" s="1134"/>
      <c r="L422" s="916"/>
    </row>
    <row r="423" spans="1:12" s="103" customFormat="1" ht="15.75" hidden="1" customHeight="1" outlineLevel="1">
      <c r="A423" s="916"/>
      <c r="B423" s="1124"/>
      <c r="C423" s="1128"/>
      <c r="D423" s="1126"/>
      <c r="E423" s="1126"/>
      <c r="F423" s="1132"/>
      <c r="G423" s="100"/>
      <c r="H423" s="98"/>
      <c r="I423" s="1126"/>
      <c r="J423" s="1135"/>
      <c r="K423" s="1135"/>
      <c r="L423" s="916"/>
    </row>
    <row r="424" spans="1:12" s="103" customFormat="1" ht="15.75" hidden="1" customHeight="1" outlineLevel="1">
      <c r="A424" s="916"/>
      <c r="B424" s="1123">
        <v>138</v>
      </c>
      <c r="C424" s="1127"/>
      <c r="D424" s="1125"/>
      <c r="E424" s="1125" t="s">
        <v>18</v>
      </c>
      <c r="F424" s="1130" t="str">
        <f>VLOOKUP(E424,$N$13:$O$17,2,0)</f>
        <v>-</v>
      </c>
      <c r="G424" s="92"/>
      <c r="H424" s="90"/>
      <c r="I424" s="1125"/>
      <c r="J424" s="1133"/>
      <c r="K424" s="1133"/>
      <c r="L424" s="916"/>
    </row>
    <row r="425" spans="1:12" s="103" customFormat="1" ht="15.75" hidden="1" customHeight="1" outlineLevel="1">
      <c r="A425" s="916"/>
      <c r="B425" s="1123"/>
      <c r="C425" s="1127"/>
      <c r="D425" s="1125"/>
      <c r="E425" s="1125"/>
      <c r="F425" s="1130"/>
      <c r="G425" s="95"/>
      <c r="H425" s="90"/>
      <c r="I425" s="1125"/>
      <c r="J425" s="1134"/>
      <c r="K425" s="1134"/>
      <c r="L425" s="916"/>
    </row>
    <row r="426" spans="1:12" s="103" customFormat="1" ht="15.75" hidden="1" customHeight="1" outlineLevel="1">
      <c r="A426" s="916"/>
      <c r="B426" s="1124"/>
      <c r="C426" s="1128"/>
      <c r="D426" s="1126"/>
      <c r="E426" s="1126"/>
      <c r="F426" s="1132"/>
      <c r="G426" s="100"/>
      <c r="H426" s="98"/>
      <c r="I426" s="1126"/>
      <c r="J426" s="1135"/>
      <c r="K426" s="1135"/>
      <c r="L426" s="916"/>
    </row>
    <row r="427" spans="1:12" s="103" customFormat="1" ht="15.75" hidden="1" customHeight="1" outlineLevel="1">
      <c r="A427" s="916"/>
      <c r="B427" s="1123">
        <v>139</v>
      </c>
      <c r="C427" s="1127"/>
      <c r="D427" s="1125"/>
      <c r="E427" s="1125" t="s">
        <v>18</v>
      </c>
      <c r="F427" s="1130" t="str">
        <f>VLOOKUP(E427,$N$13:$O$17,2,0)</f>
        <v>-</v>
      </c>
      <c r="G427" s="92"/>
      <c r="H427" s="90"/>
      <c r="I427" s="1125"/>
      <c r="J427" s="1133"/>
      <c r="K427" s="1133"/>
      <c r="L427" s="916"/>
    </row>
    <row r="428" spans="1:12" s="103" customFormat="1" ht="15.75" hidden="1" customHeight="1" outlineLevel="1">
      <c r="A428" s="916"/>
      <c r="B428" s="1123"/>
      <c r="C428" s="1127"/>
      <c r="D428" s="1125"/>
      <c r="E428" s="1125"/>
      <c r="F428" s="1130"/>
      <c r="G428" s="95"/>
      <c r="H428" s="90"/>
      <c r="I428" s="1125"/>
      <c r="J428" s="1134"/>
      <c r="K428" s="1134"/>
      <c r="L428" s="916"/>
    </row>
    <row r="429" spans="1:12" s="103" customFormat="1" ht="15.75" hidden="1" customHeight="1" outlineLevel="1">
      <c r="A429" s="916"/>
      <c r="B429" s="1124"/>
      <c r="C429" s="1128"/>
      <c r="D429" s="1126"/>
      <c r="E429" s="1126"/>
      <c r="F429" s="1132"/>
      <c r="G429" s="100"/>
      <c r="H429" s="98"/>
      <c r="I429" s="1126"/>
      <c r="J429" s="1135"/>
      <c r="K429" s="1135"/>
      <c r="L429" s="916"/>
    </row>
    <row r="430" spans="1:12" s="103" customFormat="1" ht="15.75" hidden="1" customHeight="1" outlineLevel="1">
      <c r="A430" s="916"/>
      <c r="B430" s="1123">
        <v>140</v>
      </c>
      <c r="C430" s="1127"/>
      <c r="D430" s="1125"/>
      <c r="E430" s="1125" t="s">
        <v>18</v>
      </c>
      <c r="F430" s="1130" t="str">
        <f>VLOOKUP(E430,$N$13:$O$17,2,0)</f>
        <v>-</v>
      </c>
      <c r="G430" s="92"/>
      <c r="H430" s="90"/>
      <c r="I430" s="1125"/>
      <c r="J430" s="1133"/>
      <c r="K430" s="1133"/>
      <c r="L430" s="916"/>
    </row>
    <row r="431" spans="1:12" s="103" customFormat="1" ht="15.75" hidden="1" customHeight="1" outlineLevel="1">
      <c r="A431" s="916"/>
      <c r="B431" s="1123"/>
      <c r="C431" s="1127"/>
      <c r="D431" s="1125"/>
      <c r="E431" s="1125"/>
      <c r="F431" s="1130"/>
      <c r="G431" s="95"/>
      <c r="H431" s="90"/>
      <c r="I431" s="1125"/>
      <c r="J431" s="1134"/>
      <c r="K431" s="1134"/>
      <c r="L431" s="916"/>
    </row>
    <row r="432" spans="1:12" s="103" customFormat="1" ht="15.75" hidden="1" customHeight="1" outlineLevel="1">
      <c r="A432" s="916"/>
      <c r="B432" s="1124"/>
      <c r="C432" s="1128"/>
      <c r="D432" s="1126"/>
      <c r="E432" s="1126"/>
      <c r="F432" s="1132"/>
      <c r="G432" s="100"/>
      <c r="H432" s="98"/>
      <c r="I432" s="1126"/>
      <c r="J432" s="1135"/>
      <c r="K432" s="1135"/>
      <c r="L432" s="916"/>
    </row>
    <row r="433" spans="1:12" s="103" customFormat="1" ht="15.75" hidden="1" customHeight="1" outlineLevel="1">
      <c r="A433" s="916"/>
      <c r="B433" s="1123">
        <v>141</v>
      </c>
      <c r="C433" s="1127"/>
      <c r="D433" s="1125"/>
      <c r="E433" s="1125" t="s">
        <v>18</v>
      </c>
      <c r="F433" s="1130" t="str">
        <f>VLOOKUP(E433,$N$13:$O$17,2,0)</f>
        <v>-</v>
      </c>
      <c r="G433" s="92"/>
      <c r="H433" s="90"/>
      <c r="I433" s="1125"/>
      <c r="J433" s="1133"/>
      <c r="K433" s="1133"/>
      <c r="L433" s="916"/>
    </row>
    <row r="434" spans="1:12" s="103" customFormat="1" ht="15.75" hidden="1" customHeight="1" outlineLevel="1">
      <c r="A434" s="916"/>
      <c r="B434" s="1123"/>
      <c r="C434" s="1127"/>
      <c r="D434" s="1125"/>
      <c r="E434" s="1125"/>
      <c r="F434" s="1130"/>
      <c r="G434" s="95"/>
      <c r="H434" s="90"/>
      <c r="I434" s="1125"/>
      <c r="J434" s="1134"/>
      <c r="K434" s="1134"/>
      <c r="L434" s="916"/>
    </row>
    <row r="435" spans="1:12" s="103" customFormat="1" ht="15.75" hidden="1" customHeight="1" outlineLevel="1">
      <c r="A435" s="916"/>
      <c r="B435" s="1124"/>
      <c r="C435" s="1128"/>
      <c r="D435" s="1126"/>
      <c r="E435" s="1126"/>
      <c r="F435" s="1132"/>
      <c r="G435" s="100"/>
      <c r="H435" s="98"/>
      <c r="I435" s="1126"/>
      <c r="J435" s="1135"/>
      <c r="K435" s="1135"/>
      <c r="L435" s="916"/>
    </row>
    <row r="436" spans="1:12" s="103" customFormat="1" ht="15.75" hidden="1" customHeight="1" outlineLevel="1">
      <c r="A436" s="916"/>
      <c r="B436" s="1123">
        <v>142</v>
      </c>
      <c r="C436" s="1127"/>
      <c r="D436" s="1125"/>
      <c r="E436" s="1125" t="s">
        <v>18</v>
      </c>
      <c r="F436" s="1130" t="str">
        <f>VLOOKUP(E436,$N$13:$O$17,2,0)</f>
        <v>-</v>
      </c>
      <c r="G436" s="92"/>
      <c r="H436" s="90"/>
      <c r="I436" s="1125"/>
      <c r="J436" s="1133"/>
      <c r="K436" s="1133"/>
      <c r="L436" s="916"/>
    </row>
    <row r="437" spans="1:12" s="103" customFormat="1" ht="15.75" hidden="1" customHeight="1" outlineLevel="1">
      <c r="A437" s="916"/>
      <c r="B437" s="1123"/>
      <c r="C437" s="1127"/>
      <c r="D437" s="1125"/>
      <c r="E437" s="1125"/>
      <c r="F437" s="1130"/>
      <c r="G437" s="95"/>
      <c r="H437" s="90"/>
      <c r="I437" s="1125"/>
      <c r="J437" s="1134"/>
      <c r="K437" s="1134"/>
      <c r="L437" s="916"/>
    </row>
    <row r="438" spans="1:12" s="103" customFormat="1" ht="15.75" hidden="1" customHeight="1" outlineLevel="1">
      <c r="A438" s="916"/>
      <c r="B438" s="1124"/>
      <c r="C438" s="1128"/>
      <c r="D438" s="1126"/>
      <c r="E438" s="1126"/>
      <c r="F438" s="1132"/>
      <c r="G438" s="100"/>
      <c r="H438" s="98"/>
      <c r="I438" s="1126"/>
      <c r="J438" s="1135"/>
      <c r="K438" s="1135"/>
      <c r="L438" s="916"/>
    </row>
    <row r="439" spans="1:12" s="103" customFormat="1" ht="15.75" hidden="1" customHeight="1" outlineLevel="1">
      <c r="A439" s="916"/>
      <c r="B439" s="1123">
        <v>143</v>
      </c>
      <c r="C439" s="1127"/>
      <c r="D439" s="1125"/>
      <c r="E439" s="1125" t="s">
        <v>18</v>
      </c>
      <c r="F439" s="1130" t="str">
        <f>VLOOKUP(E439,$N$13:$O$17,2,0)</f>
        <v>-</v>
      </c>
      <c r="G439" s="92"/>
      <c r="H439" s="90"/>
      <c r="I439" s="1125"/>
      <c r="J439" s="1133"/>
      <c r="K439" s="1133"/>
      <c r="L439" s="916"/>
    </row>
    <row r="440" spans="1:12" s="103" customFormat="1" ht="15.75" hidden="1" customHeight="1" outlineLevel="1">
      <c r="A440" s="916"/>
      <c r="B440" s="1123"/>
      <c r="C440" s="1127"/>
      <c r="D440" s="1125"/>
      <c r="E440" s="1125"/>
      <c r="F440" s="1130"/>
      <c r="G440" s="95"/>
      <c r="H440" s="90"/>
      <c r="I440" s="1125"/>
      <c r="J440" s="1134"/>
      <c r="K440" s="1134"/>
      <c r="L440" s="916"/>
    </row>
    <row r="441" spans="1:12" s="103" customFormat="1" ht="15.75" hidden="1" customHeight="1" outlineLevel="1">
      <c r="A441" s="916"/>
      <c r="B441" s="1124"/>
      <c r="C441" s="1128"/>
      <c r="D441" s="1126"/>
      <c r="E441" s="1126"/>
      <c r="F441" s="1132"/>
      <c r="G441" s="100"/>
      <c r="H441" s="98"/>
      <c r="I441" s="1126"/>
      <c r="J441" s="1135"/>
      <c r="K441" s="1135"/>
      <c r="L441" s="916"/>
    </row>
    <row r="442" spans="1:12" s="103" customFormat="1" ht="15.75" hidden="1" customHeight="1" outlineLevel="1">
      <c r="A442" s="916"/>
      <c r="B442" s="1123">
        <v>144</v>
      </c>
      <c r="C442" s="1127"/>
      <c r="D442" s="1125"/>
      <c r="E442" s="1125" t="s">
        <v>18</v>
      </c>
      <c r="F442" s="1130" t="str">
        <f>VLOOKUP(E442,$N$13:$O$17,2,0)</f>
        <v>-</v>
      </c>
      <c r="G442" s="92"/>
      <c r="H442" s="90"/>
      <c r="I442" s="1125"/>
      <c r="J442" s="1133"/>
      <c r="K442" s="1133"/>
      <c r="L442" s="916"/>
    </row>
    <row r="443" spans="1:12" s="103" customFormat="1" ht="15.75" hidden="1" customHeight="1" outlineLevel="1">
      <c r="A443" s="916"/>
      <c r="B443" s="1123"/>
      <c r="C443" s="1127"/>
      <c r="D443" s="1125"/>
      <c r="E443" s="1125"/>
      <c r="F443" s="1130"/>
      <c r="G443" s="95"/>
      <c r="H443" s="90"/>
      <c r="I443" s="1125"/>
      <c r="J443" s="1134"/>
      <c r="K443" s="1134"/>
      <c r="L443" s="916"/>
    </row>
    <row r="444" spans="1:12" s="103" customFormat="1" ht="15.75" hidden="1" customHeight="1" outlineLevel="1">
      <c r="A444" s="916"/>
      <c r="B444" s="1124"/>
      <c r="C444" s="1128"/>
      <c r="D444" s="1126"/>
      <c r="E444" s="1126"/>
      <c r="F444" s="1132"/>
      <c r="G444" s="100"/>
      <c r="H444" s="98"/>
      <c r="I444" s="1126"/>
      <c r="J444" s="1135"/>
      <c r="K444" s="1135"/>
      <c r="L444" s="916"/>
    </row>
    <row r="445" spans="1:12" s="103" customFormat="1" ht="15.75" hidden="1" customHeight="1" outlineLevel="1">
      <c r="A445" s="916"/>
      <c r="B445" s="1123">
        <v>145</v>
      </c>
      <c r="C445" s="1127"/>
      <c r="D445" s="1125"/>
      <c r="E445" s="1125" t="s">
        <v>18</v>
      </c>
      <c r="F445" s="1130" t="str">
        <f>VLOOKUP(E445,$N$13:$O$17,2,0)</f>
        <v>-</v>
      </c>
      <c r="G445" s="92"/>
      <c r="H445" s="90"/>
      <c r="I445" s="1125"/>
      <c r="J445" s="1133"/>
      <c r="K445" s="1133"/>
      <c r="L445" s="916"/>
    </row>
    <row r="446" spans="1:12" s="103" customFormat="1" ht="15.75" hidden="1" customHeight="1" outlineLevel="1">
      <c r="A446" s="916"/>
      <c r="B446" s="1123"/>
      <c r="C446" s="1127"/>
      <c r="D446" s="1125"/>
      <c r="E446" s="1125"/>
      <c r="F446" s="1130"/>
      <c r="G446" s="95"/>
      <c r="H446" s="90"/>
      <c r="I446" s="1125"/>
      <c r="J446" s="1134"/>
      <c r="K446" s="1134"/>
      <c r="L446" s="916"/>
    </row>
    <row r="447" spans="1:12" s="103" customFormat="1" ht="15.75" hidden="1" customHeight="1" outlineLevel="1">
      <c r="A447" s="916"/>
      <c r="B447" s="1124"/>
      <c r="C447" s="1128"/>
      <c r="D447" s="1126"/>
      <c r="E447" s="1126"/>
      <c r="F447" s="1132"/>
      <c r="G447" s="100"/>
      <c r="H447" s="98"/>
      <c r="I447" s="1126"/>
      <c r="J447" s="1135"/>
      <c r="K447" s="1135"/>
      <c r="L447" s="916"/>
    </row>
    <row r="448" spans="1:12" s="103" customFormat="1" ht="15.75" hidden="1" customHeight="1" outlineLevel="1">
      <c r="A448" s="916"/>
      <c r="B448" s="1123">
        <v>146</v>
      </c>
      <c r="C448" s="1127"/>
      <c r="D448" s="1125"/>
      <c r="E448" s="1125" t="s">
        <v>18</v>
      </c>
      <c r="F448" s="1130" t="str">
        <f>VLOOKUP(E448,$N$13:$O$17,2,0)</f>
        <v>-</v>
      </c>
      <c r="G448" s="92"/>
      <c r="H448" s="90"/>
      <c r="I448" s="1125"/>
      <c r="J448" s="1133"/>
      <c r="K448" s="1133"/>
      <c r="L448" s="916"/>
    </row>
    <row r="449" spans="1:12" s="103" customFormat="1" ht="15.75" hidden="1" customHeight="1" outlineLevel="1">
      <c r="A449" s="916"/>
      <c r="B449" s="1123"/>
      <c r="C449" s="1127"/>
      <c r="D449" s="1125"/>
      <c r="E449" s="1125"/>
      <c r="F449" s="1130"/>
      <c r="G449" s="95"/>
      <c r="H449" s="90"/>
      <c r="I449" s="1125"/>
      <c r="J449" s="1134"/>
      <c r="K449" s="1134"/>
      <c r="L449" s="916"/>
    </row>
    <row r="450" spans="1:12" s="103" customFormat="1" ht="15.75" hidden="1" customHeight="1" outlineLevel="1">
      <c r="A450" s="916"/>
      <c r="B450" s="1124"/>
      <c r="C450" s="1128"/>
      <c r="D450" s="1126"/>
      <c r="E450" s="1126"/>
      <c r="F450" s="1132"/>
      <c r="G450" s="100"/>
      <c r="H450" s="98"/>
      <c r="I450" s="1126"/>
      <c r="J450" s="1135"/>
      <c r="K450" s="1135"/>
      <c r="L450" s="916"/>
    </row>
    <row r="451" spans="1:12" s="103" customFormat="1" ht="15.75" hidden="1" customHeight="1" outlineLevel="1">
      <c r="A451" s="916"/>
      <c r="B451" s="1123">
        <v>147</v>
      </c>
      <c r="C451" s="1127"/>
      <c r="D451" s="1125"/>
      <c r="E451" s="1125" t="s">
        <v>18</v>
      </c>
      <c r="F451" s="1130" t="str">
        <f>VLOOKUP(E451,$N$13:$O$17,2,0)</f>
        <v>-</v>
      </c>
      <c r="G451" s="92"/>
      <c r="H451" s="90"/>
      <c r="I451" s="1125"/>
      <c r="J451" s="1133"/>
      <c r="K451" s="1133"/>
      <c r="L451" s="916"/>
    </row>
    <row r="452" spans="1:12" s="103" customFormat="1" ht="15.75" hidden="1" customHeight="1" outlineLevel="1">
      <c r="A452" s="916"/>
      <c r="B452" s="1123"/>
      <c r="C452" s="1127"/>
      <c r="D452" s="1125"/>
      <c r="E452" s="1125"/>
      <c r="F452" s="1130"/>
      <c r="G452" s="95"/>
      <c r="H452" s="90"/>
      <c r="I452" s="1125"/>
      <c r="J452" s="1134"/>
      <c r="K452" s="1134"/>
      <c r="L452" s="916"/>
    </row>
    <row r="453" spans="1:12" s="103" customFormat="1" ht="15.75" hidden="1" customHeight="1" outlineLevel="1">
      <c r="A453" s="916"/>
      <c r="B453" s="1124"/>
      <c r="C453" s="1128"/>
      <c r="D453" s="1126"/>
      <c r="E453" s="1126"/>
      <c r="F453" s="1132"/>
      <c r="G453" s="100"/>
      <c r="H453" s="98"/>
      <c r="I453" s="1126"/>
      <c r="J453" s="1135"/>
      <c r="K453" s="1135"/>
      <c r="L453" s="916"/>
    </row>
    <row r="454" spans="1:12" s="103" customFormat="1" ht="15.75" hidden="1" customHeight="1" outlineLevel="1">
      <c r="A454" s="916"/>
      <c r="B454" s="1123">
        <v>148</v>
      </c>
      <c r="C454" s="1127"/>
      <c r="D454" s="1125"/>
      <c r="E454" s="1125" t="s">
        <v>18</v>
      </c>
      <c r="F454" s="1130" t="str">
        <f>VLOOKUP(E454,$N$13:$O$17,2,0)</f>
        <v>-</v>
      </c>
      <c r="G454" s="92"/>
      <c r="H454" s="90"/>
      <c r="I454" s="1125"/>
      <c r="J454" s="1133"/>
      <c r="K454" s="1133"/>
      <c r="L454" s="916"/>
    </row>
    <row r="455" spans="1:12" s="103" customFormat="1" ht="15.75" hidden="1" customHeight="1" outlineLevel="1">
      <c r="A455" s="916"/>
      <c r="B455" s="1123"/>
      <c r="C455" s="1127"/>
      <c r="D455" s="1125"/>
      <c r="E455" s="1125"/>
      <c r="F455" s="1130"/>
      <c r="G455" s="95"/>
      <c r="H455" s="90"/>
      <c r="I455" s="1125"/>
      <c r="J455" s="1134"/>
      <c r="K455" s="1134"/>
      <c r="L455" s="916"/>
    </row>
    <row r="456" spans="1:12" s="103" customFormat="1" ht="15.75" hidden="1" customHeight="1" outlineLevel="1">
      <c r="A456" s="916"/>
      <c r="B456" s="1124"/>
      <c r="C456" s="1128"/>
      <c r="D456" s="1126"/>
      <c r="E456" s="1126"/>
      <c r="F456" s="1132"/>
      <c r="G456" s="100"/>
      <c r="H456" s="98"/>
      <c r="I456" s="1126"/>
      <c r="J456" s="1135"/>
      <c r="K456" s="1135"/>
      <c r="L456" s="916"/>
    </row>
    <row r="457" spans="1:12" s="103" customFormat="1" ht="15.75" hidden="1" customHeight="1" outlineLevel="1">
      <c r="A457" s="916"/>
      <c r="B457" s="1123">
        <v>149</v>
      </c>
      <c r="C457" s="1127"/>
      <c r="D457" s="1125"/>
      <c r="E457" s="1125" t="s">
        <v>18</v>
      </c>
      <c r="F457" s="1130" t="str">
        <f>VLOOKUP(E457,$N$13:$O$17,2,0)</f>
        <v>-</v>
      </c>
      <c r="G457" s="92"/>
      <c r="H457" s="90"/>
      <c r="I457" s="1125"/>
      <c r="J457" s="1133"/>
      <c r="K457" s="1133"/>
      <c r="L457" s="916"/>
    </row>
    <row r="458" spans="1:12" s="103" customFormat="1" ht="15.75" hidden="1" customHeight="1" outlineLevel="1">
      <c r="A458" s="916"/>
      <c r="B458" s="1123"/>
      <c r="C458" s="1127"/>
      <c r="D458" s="1125"/>
      <c r="E458" s="1125"/>
      <c r="F458" s="1130"/>
      <c r="G458" s="95"/>
      <c r="H458" s="90"/>
      <c r="I458" s="1125"/>
      <c r="J458" s="1134"/>
      <c r="K458" s="1134"/>
      <c r="L458" s="916"/>
    </row>
    <row r="459" spans="1:12" s="103" customFormat="1" ht="15.75" hidden="1" customHeight="1" outlineLevel="1">
      <c r="A459" s="916"/>
      <c r="B459" s="1124"/>
      <c r="C459" s="1128"/>
      <c r="D459" s="1126"/>
      <c r="E459" s="1126"/>
      <c r="F459" s="1132"/>
      <c r="G459" s="100"/>
      <c r="H459" s="98"/>
      <c r="I459" s="1126"/>
      <c r="J459" s="1135"/>
      <c r="K459" s="1135"/>
      <c r="L459" s="916"/>
    </row>
    <row r="460" spans="1:12" s="103" customFormat="1" ht="15.75" hidden="1" customHeight="1" outlineLevel="1">
      <c r="A460" s="916"/>
      <c r="B460" s="1123">
        <v>150</v>
      </c>
      <c r="C460" s="1127"/>
      <c r="D460" s="1125"/>
      <c r="E460" s="1125" t="s">
        <v>18</v>
      </c>
      <c r="F460" s="1130" t="str">
        <f>VLOOKUP(E460,$N$13:$O$17,2,0)</f>
        <v>-</v>
      </c>
      <c r="G460" s="92"/>
      <c r="H460" s="90"/>
      <c r="I460" s="1125"/>
      <c r="J460" s="1133"/>
      <c r="K460" s="1133"/>
      <c r="L460" s="916"/>
    </row>
    <row r="461" spans="1:12" s="103" customFormat="1" ht="15.75" hidden="1" customHeight="1" outlineLevel="1">
      <c r="A461" s="916"/>
      <c r="B461" s="1123"/>
      <c r="C461" s="1127"/>
      <c r="D461" s="1125"/>
      <c r="E461" s="1125"/>
      <c r="F461" s="1130"/>
      <c r="G461" s="95"/>
      <c r="H461" s="90"/>
      <c r="I461" s="1125"/>
      <c r="J461" s="1134"/>
      <c r="K461" s="1134"/>
      <c r="L461" s="916"/>
    </row>
    <row r="462" spans="1:12" s="103" customFormat="1" ht="15.75" hidden="1" customHeight="1" outlineLevel="1">
      <c r="A462" s="916"/>
      <c r="B462" s="1124"/>
      <c r="C462" s="1128"/>
      <c r="D462" s="1126"/>
      <c r="E462" s="1126"/>
      <c r="F462" s="1132"/>
      <c r="G462" s="100"/>
      <c r="H462" s="98"/>
      <c r="I462" s="1126"/>
      <c r="J462" s="1135"/>
      <c r="K462" s="1135"/>
      <c r="L462" s="916"/>
    </row>
    <row r="463" spans="1:12" s="103" customFormat="1" ht="15.75" hidden="1" customHeight="1" outlineLevel="1">
      <c r="A463" s="916"/>
      <c r="B463" s="1123">
        <v>151</v>
      </c>
      <c r="C463" s="1127"/>
      <c r="D463" s="1125"/>
      <c r="E463" s="1125" t="s">
        <v>18</v>
      </c>
      <c r="F463" s="1130" t="str">
        <f>VLOOKUP(E463,$N$13:$O$17,2,0)</f>
        <v>-</v>
      </c>
      <c r="G463" s="92"/>
      <c r="H463" s="90"/>
      <c r="I463" s="1125"/>
      <c r="J463" s="1133"/>
      <c r="K463" s="1133"/>
      <c r="L463" s="916"/>
    </row>
    <row r="464" spans="1:12" s="103" customFormat="1" ht="15.75" hidden="1" customHeight="1" outlineLevel="1">
      <c r="A464" s="916"/>
      <c r="B464" s="1123"/>
      <c r="C464" s="1127"/>
      <c r="D464" s="1125"/>
      <c r="E464" s="1125"/>
      <c r="F464" s="1130"/>
      <c r="G464" s="95"/>
      <c r="H464" s="90"/>
      <c r="I464" s="1125"/>
      <c r="J464" s="1134"/>
      <c r="K464" s="1134"/>
      <c r="L464" s="916"/>
    </row>
    <row r="465" spans="1:12" s="103" customFormat="1" ht="15.75" hidden="1" customHeight="1" outlineLevel="1">
      <c r="A465" s="916"/>
      <c r="B465" s="1124"/>
      <c r="C465" s="1128"/>
      <c r="D465" s="1126"/>
      <c r="E465" s="1126"/>
      <c r="F465" s="1132"/>
      <c r="G465" s="100"/>
      <c r="H465" s="98"/>
      <c r="I465" s="1126"/>
      <c r="J465" s="1135"/>
      <c r="K465" s="1135"/>
      <c r="L465" s="916"/>
    </row>
    <row r="466" spans="1:12" s="103" customFormat="1" ht="15.75" hidden="1" customHeight="1" outlineLevel="1">
      <c r="A466" s="916"/>
      <c r="B466" s="1123">
        <v>152</v>
      </c>
      <c r="C466" s="1127"/>
      <c r="D466" s="1125"/>
      <c r="E466" s="1125" t="s">
        <v>18</v>
      </c>
      <c r="F466" s="1130" t="str">
        <f>VLOOKUP(E466,$N$13:$O$17,2,0)</f>
        <v>-</v>
      </c>
      <c r="G466" s="92"/>
      <c r="H466" s="90"/>
      <c r="I466" s="1125"/>
      <c r="J466" s="1133"/>
      <c r="K466" s="1133"/>
      <c r="L466" s="916"/>
    </row>
    <row r="467" spans="1:12" s="103" customFormat="1" ht="15.75" hidden="1" customHeight="1" outlineLevel="1">
      <c r="A467" s="916"/>
      <c r="B467" s="1123"/>
      <c r="C467" s="1127"/>
      <c r="D467" s="1125"/>
      <c r="E467" s="1125"/>
      <c r="F467" s="1130"/>
      <c r="G467" s="95"/>
      <c r="H467" s="90"/>
      <c r="I467" s="1125"/>
      <c r="J467" s="1134"/>
      <c r="K467" s="1134"/>
      <c r="L467" s="916"/>
    </row>
    <row r="468" spans="1:12" s="103" customFormat="1" ht="15.75" hidden="1" customHeight="1" outlineLevel="1">
      <c r="A468" s="916"/>
      <c r="B468" s="1124"/>
      <c r="C468" s="1128"/>
      <c r="D468" s="1126"/>
      <c r="E468" s="1126"/>
      <c r="F468" s="1132"/>
      <c r="G468" s="100"/>
      <c r="H468" s="98"/>
      <c r="I468" s="1126"/>
      <c r="J468" s="1135"/>
      <c r="K468" s="1135"/>
      <c r="L468" s="916"/>
    </row>
    <row r="469" spans="1:12" s="103" customFormat="1" ht="15.75" hidden="1" customHeight="1" outlineLevel="1">
      <c r="A469" s="916"/>
      <c r="B469" s="1123">
        <v>153</v>
      </c>
      <c r="C469" s="1127"/>
      <c r="D469" s="1125"/>
      <c r="E469" s="1125" t="s">
        <v>18</v>
      </c>
      <c r="F469" s="1130" t="str">
        <f>VLOOKUP(E469,$N$13:$O$17,2,0)</f>
        <v>-</v>
      </c>
      <c r="G469" s="92"/>
      <c r="H469" s="90"/>
      <c r="I469" s="1125"/>
      <c r="J469" s="1133"/>
      <c r="K469" s="1133"/>
      <c r="L469" s="916"/>
    </row>
    <row r="470" spans="1:12" s="103" customFormat="1" ht="15.75" hidden="1" customHeight="1" outlineLevel="1">
      <c r="A470" s="916"/>
      <c r="B470" s="1123"/>
      <c r="C470" s="1127"/>
      <c r="D470" s="1125"/>
      <c r="E470" s="1125"/>
      <c r="F470" s="1130"/>
      <c r="G470" s="95"/>
      <c r="H470" s="90"/>
      <c r="I470" s="1125"/>
      <c r="J470" s="1134"/>
      <c r="K470" s="1134"/>
      <c r="L470" s="916"/>
    </row>
    <row r="471" spans="1:12" s="103" customFormat="1" ht="15.75" hidden="1" customHeight="1" outlineLevel="1">
      <c r="A471" s="916"/>
      <c r="B471" s="1124"/>
      <c r="C471" s="1128"/>
      <c r="D471" s="1126"/>
      <c r="E471" s="1126"/>
      <c r="F471" s="1132"/>
      <c r="G471" s="100"/>
      <c r="H471" s="98"/>
      <c r="I471" s="1126"/>
      <c r="J471" s="1135"/>
      <c r="K471" s="1135"/>
      <c r="L471" s="916"/>
    </row>
    <row r="472" spans="1:12" s="103" customFormat="1" ht="15.75" hidden="1" customHeight="1" outlineLevel="1">
      <c r="A472" s="916"/>
      <c r="B472" s="1123">
        <v>154</v>
      </c>
      <c r="C472" s="1127"/>
      <c r="D472" s="1125"/>
      <c r="E472" s="1125" t="s">
        <v>18</v>
      </c>
      <c r="F472" s="1130" t="str">
        <f>VLOOKUP(E472,$N$13:$O$17,2,0)</f>
        <v>-</v>
      </c>
      <c r="G472" s="92"/>
      <c r="H472" s="90"/>
      <c r="I472" s="1125"/>
      <c r="J472" s="1133"/>
      <c r="K472" s="1133"/>
      <c r="L472" s="916"/>
    </row>
    <row r="473" spans="1:12" s="103" customFormat="1" ht="15.75" hidden="1" customHeight="1" outlineLevel="1">
      <c r="A473" s="916"/>
      <c r="B473" s="1123"/>
      <c r="C473" s="1127"/>
      <c r="D473" s="1125"/>
      <c r="E473" s="1125"/>
      <c r="F473" s="1130"/>
      <c r="G473" s="95"/>
      <c r="H473" s="90"/>
      <c r="I473" s="1125"/>
      <c r="J473" s="1134"/>
      <c r="K473" s="1134"/>
      <c r="L473" s="916"/>
    </row>
    <row r="474" spans="1:12" s="103" customFormat="1" ht="15.75" hidden="1" customHeight="1" outlineLevel="1">
      <c r="A474" s="916"/>
      <c r="B474" s="1124"/>
      <c r="C474" s="1128"/>
      <c r="D474" s="1126"/>
      <c r="E474" s="1126"/>
      <c r="F474" s="1132"/>
      <c r="G474" s="100"/>
      <c r="H474" s="98"/>
      <c r="I474" s="1126"/>
      <c r="J474" s="1135"/>
      <c r="K474" s="1135"/>
      <c r="L474" s="916"/>
    </row>
    <row r="475" spans="1:12" s="103" customFormat="1" ht="15.75" hidden="1" customHeight="1" outlineLevel="1">
      <c r="A475" s="916"/>
      <c r="B475" s="1123">
        <v>155</v>
      </c>
      <c r="C475" s="1127"/>
      <c r="D475" s="1125"/>
      <c r="E475" s="1125" t="s">
        <v>18</v>
      </c>
      <c r="F475" s="1130" t="str">
        <f>VLOOKUP(E475,$N$13:$O$17,2,0)</f>
        <v>-</v>
      </c>
      <c r="G475" s="92"/>
      <c r="H475" s="90"/>
      <c r="I475" s="1125"/>
      <c r="J475" s="1133"/>
      <c r="K475" s="1133"/>
      <c r="L475" s="916"/>
    </row>
    <row r="476" spans="1:12" s="103" customFormat="1" ht="15.75" hidden="1" customHeight="1" outlineLevel="1">
      <c r="A476" s="916"/>
      <c r="B476" s="1123"/>
      <c r="C476" s="1127"/>
      <c r="D476" s="1125"/>
      <c r="E476" s="1125"/>
      <c r="F476" s="1130"/>
      <c r="G476" s="95"/>
      <c r="H476" s="90"/>
      <c r="I476" s="1125"/>
      <c r="J476" s="1134"/>
      <c r="K476" s="1134"/>
      <c r="L476" s="916"/>
    </row>
    <row r="477" spans="1:12" s="103" customFormat="1" ht="15.75" hidden="1" customHeight="1" outlineLevel="1">
      <c r="A477" s="916"/>
      <c r="B477" s="1124"/>
      <c r="C477" s="1128"/>
      <c r="D477" s="1126"/>
      <c r="E477" s="1126"/>
      <c r="F477" s="1132"/>
      <c r="G477" s="100"/>
      <c r="H477" s="98"/>
      <c r="I477" s="1126"/>
      <c r="J477" s="1135"/>
      <c r="K477" s="1135"/>
      <c r="L477" s="916"/>
    </row>
    <row r="478" spans="1:12" s="103" customFormat="1" ht="15.75" hidden="1" customHeight="1" outlineLevel="1">
      <c r="A478" s="916"/>
      <c r="B478" s="1123">
        <v>156</v>
      </c>
      <c r="C478" s="1127"/>
      <c r="D478" s="1125"/>
      <c r="E478" s="1125" t="s">
        <v>18</v>
      </c>
      <c r="F478" s="1130" t="str">
        <f>VLOOKUP(E478,$N$13:$O$17,2,0)</f>
        <v>-</v>
      </c>
      <c r="G478" s="92"/>
      <c r="H478" s="90"/>
      <c r="I478" s="1125"/>
      <c r="J478" s="1133"/>
      <c r="K478" s="1133"/>
      <c r="L478" s="916"/>
    </row>
    <row r="479" spans="1:12" s="103" customFormat="1" ht="15.75" hidden="1" customHeight="1" outlineLevel="1">
      <c r="A479" s="916"/>
      <c r="B479" s="1123"/>
      <c r="C479" s="1127"/>
      <c r="D479" s="1125"/>
      <c r="E479" s="1125"/>
      <c r="F479" s="1130"/>
      <c r="G479" s="95"/>
      <c r="H479" s="90"/>
      <c r="I479" s="1125"/>
      <c r="J479" s="1134"/>
      <c r="K479" s="1134"/>
      <c r="L479" s="916"/>
    </row>
    <row r="480" spans="1:12" s="103" customFormat="1" ht="15.75" hidden="1" customHeight="1" outlineLevel="1">
      <c r="A480" s="916"/>
      <c r="B480" s="1124"/>
      <c r="C480" s="1128"/>
      <c r="D480" s="1126"/>
      <c r="E480" s="1126"/>
      <c r="F480" s="1132"/>
      <c r="G480" s="100"/>
      <c r="H480" s="98"/>
      <c r="I480" s="1126"/>
      <c r="J480" s="1135"/>
      <c r="K480" s="1135"/>
      <c r="L480" s="916"/>
    </row>
    <row r="481" spans="1:12" s="103" customFormat="1" ht="15.75" hidden="1" customHeight="1" outlineLevel="1">
      <c r="A481" s="916"/>
      <c r="B481" s="1123">
        <v>157</v>
      </c>
      <c r="C481" s="1127"/>
      <c r="D481" s="1125"/>
      <c r="E481" s="1125" t="s">
        <v>18</v>
      </c>
      <c r="F481" s="1130" t="str">
        <f>VLOOKUP(E481,$N$13:$O$17,2,0)</f>
        <v>-</v>
      </c>
      <c r="G481" s="92"/>
      <c r="H481" s="90"/>
      <c r="I481" s="1125"/>
      <c r="J481" s="1133"/>
      <c r="K481" s="1133"/>
      <c r="L481" s="916"/>
    </row>
    <row r="482" spans="1:12" s="103" customFormat="1" ht="15.75" hidden="1" customHeight="1" outlineLevel="1">
      <c r="A482" s="916"/>
      <c r="B482" s="1123"/>
      <c r="C482" s="1127"/>
      <c r="D482" s="1125"/>
      <c r="E482" s="1125"/>
      <c r="F482" s="1130"/>
      <c r="G482" s="95"/>
      <c r="H482" s="90"/>
      <c r="I482" s="1125"/>
      <c r="J482" s="1134"/>
      <c r="K482" s="1134"/>
      <c r="L482" s="916"/>
    </row>
    <row r="483" spans="1:12" s="103" customFormat="1" ht="15.75" hidden="1" customHeight="1" outlineLevel="1">
      <c r="A483" s="916"/>
      <c r="B483" s="1124"/>
      <c r="C483" s="1128"/>
      <c r="D483" s="1126"/>
      <c r="E483" s="1126"/>
      <c r="F483" s="1132"/>
      <c r="G483" s="100"/>
      <c r="H483" s="98"/>
      <c r="I483" s="1126"/>
      <c r="J483" s="1135"/>
      <c r="K483" s="1135"/>
      <c r="L483" s="916"/>
    </row>
    <row r="484" spans="1:12" s="103" customFormat="1" ht="15.75" hidden="1" customHeight="1" outlineLevel="1">
      <c r="A484" s="916"/>
      <c r="B484" s="1123">
        <v>158</v>
      </c>
      <c r="C484" s="1127"/>
      <c r="D484" s="1125"/>
      <c r="E484" s="1125" t="s">
        <v>18</v>
      </c>
      <c r="F484" s="1130" t="str">
        <f>VLOOKUP(E484,$N$13:$O$17,2,0)</f>
        <v>-</v>
      </c>
      <c r="G484" s="92"/>
      <c r="H484" s="90"/>
      <c r="I484" s="1125"/>
      <c r="J484" s="1133"/>
      <c r="K484" s="1133"/>
      <c r="L484" s="916"/>
    </row>
    <row r="485" spans="1:12" s="103" customFormat="1" ht="15.75" hidden="1" customHeight="1" outlineLevel="1">
      <c r="A485" s="916"/>
      <c r="B485" s="1123"/>
      <c r="C485" s="1127"/>
      <c r="D485" s="1125"/>
      <c r="E485" s="1125"/>
      <c r="F485" s="1130"/>
      <c r="G485" s="95"/>
      <c r="H485" s="90"/>
      <c r="I485" s="1125"/>
      <c r="J485" s="1134"/>
      <c r="K485" s="1134"/>
      <c r="L485" s="916"/>
    </row>
    <row r="486" spans="1:12" s="103" customFormat="1" ht="15.75" hidden="1" customHeight="1" outlineLevel="1">
      <c r="A486" s="916"/>
      <c r="B486" s="1124"/>
      <c r="C486" s="1128"/>
      <c r="D486" s="1126"/>
      <c r="E486" s="1126"/>
      <c r="F486" s="1132"/>
      <c r="G486" s="100"/>
      <c r="H486" s="98"/>
      <c r="I486" s="1126"/>
      <c r="J486" s="1135"/>
      <c r="K486" s="1135"/>
      <c r="L486" s="916"/>
    </row>
    <row r="487" spans="1:12" s="103" customFormat="1" ht="15.75" hidden="1" customHeight="1" outlineLevel="1">
      <c r="A487" s="916"/>
      <c r="B487" s="1123">
        <v>159</v>
      </c>
      <c r="C487" s="1127"/>
      <c r="D487" s="1125"/>
      <c r="E487" s="1125" t="s">
        <v>18</v>
      </c>
      <c r="F487" s="1130" t="str">
        <f>VLOOKUP(E487,$N$13:$O$17,2,0)</f>
        <v>-</v>
      </c>
      <c r="G487" s="92"/>
      <c r="H487" s="90"/>
      <c r="I487" s="1125"/>
      <c r="J487" s="1133"/>
      <c r="K487" s="1133"/>
      <c r="L487" s="916"/>
    </row>
    <row r="488" spans="1:12" s="103" customFormat="1" ht="15.75" hidden="1" customHeight="1" outlineLevel="1">
      <c r="A488" s="916"/>
      <c r="B488" s="1123"/>
      <c r="C488" s="1127"/>
      <c r="D488" s="1125"/>
      <c r="E488" s="1125"/>
      <c r="F488" s="1130"/>
      <c r="G488" s="95"/>
      <c r="H488" s="90"/>
      <c r="I488" s="1125"/>
      <c r="J488" s="1134"/>
      <c r="K488" s="1134"/>
      <c r="L488" s="916"/>
    </row>
    <row r="489" spans="1:12" s="103" customFormat="1" ht="15.75" hidden="1" customHeight="1" outlineLevel="1">
      <c r="A489" s="916"/>
      <c r="B489" s="1124"/>
      <c r="C489" s="1128"/>
      <c r="D489" s="1126"/>
      <c r="E489" s="1126"/>
      <c r="F489" s="1132"/>
      <c r="G489" s="100"/>
      <c r="H489" s="98"/>
      <c r="I489" s="1126"/>
      <c r="J489" s="1135"/>
      <c r="K489" s="1135"/>
      <c r="L489" s="916"/>
    </row>
    <row r="490" spans="1:12" s="103" customFormat="1" ht="15.75" hidden="1" customHeight="1" outlineLevel="1">
      <c r="A490" s="916"/>
      <c r="B490" s="1123">
        <v>160</v>
      </c>
      <c r="C490" s="1127"/>
      <c r="D490" s="1125"/>
      <c r="E490" s="1125" t="s">
        <v>18</v>
      </c>
      <c r="F490" s="1130" t="str">
        <f>VLOOKUP(E490,$N$13:$O$17,2,0)</f>
        <v>-</v>
      </c>
      <c r="G490" s="92"/>
      <c r="H490" s="90"/>
      <c r="I490" s="1125"/>
      <c r="J490" s="1133"/>
      <c r="K490" s="1133"/>
      <c r="L490" s="916"/>
    </row>
    <row r="491" spans="1:12" s="103" customFormat="1" ht="15.75" hidden="1" customHeight="1" outlineLevel="1">
      <c r="A491" s="916"/>
      <c r="B491" s="1123"/>
      <c r="C491" s="1127"/>
      <c r="D491" s="1125"/>
      <c r="E491" s="1125"/>
      <c r="F491" s="1130"/>
      <c r="G491" s="95"/>
      <c r="H491" s="90"/>
      <c r="I491" s="1125"/>
      <c r="J491" s="1134"/>
      <c r="K491" s="1134"/>
      <c r="L491" s="916"/>
    </row>
    <row r="492" spans="1:12" s="103" customFormat="1" ht="15.75" hidden="1" customHeight="1" outlineLevel="1">
      <c r="A492" s="916"/>
      <c r="B492" s="1124"/>
      <c r="C492" s="1128"/>
      <c r="D492" s="1126"/>
      <c r="E492" s="1126"/>
      <c r="F492" s="1132"/>
      <c r="G492" s="100"/>
      <c r="H492" s="98"/>
      <c r="I492" s="1126"/>
      <c r="J492" s="1135"/>
      <c r="K492" s="1135"/>
      <c r="L492" s="916"/>
    </row>
    <row r="493" spans="1:12" s="103" customFormat="1" ht="15.75" hidden="1" customHeight="1" outlineLevel="1">
      <c r="A493" s="916"/>
      <c r="B493" s="1123">
        <v>161</v>
      </c>
      <c r="C493" s="1127"/>
      <c r="D493" s="1125"/>
      <c r="E493" s="1125" t="s">
        <v>18</v>
      </c>
      <c r="F493" s="1130" t="str">
        <f>VLOOKUP(E493,$N$13:$O$17,2,0)</f>
        <v>-</v>
      </c>
      <c r="G493" s="92"/>
      <c r="H493" s="90"/>
      <c r="I493" s="1125"/>
      <c r="J493" s="1133"/>
      <c r="K493" s="1133"/>
      <c r="L493" s="916"/>
    </row>
    <row r="494" spans="1:12" s="103" customFormat="1" ht="15.75" hidden="1" customHeight="1" outlineLevel="1">
      <c r="A494" s="916"/>
      <c r="B494" s="1123"/>
      <c r="C494" s="1127"/>
      <c r="D494" s="1125"/>
      <c r="E494" s="1125"/>
      <c r="F494" s="1130"/>
      <c r="G494" s="95"/>
      <c r="H494" s="90"/>
      <c r="I494" s="1125"/>
      <c r="J494" s="1134"/>
      <c r="K494" s="1134"/>
      <c r="L494" s="916"/>
    </row>
    <row r="495" spans="1:12" s="103" customFormat="1" ht="15.75" hidden="1" customHeight="1" outlineLevel="1">
      <c r="A495" s="916"/>
      <c r="B495" s="1124"/>
      <c r="C495" s="1128"/>
      <c r="D495" s="1126"/>
      <c r="E495" s="1126"/>
      <c r="F495" s="1132"/>
      <c r="G495" s="100"/>
      <c r="H495" s="98"/>
      <c r="I495" s="1126"/>
      <c r="J495" s="1135"/>
      <c r="K495" s="1135"/>
      <c r="L495" s="916"/>
    </row>
    <row r="496" spans="1:12" s="103" customFormat="1" ht="15.75" hidden="1" customHeight="1" outlineLevel="1">
      <c r="A496" s="916"/>
      <c r="B496" s="1123">
        <v>162</v>
      </c>
      <c r="C496" s="1127"/>
      <c r="D496" s="1125"/>
      <c r="E496" s="1125" t="s">
        <v>18</v>
      </c>
      <c r="F496" s="1130" t="str">
        <f>VLOOKUP(E496,$N$13:$O$17,2,0)</f>
        <v>-</v>
      </c>
      <c r="G496" s="92"/>
      <c r="H496" s="90"/>
      <c r="I496" s="1125"/>
      <c r="J496" s="1133"/>
      <c r="K496" s="1133"/>
      <c r="L496" s="916"/>
    </row>
    <row r="497" spans="1:12" s="103" customFormat="1" ht="15.75" hidden="1" customHeight="1" outlineLevel="1">
      <c r="A497" s="916"/>
      <c r="B497" s="1123"/>
      <c r="C497" s="1127"/>
      <c r="D497" s="1125"/>
      <c r="E497" s="1125"/>
      <c r="F497" s="1130"/>
      <c r="G497" s="95"/>
      <c r="H497" s="90"/>
      <c r="I497" s="1125"/>
      <c r="J497" s="1134"/>
      <c r="K497" s="1134"/>
      <c r="L497" s="916"/>
    </row>
    <row r="498" spans="1:12" s="103" customFormat="1" ht="15.75" hidden="1" customHeight="1" outlineLevel="1">
      <c r="A498" s="916"/>
      <c r="B498" s="1124"/>
      <c r="C498" s="1128"/>
      <c r="D498" s="1126"/>
      <c r="E498" s="1126"/>
      <c r="F498" s="1132"/>
      <c r="G498" s="100"/>
      <c r="H498" s="98"/>
      <c r="I498" s="1126"/>
      <c r="J498" s="1135"/>
      <c r="K498" s="1135"/>
      <c r="L498" s="916"/>
    </row>
    <row r="499" spans="1:12" s="103" customFormat="1" ht="15.75" hidden="1" customHeight="1" outlineLevel="1">
      <c r="A499" s="916"/>
      <c r="B499" s="1123">
        <v>163</v>
      </c>
      <c r="C499" s="1127"/>
      <c r="D499" s="1125"/>
      <c r="E499" s="1125" t="s">
        <v>18</v>
      </c>
      <c r="F499" s="1130" t="str">
        <f>VLOOKUP(E499,$N$13:$O$17,2,0)</f>
        <v>-</v>
      </c>
      <c r="G499" s="92"/>
      <c r="H499" s="90"/>
      <c r="I499" s="1125"/>
      <c r="J499" s="1133"/>
      <c r="K499" s="1133"/>
      <c r="L499" s="916"/>
    </row>
    <row r="500" spans="1:12" s="103" customFormat="1" ht="15.75" hidden="1" customHeight="1" outlineLevel="1">
      <c r="A500" s="916"/>
      <c r="B500" s="1123"/>
      <c r="C500" s="1127"/>
      <c r="D500" s="1125"/>
      <c r="E500" s="1125"/>
      <c r="F500" s="1130"/>
      <c r="G500" s="95"/>
      <c r="H500" s="90"/>
      <c r="I500" s="1125"/>
      <c r="J500" s="1134"/>
      <c r="K500" s="1134"/>
      <c r="L500" s="916"/>
    </row>
    <row r="501" spans="1:12" s="103" customFormat="1" ht="15.75" hidden="1" customHeight="1" outlineLevel="1">
      <c r="A501" s="916"/>
      <c r="B501" s="1124"/>
      <c r="C501" s="1128"/>
      <c r="D501" s="1126"/>
      <c r="E501" s="1126"/>
      <c r="F501" s="1132"/>
      <c r="G501" s="100"/>
      <c r="H501" s="98"/>
      <c r="I501" s="1126"/>
      <c r="J501" s="1135"/>
      <c r="K501" s="1135"/>
      <c r="L501" s="916"/>
    </row>
    <row r="502" spans="1:12" s="103" customFormat="1" ht="15.75" hidden="1" customHeight="1" outlineLevel="1">
      <c r="A502" s="916"/>
      <c r="B502" s="1123">
        <v>164</v>
      </c>
      <c r="C502" s="1127"/>
      <c r="D502" s="1125"/>
      <c r="E502" s="1125" t="s">
        <v>18</v>
      </c>
      <c r="F502" s="1130" t="str">
        <f>VLOOKUP(E502,$N$13:$O$17,2,0)</f>
        <v>-</v>
      </c>
      <c r="G502" s="92"/>
      <c r="H502" s="90"/>
      <c r="I502" s="1125"/>
      <c r="J502" s="1133"/>
      <c r="K502" s="1133"/>
      <c r="L502" s="916"/>
    </row>
    <row r="503" spans="1:12" s="103" customFormat="1" ht="15.75" hidden="1" customHeight="1" outlineLevel="1">
      <c r="A503" s="916"/>
      <c r="B503" s="1123"/>
      <c r="C503" s="1127"/>
      <c r="D503" s="1125"/>
      <c r="E503" s="1125"/>
      <c r="F503" s="1130"/>
      <c r="G503" s="95"/>
      <c r="H503" s="90"/>
      <c r="I503" s="1125"/>
      <c r="J503" s="1134"/>
      <c r="K503" s="1134"/>
      <c r="L503" s="916"/>
    </row>
    <row r="504" spans="1:12" s="103" customFormat="1" ht="15.75" hidden="1" customHeight="1" outlineLevel="1">
      <c r="A504" s="916"/>
      <c r="B504" s="1124"/>
      <c r="C504" s="1128"/>
      <c r="D504" s="1126"/>
      <c r="E504" s="1126"/>
      <c r="F504" s="1132"/>
      <c r="G504" s="100"/>
      <c r="H504" s="98"/>
      <c r="I504" s="1126"/>
      <c r="J504" s="1135"/>
      <c r="K504" s="1135"/>
      <c r="L504" s="916"/>
    </row>
    <row r="505" spans="1:12" s="103" customFormat="1" ht="15.75" hidden="1" customHeight="1" outlineLevel="1">
      <c r="A505" s="916"/>
      <c r="B505" s="1123">
        <v>165</v>
      </c>
      <c r="C505" s="1127"/>
      <c r="D505" s="1125"/>
      <c r="E505" s="1125" t="s">
        <v>18</v>
      </c>
      <c r="F505" s="1130" t="str">
        <f>VLOOKUP(E505,$N$13:$O$17,2,0)</f>
        <v>-</v>
      </c>
      <c r="G505" s="92"/>
      <c r="H505" s="90"/>
      <c r="I505" s="1125"/>
      <c r="J505" s="1133"/>
      <c r="K505" s="1133"/>
      <c r="L505" s="916"/>
    </row>
    <row r="506" spans="1:12" s="103" customFormat="1" ht="15.75" hidden="1" customHeight="1" outlineLevel="1">
      <c r="A506" s="916"/>
      <c r="B506" s="1123"/>
      <c r="C506" s="1127"/>
      <c r="D506" s="1125"/>
      <c r="E506" s="1125"/>
      <c r="F506" s="1130"/>
      <c r="G506" s="95"/>
      <c r="H506" s="90"/>
      <c r="I506" s="1125"/>
      <c r="J506" s="1134"/>
      <c r="K506" s="1134"/>
      <c r="L506" s="916"/>
    </row>
    <row r="507" spans="1:12" s="103" customFormat="1" ht="15.75" hidden="1" customHeight="1" outlineLevel="1">
      <c r="A507" s="916"/>
      <c r="B507" s="1124"/>
      <c r="C507" s="1128"/>
      <c r="D507" s="1126"/>
      <c r="E507" s="1126"/>
      <c r="F507" s="1132"/>
      <c r="G507" s="100"/>
      <c r="H507" s="98"/>
      <c r="I507" s="1126"/>
      <c r="J507" s="1135"/>
      <c r="K507" s="1135"/>
      <c r="L507" s="916"/>
    </row>
    <row r="508" spans="1:12" s="103" customFormat="1" ht="15.75" hidden="1" customHeight="1" outlineLevel="1">
      <c r="A508" s="916"/>
      <c r="B508" s="1123">
        <v>166</v>
      </c>
      <c r="C508" s="1127"/>
      <c r="D508" s="1125"/>
      <c r="E508" s="1125" t="s">
        <v>18</v>
      </c>
      <c r="F508" s="1130" t="str">
        <f>VLOOKUP(E508,$N$13:$O$17,2,0)</f>
        <v>-</v>
      </c>
      <c r="G508" s="92"/>
      <c r="H508" s="90"/>
      <c r="I508" s="1125"/>
      <c r="J508" s="1133"/>
      <c r="K508" s="1133"/>
      <c r="L508" s="916"/>
    </row>
    <row r="509" spans="1:12" s="103" customFormat="1" ht="15.75" hidden="1" customHeight="1" outlineLevel="1">
      <c r="A509" s="916"/>
      <c r="B509" s="1123"/>
      <c r="C509" s="1127"/>
      <c r="D509" s="1125"/>
      <c r="E509" s="1125"/>
      <c r="F509" s="1130"/>
      <c r="G509" s="95"/>
      <c r="H509" s="90"/>
      <c r="I509" s="1125"/>
      <c r="J509" s="1134"/>
      <c r="K509" s="1134"/>
      <c r="L509" s="916"/>
    </row>
    <row r="510" spans="1:12" s="103" customFormat="1" ht="15.75" hidden="1" customHeight="1" outlineLevel="1">
      <c r="A510" s="916"/>
      <c r="B510" s="1124"/>
      <c r="C510" s="1128"/>
      <c r="D510" s="1126"/>
      <c r="E510" s="1126"/>
      <c r="F510" s="1132"/>
      <c r="G510" s="100"/>
      <c r="H510" s="98"/>
      <c r="I510" s="1126"/>
      <c r="J510" s="1135"/>
      <c r="K510" s="1135"/>
      <c r="L510" s="916"/>
    </row>
    <row r="511" spans="1:12" s="103" customFormat="1" ht="15.75" hidden="1" customHeight="1" outlineLevel="1">
      <c r="A511" s="916"/>
      <c r="B511" s="1123">
        <v>167</v>
      </c>
      <c r="C511" s="1127"/>
      <c r="D511" s="1125"/>
      <c r="E511" s="1125" t="s">
        <v>18</v>
      </c>
      <c r="F511" s="1130" t="str">
        <f>VLOOKUP(E511,$N$13:$O$17,2,0)</f>
        <v>-</v>
      </c>
      <c r="G511" s="92"/>
      <c r="H511" s="90"/>
      <c r="I511" s="1125"/>
      <c r="J511" s="1133"/>
      <c r="K511" s="1133"/>
      <c r="L511" s="916"/>
    </row>
    <row r="512" spans="1:12" s="103" customFormat="1" ht="15.75" hidden="1" customHeight="1" outlineLevel="1">
      <c r="A512" s="916"/>
      <c r="B512" s="1123"/>
      <c r="C512" s="1127"/>
      <c r="D512" s="1125"/>
      <c r="E512" s="1125"/>
      <c r="F512" s="1130"/>
      <c r="G512" s="95"/>
      <c r="H512" s="90"/>
      <c r="I512" s="1125"/>
      <c r="J512" s="1134"/>
      <c r="K512" s="1134"/>
      <c r="L512" s="916"/>
    </row>
    <row r="513" spans="1:12" s="103" customFormat="1" ht="15.75" hidden="1" customHeight="1" outlineLevel="1">
      <c r="A513" s="916"/>
      <c r="B513" s="1124"/>
      <c r="C513" s="1128"/>
      <c r="D513" s="1126"/>
      <c r="E513" s="1126"/>
      <c r="F513" s="1132"/>
      <c r="G513" s="100"/>
      <c r="H513" s="98"/>
      <c r="I513" s="1126"/>
      <c r="J513" s="1135"/>
      <c r="K513" s="1135"/>
      <c r="L513" s="916"/>
    </row>
    <row r="514" spans="1:12" s="103" customFormat="1" ht="15.75" hidden="1" customHeight="1" outlineLevel="1">
      <c r="A514" s="916"/>
      <c r="B514" s="1123">
        <v>168</v>
      </c>
      <c r="C514" s="1127"/>
      <c r="D514" s="1125"/>
      <c r="E514" s="1125" t="s">
        <v>18</v>
      </c>
      <c r="F514" s="1130" t="str">
        <f>VLOOKUP(E514,$N$13:$O$17,2,0)</f>
        <v>-</v>
      </c>
      <c r="G514" s="92"/>
      <c r="H514" s="90"/>
      <c r="I514" s="1125"/>
      <c r="J514" s="1133"/>
      <c r="K514" s="1133"/>
      <c r="L514" s="916"/>
    </row>
    <row r="515" spans="1:12" s="103" customFormat="1" ht="15.75" hidden="1" customHeight="1" outlineLevel="1">
      <c r="A515" s="916"/>
      <c r="B515" s="1123"/>
      <c r="C515" s="1127"/>
      <c r="D515" s="1125"/>
      <c r="E515" s="1125"/>
      <c r="F515" s="1130"/>
      <c r="G515" s="95"/>
      <c r="H515" s="90"/>
      <c r="I515" s="1125"/>
      <c r="J515" s="1134"/>
      <c r="K515" s="1134"/>
      <c r="L515" s="916"/>
    </row>
    <row r="516" spans="1:12" s="103" customFormat="1" ht="15.75" hidden="1" customHeight="1" outlineLevel="1">
      <c r="A516" s="916"/>
      <c r="B516" s="1124"/>
      <c r="C516" s="1128"/>
      <c r="D516" s="1126"/>
      <c r="E516" s="1126"/>
      <c r="F516" s="1132"/>
      <c r="G516" s="100"/>
      <c r="H516" s="98"/>
      <c r="I516" s="1126"/>
      <c r="J516" s="1135"/>
      <c r="K516" s="1135"/>
      <c r="L516" s="916"/>
    </row>
    <row r="517" spans="1:12" s="103" customFormat="1" ht="15.75" hidden="1" customHeight="1" outlineLevel="1">
      <c r="A517" s="916"/>
      <c r="B517" s="1123">
        <v>169</v>
      </c>
      <c r="C517" s="1127"/>
      <c r="D517" s="1125"/>
      <c r="E517" s="1125" t="s">
        <v>18</v>
      </c>
      <c r="F517" s="1130" t="str">
        <f>VLOOKUP(E517,$N$13:$O$17,2,0)</f>
        <v>-</v>
      </c>
      <c r="G517" s="92"/>
      <c r="H517" s="90"/>
      <c r="I517" s="1125"/>
      <c r="J517" s="1133"/>
      <c r="K517" s="1133"/>
      <c r="L517" s="916"/>
    </row>
    <row r="518" spans="1:12" s="103" customFormat="1" ht="15.75" hidden="1" customHeight="1" outlineLevel="1">
      <c r="A518" s="916"/>
      <c r="B518" s="1123"/>
      <c r="C518" s="1127"/>
      <c r="D518" s="1125"/>
      <c r="E518" s="1125"/>
      <c r="F518" s="1130"/>
      <c r="G518" s="95"/>
      <c r="H518" s="90"/>
      <c r="I518" s="1125"/>
      <c r="J518" s="1134"/>
      <c r="K518" s="1134"/>
      <c r="L518" s="916"/>
    </row>
    <row r="519" spans="1:12" s="103" customFormat="1" ht="15.75" hidden="1" customHeight="1" outlineLevel="1">
      <c r="A519" s="916"/>
      <c r="B519" s="1124"/>
      <c r="C519" s="1128"/>
      <c r="D519" s="1126"/>
      <c r="E519" s="1126"/>
      <c r="F519" s="1132"/>
      <c r="G519" s="100"/>
      <c r="H519" s="98"/>
      <c r="I519" s="1126"/>
      <c r="J519" s="1135"/>
      <c r="K519" s="1135"/>
      <c r="L519" s="916"/>
    </row>
    <row r="520" spans="1:12" s="103" customFormat="1" ht="15.75" hidden="1" customHeight="1" outlineLevel="1">
      <c r="A520" s="916"/>
      <c r="B520" s="1123">
        <v>170</v>
      </c>
      <c r="C520" s="1127"/>
      <c r="D520" s="1125"/>
      <c r="E520" s="1125" t="s">
        <v>18</v>
      </c>
      <c r="F520" s="1130" t="str">
        <f>VLOOKUP(E520,$N$13:$O$17,2,0)</f>
        <v>-</v>
      </c>
      <c r="G520" s="92"/>
      <c r="H520" s="90"/>
      <c r="I520" s="1125"/>
      <c r="J520" s="1133"/>
      <c r="K520" s="1133"/>
      <c r="L520" s="916"/>
    </row>
    <row r="521" spans="1:12" s="103" customFormat="1" ht="15.75" hidden="1" customHeight="1" outlineLevel="1">
      <c r="A521" s="916"/>
      <c r="B521" s="1123"/>
      <c r="C521" s="1127"/>
      <c r="D521" s="1125"/>
      <c r="E521" s="1125"/>
      <c r="F521" s="1130"/>
      <c r="G521" s="95"/>
      <c r="H521" s="90"/>
      <c r="I521" s="1125"/>
      <c r="J521" s="1134"/>
      <c r="K521" s="1134"/>
      <c r="L521" s="916"/>
    </row>
    <row r="522" spans="1:12" s="103" customFormat="1" ht="15.75" hidden="1" customHeight="1" outlineLevel="1">
      <c r="A522" s="916"/>
      <c r="B522" s="1124"/>
      <c r="C522" s="1128"/>
      <c r="D522" s="1126"/>
      <c r="E522" s="1126"/>
      <c r="F522" s="1132"/>
      <c r="G522" s="100"/>
      <c r="H522" s="98"/>
      <c r="I522" s="1126"/>
      <c r="J522" s="1135"/>
      <c r="K522" s="1135"/>
      <c r="L522" s="916"/>
    </row>
    <row r="523" spans="1:12" s="103" customFormat="1" ht="15.75" hidden="1" customHeight="1" outlineLevel="1">
      <c r="A523" s="916"/>
      <c r="B523" s="1123">
        <v>171</v>
      </c>
      <c r="C523" s="1127"/>
      <c r="D523" s="1125"/>
      <c r="E523" s="1125" t="s">
        <v>18</v>
      </c>
      <c r="F523" s="1130" t="str">
        <f>VLOOKUP(E523,$N$13:$O$17,2,0)</f>
        <v>-</v>
      </c>
      <c r="G523" s="92"/>
      <c r="H523" s="90"/>
      <c r="I523" s="1125"/>
      <c r="J523" s="1133"/>
      <c r="K523" s="1133"/>
      <c r="L523" s="916"/>
    </row>
    <row r="524" spans="1:12" s="103" customFormat="1" ht="15.75" hidden="1" customHeight="1" outlineLevel="1">
      <c r="A524" s="916"/>
      <c r="B524" s="1123"/>
      <c r="C524" s="1127"/>
      <c r="D524" s="1125"/>
      <c r="E524" s="1125"/>
      <c r="F524" s="1130"/>
      <c r="G524" s="95"/>
      <c r="H524" s="90"/>
      <c r="I524" s="1125"/>
      <c r="J524" s="1134"/>
      <c r="K524" s="1134"/>
      <c r="L524" s="916"/>
    </row>
    <row r="525" spans="1:12" s="103" customFormat="1" ht="15.75" hidden="1" customHeight="1" outlineLevel="1">
      <c r="A525" s="916"/>
      <c r="B525" s="1124"/>
      <c r="C525" s="1128"/>
      <c r="D525" s="1126"/>
      <c r="E525" s="1126"/>
      <c r="F525" s="1132"/>
      <c r="G525" s="100"/>
      <c r="H525" s="98"/>
      <c r="I525" s="1126"/>
      <c r="J525" s="1135"/>
      <c r="K525" s="1135"/>
      <c r="L525" s="916"/>
    </row>
    <row r="526" spans="1:12" s="103" customFormat="1" ht="15.75" hidden="1" customHeight="1" outlineLevel="1">
      <c r="A526" s="916"/>
      <c r="B526" s="1123">
        <v>172</v>
      </c>
      <c r="C526" s="1127"/>
      <c r="D526" s="1125"/>
      <c r="E526" s="1125" t="s">
        <v>18</v>
      </c>
      <c r="F526" s="1130" t="str">
        <f>VLOOKUP(E526,$N$13:$O$17,2,0)</f>
        <v>-</v>
      </c>
      <c r="G526" s="92"/>
      <c r="H526" s="90"/>
      <c r="I526" s="1125"/>
      <c r="J526" s="1133"/>
      <c r="K526" s="1133"/>
      <c r="L526" s="916"/>
    </row>
    <row r="527" spans="1:12" s="103" customFormat="1" ht="15.75" hidden="1" customHeight="1" outlineLevel="1">
      <c r="A527" s="916"/>
      <c r="B527" s="1123"/>
      <c r="C527" s="1127"/>
      <c r="D527" s="1125"/>
      <c r="E527" s="1125"/>
      <c r="F527" s="1130"/>
      <c r="G527" s="95"/>
      <c r="H527" s="90"/>
      <c r="I527" s="1125"/>
      <c r="J527" s="1134"/>
      <c r="K527" s="1134"/>
      <c r="L527" s="916"/>
    </row>
    <row r="528" spans="1:12" s="103" customFormat="1" ht="15.75" hidden="1" customHeight="1" outlineLevel="1">
      <c r="A528" s="916"/>
      <c r="B528" s="1124"/>
      <c r="C528" s="1128"/>
      <c r="D528" s="1126"/>
      <c r="E528" s="1126"/>
      <c r="F528" s="1132"/>
      <c r="G528" s="100"/>
      <c r="H528" s="98"/>
      <c r="I528" s="1126"/>
      <c r="J528" s="1135"/>
      <c r="K528" s="1135"/>
      <c r="L528" s="916"/>
    </row>
    <row r="529" spans="1:12" s="103" customFormat="1" ht="15.75" hidden="1" customHeight="1" outlineLevel="1">
      <c r="A529" s="916"/>
      <c r="B529" s="1123">
        <v>173</v>
      </c>
      <c r="C529" s="1127"/>
      <c r="D529" s="1125"/>
      <c r="E529" s="1125" t="s">
        <v>18</v>
      </c>
      <c r="F529" s="1130" t="str">
        <f>VLOOKUP(E529,$N$13:$O$17,2,0)</f>
        <v>-</v>
      </c>
      <c r="G529" s="92"/>
      <c r="H529" s="90"/>
      <c r="I529" s="1125"/>
      <c r="J529" s="1133"/>
      <c r="K529" s="1133"/>
      <c r="L529" s="916"/>
    </row>
    <row r="530" spans="1:12" s="103" customFormat="1" ht="15.75" hidden="1" customHeight="1" outlineLevel="1">
      <c r="A530" s="916"/>
      <c r="B530" s="1123"/>
      <c r="C530" s="1127"/>
      <c r="D530" s="1125"/>
      <c r="E530" s="1125"/>
      <c r="F530" s="1130"/>
      <c r="G530" s="95"/>
      <c r="H530" s="90"/>
      <c r="I530" s="1125"/>
      <c r="J530" s="1134"/>
      <c r="K530" s="1134"/>
      <c r="L530" s="916"/>
    </row>
    <row r="531" spans="1:12" s="103" customFormat="1" ht="15.75" hidden="1" customHeight="1" outlineLevel="1">
      <c r="A531" s="916"/>
      <c r="B531" s="1124"/>
      <c r="C531" s="1128"/>
      <c r="D531" s="1126"/>
      <c r="E531" s="1126"/>
      <c r="F531" s="1132"/>
      <c r="G531" s="100"/>
      <c r="H531" s="98"/>
      <c r="I531" s="1126"/>
      <c r="J531" s="1135"/>
      <c r="K531" s="1135"/>
      <c r="L531" s="916"/>
    </row>
    <row r="532" spans="1:12" s="103" customFormat="1" ht="15.75" hidden="1" customHeight="1" outlineLevel="1">
      <c r="A532" s="916"/>
      <c r="B532" s="1123">
        <v>174</v>
      </c>
      <c r="C532" s="1127"/>
      <c r="D532" s="1125"/>
      <c r="E532" s="1125" t="s">
        <v>18</v>
      </c>
      <c r="F532" s="1130" t="str">
        <f>VLOOKUP(E532,$N$13:$O$17,2,0)</f>
        <v>-</v>
      </c>
      <c r="G532" s="92"/>
      <c r="H532" s="90"/>
      <c r="I532" s="1125"/>
      <c r="J532" s="1133"/>
      <c r="K532" s="1133"/>
      <c r="L532" s="916"/>
    </row>
    <row r="533" spans="1:12" s="103" customFormat="1" ht="15.75" hidden="1" customHeight="1" outlineLevel="1">
      <c r="A533" s="916"/>
      <c r="B533" s="1123"/>
      <c r="C533" s="1127"/>
      <c r="D533" s="1125"/>
      <c r="E533" s="1125"/>
      <c r="F533" s="1130"/>
      <c r="G533" s="95"/>
      <c r="H533" s="90"/>
      <c r="I533" s="1125"/>
      <c r="J533" s="1134"/>
      <c r="K533" s="1134"/>
      <c r="L533" s="916"/>
    </row>
    <row r="534" spans="1:12" s="103" customFormat="1" ht="15.75" hidden="1" customHeight="1" outlineLevel="1">
      <c r="A534" s="916"/>
      <c r="B534" s="1124"/>
      <c r="C534" s="1128"/>
      <c r="D534" s="1126"/>
      <c r="E534" s="1126"/>
      <c r="F534" s="1132"/>
      <c r="G534" s="100"/>
      <c r="H534" s="98"/>
      <c r="I534" s="1126"/>
      <c r="J534" s="1135"/>
      <c r="K534" s="1135"/>
      <c r="L534" s="916"/>
    </row>
    <row r="535" spans="1:12" s="103" customFormat="1" ht="15.75" hidden="1" customHeight="1" outlineLevel="1">
      <c r="A535" s="916"/>
      <c r="B535" s="1123">
        <v>175</v>
      </c>
      <c r="C535" s="1127"/>
      <c r="D535" s="1125"/>
      <c r="E535" s="1125" t="s">
        <v>18</v>
      </c>
      <c r="F535" s="1130" t="str">
        <f>VLOOKUP(E535,$N$13:$O$17,2,0)</f>
        <v>-</v>
      </c>
      <c r="G535" s="92"/>
      <c r="H535" s="90"/>
      <c r="I535" s="1125"/>
      <c r="J535" s="1133"/>
      <c r="K535" s="1133"/>
      <c r="L535" s="916"/>
    </row>
    <row r="536" spans="1:12" s="103" customFormat="1" ht="15.75" hidden="1" customHeight="1" outlineLevel="1">
      <c r="A536" s="916"/>
      <c r="B536" s="1123"/>
      <c r="C536" s="1127"/>
      <c r="D536" s="1125"/>
      <c r="E536" s="1125"/>
      <c r="F536" s="1130"/>
      <c r="G536" s="95"/>
      <c r="H536" s="90"/>
      <c r="I536" s="1125"/>
      <c r="J536" s="1134"/>
      <c r="K536" s="1134"/>
      <c r="L536" s="916"/>
    </row>
    <row r="537" spans="1:12" s="103" customFormat="1" ht="15.75" hidden="1" customHeight="1" outlineLevel="1">
      <c r="A537" s="916"/>
      <c r="B537" s="1124"/>
      <c r="C537" s="1128"/>
      <c r="D537" s="1126"/>
      <c r="E537" s="1126"/>
      <c r="F537" s="1132"/>
      <c r="G537" s="100"/>
      <c r="H537" s="98"/>
      <c r="I537" s="1126"/>
      <c r="J537" s="1135"/>
      <c r="K537" s="1135"/>
      <c r="L537" s="916"/>
    </row>
    <row r="538" spans="1:12" s="103" customFormat="1" ht="15.75" hidden="1" customHeight="1" outlineLevel="1">
      <c r="A538" s="916"/>
      <c r="B538" s="1123">
        <v>176</v>
      </c>
      <c r="C538" s="1127"/>
      <c r="D538" s="1125"/>
      <c r="E538" s="1125" t="s">
        <v>18</v>
      </c>
      <c r="F538" s="1130" t="str">
        <f>VLOOKUP(E538,$N$13:$O$17,2,0)</f>
        <v>-</v>
      </c>
      <c r="G538" s="92"/>
      <c r="H538" s="90"/>
      <c r="I538" s="1125"/>
      <c r="J538" s="1133"/>
      <c r="K538" s="1133"/>
      <c r="L538" s="916"/>
    </row>
    <row r="539" spans="1:12" s="103" customFormat="1" ht="15.75" hidden="1" customHeight="1" outlineLevel="1">
      <c r="A539" s="916"/>
      <c r="B539" s="1123"/>
      <c r="C539" s="1127"/>
      <c r="D539" s="1125"/>
      <c r="E539" s="1125"/>
      <c r="F539" s="1130"/>
      <c r="G539" s="95"/>
      <c r="H539" s="90"/>
      <c r="I539" s="1125"/>
      <c r="J539" s="1134"/>
      <c r="K539" s="1134"/>
      <c r="L539" s="916"/>
    </row>
    <row r="540" spans="1:12" s="103" customFormat="1" ht="15.75" hidden="1" customHeight="1" outlineLevel="1">
      <c r="A540" s="916"/>
      <c r="B540" s="1124"/>
      <c r="C540" s="1128"/>
      <c r="D540" s="1126"/>
      <c r="E540" s="1126"/>
      <c r="F540" s="1132"/>
      <c r="G540" s="100"/>
      <c r="H540" s="98"/>
      <c r="I540" s="1126"/>
      <c r="J540" s="1135"/>
      <c r="K540" s="1135"/>
      <c r="L540" s="916"/>
    </row>
    <row r="541" spans="1:12" s="103" customFormat="1" ht="15.75" hidden="1" customHeight="1" outlineLevel="1">
      <c r="A541" s="916"/>
      <c r="B541" s="1123">
        <v>177</v>
      </c>
      <c r="C541" s="1127"/>
      <c r="D541" s="1125"/>
      <c r="E541" s="1125" t="s">
        <v>18</v>
      </c>
      <c r="F541" s="1130" t="str">
        <f>VLOOKUP(E541,$N$13:$O$17,2,0)</f>
        <v>-</v>
      </c>
      <c r="G541" s="92"/>
      <c r="H541" s="90"/>
      <c r="I541" s="1125"/>
      <c r="J541" s="1133"/>
      <c r="K541" s="1133"/>
      <c r="L541" s="916"/>
    </row>
    <row r="542" spans="1:12" s="103" customFormat="1" ht="15.75" hidden="1" customHeight="1" outlineLevel="1">
      <c r="A542" s="916"/>
      <c r="B542" s="1123"/>
      <c r="C542" s="1127"/>
      <c r="D542" s="1125"/>
      <c r="E542" s="1125"/>
      <c r="F542" s="1130"/>
      <c r="G542" s="95"/>
      <c r="H542" s="90"/>
      <c r="I542" s="1125"/>
      <c r="J542" s="1134"/>
      <c r="K542" s="1134"/>
      <c r="L542" s="916"/>
    </row>
    <row r="543" spans="1:12" s="103" customFormat="1" ht="15.75" hidden="1" customHeight="1" outlineLevel="1">
      <c r="A543" s="916"/>
      <c r="B543" s="1124"/>
      <c r="C543" s="1128"/>
      <c r="D543" s="1126"/>
      <c r="E543" s="1126"/>
      <c r="F543" s="1132"/>
      <c r="G543" s="100"/>
      <c r="H543" s="98"/>
      <c r="I543" s="1126"/>
      <c r="J543" s="1135"/>
      <c r="K543" s="1135"/>
      <c r="L543" s="916"/>
    </row>
    <row r="544" spans="1:12" s="103" customFormat="1" ht="15.75" hidden="1" customHeight="1" outlineLevel="1">
      <c r="A544" s="916"/>
      <c r="B544" s="1123">
        <v>178</v>
      </c>
      <c r="C544" s="1127"/>
      <c r="D544" s="1125"/>
      <c r="E544" s="1125" t="s">
        <v>18</v>
      </c>
      <c r="F544" s="1130" t="str">
        <f>VLOOKUP(E544,$N$13:$O$17,2,0)</f>
        <v>-</v>
      </c>
      <c r="G544" s="92"/>
      <c r="H544" s="90"/>
      <c r="I544" s="1125"/>
      <c r="J544" s="1133"/>
      <c r="K544" s="1133"/>
      <c r="L544" s="916"/>
    </row>
    <row r="545" spans="1:12" s="103" customFormat="1" ht="15.75" hidden="1" customHeight="1" outlineLevel="1">
      <c r="A545" s="916"/>
      <c r="B545" s="1123"/>
      <c r="C545" s="1127"/>
      <c r="D545" s="1125"/>
      <c r="E545" s="1125"/>
      <c r="F545" s="1130"/>
      <c r="G545" s="95"/>
      <c r="H545" s="90"/>
      <c r="I545" s="1125"/>
      <c r="J545" s="1134"/>
      <c r="K545" s="1134"/>
      <c r="L545" s="916"/>
    </row>
    <row r="546" spans="1:12" s="103" customFormat="1" ht="15.75" hidden="1" customHeight="1" outlineLevel="1">
      <c r="A546" s="916"/>
      <c r="B546" s="1124"/>
      <c r="C546" s="1128"/>
      <c r="D546" s="1126"/>
      <c r="E546" s="1126"/>
      <c r="F546" s="1132"/>
      <c r="G546" s="100"/>
      <c r="H546" s="98"/>
      <c r="I546" s="1126"/>
      <c r="J546" s="1135"/>
      <c r="K546" s="1135"/>
      <c r="L546" s="916"/>
    </row>
    <row r="547" spans="1:12" s="103" customFormat="1" ht="15.75" hidden="1" customHeight="1" outlineLevel="1">
      <c r="A547" s="916"/>
      <c r="B547" s="1123">
        <v>179</v>
      </c>
      <c r="C547" s="1127"/>
      <c r="D547" s="1125"/>
      <c r="E547" s="1125" t="s">
        <v>18</v>
      </c>
      <c r="F547" s="1130" t="str">
        <f>VLOOKUP(E547,$N$13:$O$17,2,0)</f>
        <v>-</v>
      </c>
      <c r="G547" s="92"/>
      <c r="H547" s="90"/>
      <c r="I547" s="1125"/>
      <c r="J547" s="1133"/>
      <c r="K547" s="1133"/>
      <c r="L547" s="916"/>
    </row>
    <row r="548" spans="1:12" s="103" customFormat="1" ht="15.75" hidden="1" customHeight="1" outlineLevel="1">
      <c r="A548" s="916"/>
      <c r="B548" s="1123"/>
      <c r="C548" s="1127"/>
      <c r="D548" s="1125"/>
      <c r="E548" s="1125"/>
      <c r="F548" s="1130"/>
      <c r="G548" s="95"/>
      <c r="H548" s="90"/>
      <c r="I548" s="1125"/>
      <c r="J548" s="1134"/>
      <c r="K548" s="1134"/>
      <c r="L548" s="916"/>
    </row>
    <row r="549" spans="1:12" s="103" customFormat="1" ht="15.75" hidden="1" customHeight="1" outlineLevel="1">
      <c r="A549" s="916"/>
      <c r="B549" s="1124"/>
      <c r="C549" s="1128"/>
      <c r="D549" s="1126"/>
      <c r="E549" s="1126"/>
      <c r="F549" s="1132"/>
      <c r="G549" s="100"/>
      <c r="H549" s="98"/>
      <c r="I549" s="1126"/>
      <c r="J549" s="1135"/>
      <c r="K549" s="1135"/>
      <c r="L549" s="916"/>
    </row>
    <row r="550" spans="1:12" s="103" customFormat="1" ht="15.75" hidden="1" customHeight="1" outlineLevel="1">
      <c r="A550" s="916"/>
      <c r="B550" s="1123">
        <v>180</v>
      </c>
      <c r="C550" s="1127"/>
      <c r="D550" s="1125"/>
      <c r="E550" s="1125" t="s">
        <v>18</v>
      </c>
      <c r="F550" s="1130" t="str">
        <f>VLOOKUP(E550,$N$13:$O$17,2,0)</f>
        <v>-</v>
      </c>
      <c r="G550" s="92"/>
      <c r="H550" s="90"/>
      <c r="I550" s="1125"/>
      <c r="J550" s="1133"/>
      <c r="K550" s="1133"/>
      <c r="L550" s="916"/>
    </row>
    <row r="551" spans="1:12" s="103" customFormat="1" ht="15.75" hidden="1" customHeight="1" outlineLevel="1">
      <c r="A551" s="916"/>
      <c r="B551" s="1123"/>
      <c r="C551" s="1127"/>
      <c r="D551" s="1125"/>
      <c r="E551" s="1125"/>
      <c r="F551" s="1130"/>
      <c r="G551" s="95"/>
      <c r="H551" s="90"/>
      <c r="I551" s="1125"/>
      <c r="J551" s="1134"/>
      <c r="K551" s="1134"/>
      <c r="L551" s="916"/>
    </row>
    <row r="552" spans="1:12" s="103" customFormat="1" ht="15.75" hidden="1" customHeight="1" outlineLevel="1">
      <c r="A552" s="916"/>
      <c r="B552" s="1124"/>
      <c r="C552" s="1128"/>
      <c r="D552" s="1126"/>
      <c r="E552" s="1126"/>
      <c r="F552" s="1132"/>
      <c r="G552" s="100"/>
      <c r="H552" s="98"/>
      <c r="I552" s="1126"/>
      <c r="J552" s="1135"/>
      <c r="K552" s="1135"/>
      <c r="L552" s="916"/>
    </row>
    <row r="553" spans="1:12" s="103" customFormat="1" ht="15.75" hidden="1" customHeight="1" outlineLevel="1">
      <c r="A553" s="916"/>
      <c r="B553" s="1123">
        <v>181</v>
      </c>
      <c r="C553" s="1127"/>
      <c r="D553" s="1125"/>
      <c r="E553" s="1125" t="s">
        <v>18</v>
      </c>
      <c r="F553" s="1130" t="str">
        <f>VLOOKUP(E553,$N$13:$O$17,2,0)</f>
        <v>-</v>
      </c>
      <c r="G553" s="92"/>
      <c r="H553" s="90"/>
      <c r="I553" s="1125"/>
      <c r="J553" s="1133"/>
      <c r="K553" s="1133"/>
      <c r="L553" s="916"/>
    </row>
    <row r="554" spans="1:12" s="103" customFormat="1" ht="15.75" hidden="1" customHeight="1" outlineLevel="1">
      <c r="A554" s="916"/>
      <c r="B554" s="1123"/>
      <c r="C554" s="1127"/>
      <c r="D554" s="1125"/>
      <c r="E554" s="1125"/>
      <c r="F554" s="1130"/>
      <c r="G554" s="95"/>
      <c r="H554" s="90"/>
      <c r="I554" s="1125"/>
      <c r="J554" s="1134"/>
      <c r="K554" s="1134"/>
      <c r="L554" s="916"/>
    </row>
    <row r="555" spans="1:12" s="103" customFormat="1" ht="15.75" hidden="1" customHeight="1" outlineLevel="1">
      <c r="A555" s="916"/>
      <c r="B555" s="1124"/>
      <c r="C555" s="1128"/>
      <c r="D555" s="1126"/>
      <c r="E555" s="1126"/>
      <c r="F555" s="1132"/>
      <c r="G555" s="100"/>
      <c r="H555" s="98"/>
      <c r="I555" s="1126"/>
      <c r="J555" s="1135"/>
      <c r="K555" s="1135"/>
      <c r="L555" s="916"/>
    </row>
    <row r="556" spans="1:12" s="103" customFormat="1" ht="15.75" hidden="1" customHeight="1" outlineLevel="1">
      <c r="A556" s="916"/>
      <c r="B556" s="1123">
        <v>182</v>
      </c>
      <c r="C556" s="1127"/>
      <c r="D556" s="1125"/>
      <c r="E556" s="1125" t="s">
        <v>18</v>
      </c>
      <c r="F556" s="1130" t="str">
        <f>VLOOKUP(E556,$N$13:$O$17,2,0)</f>
        <v>-</v>
      </c>
      <c r="G556" s="92"/>
      <c r="H556" s="90"/>
      <c r="I556" s="1125"/>
      <c r="J556" s="1133"/>
      <c r="K556" s="1133"/>
      <c r="L556" s="916"/>
    </row>
    <row r="557" spans="1:12" s="103" customFormat="1" ht="15.75" hidden="1" customHeight="1" outlineLevel="1">
      <c r="A557" s="916"/>
      <c r="B557" s="1123"/>
      <c r="C557" s="1127"/>
      <c r="D557" s="1125"/>
      <c r="E557" s="1125"/>
      <c r="F557" s="1130"/>
      <c r="G557" s="95"/>
      <c r="H557" s="90"/>
      <c r="I557" s="1125"/>
      <c r="J557" s="1134"/>
      <c r="K557" s="1134"/>
      <c r="L557" s="916"/>
    </row>
    <row r="558" spans="1:12" s="103" customFormat="1" ht="15.75" hidden="1" customHeight="1" outlineLevel="1">
      <c r="A558" s="916"/>
      <c r="B558" s="1124"/>
      <c r="C558" s="1128"/>
      <c r="D558" s="1126"/>
      <c r="E558" s="1126"/>
      <c r="F558" s="1132"/>
      <c r="G558" s="100"/>
      <c r="H558" s="98"/>
      <c r="I558" s="1126"/>
      <c r="J558" s="1135"/>
      <c r="K558" s="1135"/>
      <c r="L558" s="916"/>
    </row>
    <row r="559" spans="1:12" s="103" customFormat="1" ht="15.75" hidden="1" customHeight="1" outlineLevel="1">
      <c r="A559" s="916"/>
      <c r="B559" s="1123">
        <v>183</v>
      </c>
      <c r="C559" s="1127"/>
      <c r="D559" s="1125"/>
      <c r="E559" s="1125" t="s">
        <v>18</v>
      </c>
      <c r="F559" s="1130" t="str">
        <f>VLOOKUP(E559,$N$13:$O$17,2,0)</f>
        <v>-</v>
      </c>
      <c r="G559" s="92"/>
      <c r="H559" s="90"/>
      <c r="I559" s="1125"/>
      <c r="J559" s="1133"/>
      <c r="K559" s="1133"/>
      <c r="L559" s="916"/>
    </row>
    <row r="560" spans="1:12" s="103" customFormat="1" ht="15.75" hidden="1" customHeight="1" outlineLevel="1">
      <c r="A560" s="916"/>
      <c r="B560" s="1123"/>
      <c r="C560" s="1127"/>
      <c r="D560" s="1125"/>
      <c r="E560" s="1125"/>
      <c r="F560" s="1130"/>
      <c r="G560" s="95"/>
      <c r="H560" s="90"/>
      <c r="I560" s="1125"/>
      <c r="J560" s="1134"/>
      <c r="K560" s="1134"/>
      <c r="L560" s="916"/>
    </row>
    <row r="561" spans="1:12" s="103" customFormat="1" ht="15.75" hidden="1" customHeight="1" outlineLevel="1">
      <c r="A561" s="916"/>
      <c r="B561" s="1124"/>
      <c r="C561" s="1128"/>
      <c r="D561" s="1126"/>
      <c r="E561" s="1126"/>
      <c r="F561" s="1132"/>
      <c r="G561" s="100"/>
      <c r="H561" s="98"/>
      <c r="I561" s="1126"/>
      <c r="J561" s="1135"/>
      <c r="K561" s="1135"/>
      <c r="L561" s="916"/>
    </row>
    <row r="562" spans="1:12" s="103" customFormat="1" ht="15.75" hidden="1" customHeight="1" outlineLevel="1">
      <c r="A562" s="916"/>
      <c r="B562" s="1123">
        <v>184</v>
      </c>
      <c r="C562" s="1127"/>
      <c r="D562" s="1125"/>
      <c r="E562" s="1125" t="s">
        <v>18</v>
      </c>
      <c r="F562" s="1130" t="str">
        <f>VLOOKUP(E562,$N$13:$O$17,2,0)</f>
        <v>-</v>
      </c>
      <c r="G562" s="92"/>
      <c r="H562" s="90"/>
      <c r="I562" s="1125"/>
      <c r="J562" s="1133"/>
      <c r="K562" s="1133"/>
      <c r="L562" s="916"/>
    </row>
    <row r="563" spans="1:12" s="103" customFormat="1" ht="15.75" hidden="1" customHeight="1" outlineLevel="1">
      <c r="A563" s="916"/>
      <c r="B563" s="1123"/>
      <c r="C563" s="1127"/>
      <c r="D563" s="1125"/>
      <c r="E563" s="1125"/>
      <c r="F563" s="1130"/>
      <c r="G563" s="95"/>
      <c r="H563" s="90"/>
      <c r="I563" s="1125"/>
      <c r="J563" s="1134"/>
      <c r="K563" s="1134"/>
      <c r="L563" s="916"/>
    </row>
    <row r="564" spans="1:12" s="103" customFormat="1" ht="15.75" hidden="1" customHeight="1" outlineLevel="1">
      <c r="A564" s="916"/>
      <c r="B564" s="1124"/>
      <c r="C564" s="1128"/>
      <c r="D564" s="1126"/>
      <c r="E564" s="1126"/>
      <c r="F564" s="1132"/>
      <c r="G564" s="100"/>
      <c r="H564" s="98"/>
      <c r="I564" s="1126"/>
      <c r="J564" s="1135"/>
      <c r="K564" s="1135"/>
      <c r="L564" s="916"/>
    </row>
    <row r="565" spans="1:12" s="103" customFormat="1" ht="15.75" hidden="1" customHeight="1" outlineLevel="1">
      <c r="A565" s="916"/>
      <c r="B565" s="1123">
        <v>185</v>
      </c>
      <c r="C565" s="1127"/>
      <c r="D565" s="1125"/>
      <c r="E565" s="1125" t="s">
        <v>18</v>
      </c>
      <c r="F565" s="1130" t="str">
        <f>VLOOKUP(E565,$N$13:$O$17,2,0)</f>
        <v>-</v>
      </c>
      <c r="G565" s="92"/>
      <c r="H565" s="90"/>
      <c r="I565" s="1125"/>
      <c r="J565" s="1133"/>
      <c r="K565" s="1133"/>
      <c r="L565" s="916"/>
    </row>
    <row r="566" spans="1:12" s="103" customFormat="1" ht="15.75" hidden="1" customHeight="1" outlineLevel="1">
      <c r="A566" s="916"/>
      <c r="B566" s="1123"/>
      <c r="C566" s="1127"/>
      <c r="D566" s="1125"/>
      <c r="E566" s="1125"/>
      <c r="F566" s="1130"/>
      <c r="G566" s="95"/>
      <c r="H566" s="90"/>
      <c r="I566" s="1125"/>
      <c r="J566" s="1134"/>
      <c r="K566" s="1134"/>
      <c r="L566" s="916"/>
    </row>
    <row r="567" spans="1:12" s="103" customFormat="1" ht="15.75" hidden="1" customHeight="1" outlineLevel="1">
      <c r="A567" s="916"/>
      <c r="B567" s="1124"/>
      <c r="C567" s="1128"/>
      <c r="D567" s="1126"/>
      <c r="E567" s="1126"/>
      <c r="F567" s="1132"/>
      <c r="G567" s="100"/>
      <c r="H567" s="98"/>
      <c r="I567" s="1126"/>
      <c r="J567" s="1135"/>
      <c r="K567" s="1135"/>
      <c r="L567" s="916"/>
    </row>
    <row r="568" spans="1:12" s="103" customFormat="1" ht="15.75" hidden="1" customHeight="1" outlineLevel="1">
      <c r="A568" s="916"/>
      <c r="B568" s="1123">
        <v>186</v>
      </c>
      <c r="C568" s="1127"/>
      <c r="D568" s="1125"/>
      <c r="E568" s="1125" t="s">
        <v>18</v>
      </c>
      <c r="F568" s="1130" t="str">
        <f>VLOOKUP(E568,$N$13:$O$17,2,0)</f>
        <v>-</v>
      </c>
      <c r="G568" s="92"/>
      <c r="H568" s="90"/>
      <c r="I568" s="1125"/>
      <c r="J568" s="1133"/>
      <c r="K568" s="1133"/>
      <c r="L568" s="916"/>
    </row>
    <row r="569" spans="1:12" s="103" customFormat="1" ht="15.75" hidden="1" customHeight="1" outlineLevel="1">
      <c r="A569" s="916"/>
      <c r="B569" s="1123"/>
      <c r="C569" s="1127"/>
      <c r="D569" s="1125"/>
      <c r="E569" s="1125"/>
      <c r="F569" s="1130"/>
      <c r="G569" s="95"/>
      <c r="H569" s="90"/>
      <c r="I569" s="1125"/>
      <c r="J569" s="1134"/>
      <c r="K569" s="1134"/>
      <c r="L569" s="916"/>
    </row>
    <row r="570" spans="1:12" s="103" customFormat="1" ht="15.75" hidden="1" customHeight="1" outlineLevel="1">
      <c r="A570" s="916"/>
      <c r="B570" s="1124"/>
      <c r="C570" s="1128"/>
      <c r="D570" s="1126"/>
      <c r="E570" s="1126"/>
      <c r="F570" s="1132"/>
      <c r="G570" s="100"/>
      <c r="H570" s="98"/>
      <c r="I570" s="1126"/>
      <c r="J570" s="1135"/>
      <c r="K570" s="1135"/>
      <c r="L570" s="916"/>
    </row>
    <row r="571" spans="1:12" s="103" customFormat="1" ht="15.75" hidden="1" customHeight="1" outlineLevel="1">
      <c r="A571" s="916"/>
      <c r="B571" s="1123">
        <v>187</v>
      </c>
      <c r="C571" s="1127"/>
      <c r="D571" s="1125"/>
      <c r="E571" s="1125" t="s">
        <v>18</v>
      </c>
      <c r="F571" s="1130" t="str">
        <f>VLOOKUP(E571,$N$13:$O$17,2,0)</f>
        <v>-</v>
      </c>
      <c r="G571" s="92"/>
      <c r="H571" s="90"/>
      <c r="I571" s="1125"/>
      <c r="J571" s="1133"/>
      <c r="K571" s="1133"/>
      <c r="L571" s="916"/>
    </row>
    <row r="572" spans="1:12" s="103" customFormat="1" ht="15.75" hidden="1" customHeight="1" outlineLevel="1">
      <c r="A572" s="916"/>
      <c r="B572" s="1123"/>
      <c r="C572" s="1127"/>
      <c r="D572" s="1125"/>
      <c r="E572" s="1125"/>
      <c r="F572" s="1130"/>
      <c r="G572" s="95"/>
      <c r="H572" s="90"/>
      <c r="I572" s="1125"/>
      <c r="J572" s="1134"/>
      <c r="K572" s="1134"/>
      <c r="L572" s="916"/>
    </row>
    <row r="573" spans="1:12" s="103" customFormat="1" ht="15.75" hidden="1" customHeight="1" outlineLevel="1">
      <c r="A573" s="916"/>
      <c r="B573" s="1124"/>
      <c r="C573" s="1128"/>
      <c r="D573" s="1126"/>
      <c r="E573" s="1126"/>
      <c r="F573" s="1132"/>
      <c r="G573" s="100"/>
      <c r="H573" s="98"/>
      <c r="I573" s="1126"/>
      <c r="J573" s="1135"/>
      <c r="K573" s="1135"/>
      <c r="L573" s="916"/>
    </row>
    <row r="574" spans="1:12" s="103" customFormat="1" ht="15.75" hidden="1" customHeight="1" outlineLevel="1">
      <c r="A574" s="916"/>
      <c r="B574" s="1123">
        <v>188</v>
      </c>
      <c r="C574" s="1127"/>
      <c r="D574" s="1125"/>
      <c r="E574" s="1125" t="s">
        <v>18</v>
      </c>
      <c r="F574" s="1130" t="str">
        <f>VLOOKUP(E574,$N$13:$O$17,2,0)</f>
        <v>-</v>
      </c>
      <c r="G574" s="92"/>
      <c r="H574" s="90"/>
      <c r="I574" s="1125"/>
      <c r="J574" s="1133"/>
      <c r="K574" s="1133"/>
      <c r="L574" s="916"/>
    </row>
    <row r="575" spans="1:12" s="103" customFormat="1" ht="15.75" hidden="1" customHeight="1" outlineLevel="1">
      <c r="A575" s="916"/>
      <c r="B575" s="1123"/>
      <c r="C575" s="1127"/>
      <c r="D575" s="1125"/>
      <c r="E575" s="1125"/>
      <c r="F575" s="1130"/>
      <c r="G575" s="95"/>
      <c r="H575" s="90"/>
      <c r="I575" s="1125"/>
      <c r="J575" s="1134"/>
      <c r="K575" s="1134"/>
      <c r="L575" s="916"/>
    </row>
    <row r="576" spans="1:12" s="103" customFormat="1" ht="15.75" hidden="1" customHeight="1" outlineLevel="1">
      <c r="A576" s="916"/>
      <c r="B576" s="1124"/>
      <c r="C576" s="1128"/>
      <c r="D576" s="1126"/>
      <c r="E576" s="1126"/>
      <c r="F576" s="1132"/>
      <c r="G576" s="100"/>
      <c r="H576" s="98"/>
      <c r="I576" s="1126"/>
      <c r="J576" s="1135"/>
      <c r="K576" s="1135"/>
      <c r="L576" s="916"/>
    </row>
    <row r="577" spans="1:12" s="103" customFormat="1" ht="15.75" hidden="1" customHeight="1" outlineLevel="1">
      <c r="A577" s="916"/>
      <c r="B577" s="1123">
        <v>189</v>
      </c>
      <c r="C577" s="1127"/>
      <c r="D577" s="1125"/>
      <c r="E577" s="1125" t="s">
        <v>18</v>
      </c>
      <c r="F577" s="1130" t="str">
        <f>VLOOKUP(E577,$N$13:$O$17,2,0)</f>
        <v>-</v>
      </c>
      <c r="G577" s="92"/>
      <c r="H577" s="90"/>
      <c r="I577" s="1125"/>
      <c r="J577" s="1133"/>
      <c r="K577" s="1133"/>
      <c r="L577" s="916"/>
    </row>
    <row r="578" spans="1:12" s="103" customFormat="1" ht="15.75" hidden="1" customHeight="1" outlineLevel="1">
      <c r="A578" s="916"/>
      <c r="B578" s="1123"/>
      <c r="C578" s="1127"/>
      <c r="D578" s="1125"/>
      <c r="E578" s="1125"/>
      <c r="F578" s="1130"/>
      <c r="G578" s="95"/>
      <c r="H578" s="90"/>
      <c r="I578" s="1125"/>
      <c r="J578" s="1134"/>
      <c r="K578" s="1134"/>
      <c r="L578" s="916"/>
    </row>
    <row r="579" spans="1:12" s="103" customFormat="1" ht="15.75" hidden="1" customHeight="1" outlineLevel="1">
      <c r="A579" s="916"/>
      <c r="B579" s="1124"/>
      <c r="C579" s="1128"/>
      <c r="D579" s="1126"/>
      <c r="E579" s="1126"/>
      <c r="F579" s="1132"/>
      <c r="G579" s="100"/>
      <c r="H579" s="98"/>
      <c r="I579" s="1126"/>
      <c r="J579" s="1135"/>
      <c r="K579" s="1135"/>
      <c r="L579" s="916"/>
    </row>
    <row r="580" spans="1:12" s="103" customFormat="1" ht="15.75" hidden="1" customHeight="1" outlineLevel="1">
      <c r="A580" s="916"/>
      <c r="B580" s="1123">
        <v>190</v>
      </c>
      <c r="C580" s="1127"/>
      <c r="D580" s="1125"/>
      <c r="E580" s="1125" t="s">
        <v>18</v>
      </c>
      <c r="F580" s="1130" t="str">
        <f>VLOOKUP(E580,$N$13:$O$17,2,0)</f>
        <v>-</v>
      </c>
      <c r="G580" s="92"/>
      <c r="H580" s="90"/>
      <c r="I580" s="1125"/>
      <c r="J580" s="1133"/>
      <c r="K580" s="1133"/>
      <c r="L580" s="916"/>
    </row>
    <row r="581" spans="1:12" s="103" customFormat="1" ht="15.75" hidden="1" customHeight="1" outlineLevel="1">
      <c r="A581" s="916"/>
      <c r="B581" s="1123"/>
      <c r="C581" s="1127"/>
      <c r="D581" s="1125"/>
      <c r="E581" s="1125"/>
      <c r="F581" s="1130"/>
      <c r="G581" s="95"/>
      <c r="H581" s="90"/>
      <c r="I581" s="1125"/>
      <c r="J581" s="1134"/>
      <c r="K581" s="1134"/>
      <c r="L581" s="916"/>
    </row>
    <row r="582" spans="1:12" s="103" customFormat="1" ht="15.75" hidden="1" customHeight="1" outlineLevel="1">
      <c r="A582" s="916"/>
      <c r="B582" s="1124"/>
      <c r="C582" s="1128"/>
      <c r="D582" s="1126"/>
      <c r="E582" s="1126"/>
      <c r="F582" s="1132"/>
      <c r="G582" s="100"/>
      <c r="H582" s="98"/>
      <c r="I582" s="1126"/>
      <c r="J582" s="1135"/>
      <c r="K582" s="1135"/>
      <c r="L582" s="916"/>
    </row>
    <row r="583" spans="1:12" s="103" customFormat="1" ht="15.75" hidden="1" customHeight="1" outlineLevel="1">
      <c r="A583" s="916"/>
      <c r="B583" s="1123">
        <v>191</v>
      </c>
      <c r="C583" s="1127"/>
      <c r="D583" s="1125"/>
      <c r="E583" s="1125" t="s">
        <v>18</v>
      </c>
      <c r="F583" s="1130" t="str">
        <f>VLOOKUP(E583,$N$13:$O$17,2,0)</f>
        <v>-</v>
      </c>
      <c r="G583" s="92"/>
      <c r="H583" s="90"/>
      <c r="I583" s="1125"/>
      <c r="J583" s="1133"/>
      <c r="K583" s="1133"/>
      <c r="L583" s="916"/>
    </row>
    <row r="584" spans="1:12" s="103" customFormat="1" ht="15.75" hidden="1" customHeight="1" outlineLevel="1">
      <c r="A584" s="916"/>
      <c r="B584" s="1123"/>
      <c r="C584" s="1127"/>
      <c r="D584" s="1125"/>
      <c r="E584" s="1125"/>
      <c r="F584" s="1130"/>
      <c r="G584" s="95"/>
      <c r="H584" s="90"/>
      <c r="I584" s="1125"/>
      <c r="J584" s="1134"/>
      <c r="K584" s="1134"/>
      <c r="L584" s="916"/>
    </row>
    <row r="585" spans="1:12" s="103" customFormat="1" ht="15.75" hidden="1" customHeight="1" outlineLevel="1">
      <c r="A585" s="916"/>
      <c r="B585" s="1124"/>
      <c r="C585" s="1128"/>
      <c r="D585" s="1126"/>
      <c r="E585" s="1126"/>
      <c r="F585" s="1132"/>
      <c r="G585" s="100"/>
      <c r="H585" s="98"/>
      <c r="I585" s="1126"/>
      <c r="J585" s="1135"/>
      <c r="K585" s="1135"/>
      <c r="L585" s="916"/>
    </row>
    <row r="586" spans="1:12" s="103" customFormat="1" ht="15.75" hidden="1" customHeight="1" outlineLevel="1">
      <c r="A586" s="916"/>
      <c r="B586" s="1123">
        <v>192</v>
      </c>
      <c r="C586" s="1127"/>
      <c r="D586" s="1125"/>
      <c r="E586" s="1125" t="s">
        <v>18</v>
      </c>
      <c r="F586" s="1130" t="str">
        <f>VLOOKUP(E586,$N$13:$O$17,2,0)</f>
        <v>-</v>
      </c>
      <c r="G586" s="92"/>
      <c r="H586" s="90"/>
      <c r="I586" s="1125"/>
      <c r="J586" s="1133"/>
      <c r="K586" s="1133"/>
      <c r="L586" s="916"/>
    </row>
    <row r="587" spans="1:12" s="103" customFormat="1" ht="15.75" hidden="1" customHeight="1" outlineLevel="1">
      <c r="A587" s="916"/>
      <c r="B587" s="1123"/>
      <c r="C587" s="1127"/>
      <c r="D587" s="1125"/>
      <c r="E587" s="1125"/>
      <c r="F587" s="1130"/>
      <c r="G587" s="95"/>
      <c r="H587" s="90"/>
      <c r="I587" s="1125"/>
      <c r="J587" s="1134"/>
      <c r="K587" s="1134"/>
      <c r="L587" s="916"/>
    </row>
    <row r="588" spans="1:12" s="103" customFormat="1" ht="15.75" hidden="1" customHeight="1" outlineLevel="1">
      <c r="A588" s="916"/>
      <c r="B588" s="1124"/>
      <c r="C588" s="1128"/>
      <c r="D588" s="1126"/>
      <c r="E588" s="1126"/>
      <c r="F588" s="1132"/>
      <c r="G588" s="100"/>
      <c r="H588" s="98"/>
      <c r="I588" s="1126"/>
      <c r="J588" s="1135"/>
      <c r="K588" s="1135"/>
      <c r="L588" s="916"/>
    </row>
    <row r="589" spans="1:12" s="103" customFormat="1" ht="15.75" hidden="1" customHeight="1" outlineLevel="1">
      <c r="A589" s="916"/>
      <c r="B589" s="1123">
        <v>193</v>
      </c>
      <c r="C589" s="1127"/>
      <c r="D589" s="1125"/>
      <c r="E589" s="1125" t="s">
        <v>18</v>
      </c>
      <c r="F589" s="1130" t="str">
        <f>VLOOKUP(E589,$N$13:$O$17,2,0)</f>
        <v>-</v>
      </c>
      <c r="G589" s="92"/>
      <c r="H589" s="90"/>
      <c r="I589" s="1125"/>
      <c r="J589" s="1133"/>
      <c r="K589" s="1133"/>
      <c r="L589" s="916"/>
    </row>
    <row r="590" spans="1:12" s="103" customFormat="1" ht="15.75" hidden="1" customHeight="1" outlineLevel="1">
      <c r="A590" s="916"/>
      <c r="B590" s="1123"/>
      <c r="C590" s="1127"/>
      <c r="D590" s="1125"/>
      <c r="E590" s="1125"/>
      <c r="F590" s="1130"/>
      <c r="G590" s="95"/>
      <c r="H590" s="90"/>
      <c r="I590" s="1125"/>
      <c r="J590" s="1134"/>
      <c r="K590" s="1134"/>
      <c r="L590" s="916"/>
    </row>
    <row r="591" spans="1:12" s="103" customFormat="1" ht="15.75" hidden="1" customHeight="1" outlineLevel="1">
      <c r="A591" s="916"/>
      <c r="B591" s="1124"/>
      <c r="C591" s="1128"/>
      <c r="D591" s="1126"/>
      <c r="E591" s="1126"/>
      <c r="F591" s="1132"/>
      <c r="G591" s="100"/>
      <c r="H591" s="98"/>
      <c r="I591" s="1126"/>
      <c r="J591" s="1135"/>
      <c r="K591" s="1135"/>
      <c r="L591" s="916"/>
    </row>
    <row r="592" spans="1:12" s="103" customFormat="1" ht="15.75" hidden="1" customHeight="1" outlineLevel="1">
      <c r="A592" s="916"/>
      <c r="B592" s="1123">
        <v>194</v>
      </c>
      <c r="C592" s="1127"/>
      <c r="D592" s="1125"/>
      <c r="E592" s="1125" t="s">
        <v>18</v>
      </c>
      <c r="F592" s="1130" t="str">
        <f>VLOOKUP(E592,$N$13:$O$17,2,0)</f>
        <v>-</v>
      </c>
      <c r="G592" s="92"/>
      <c r="H592" s="90"/>
      <c r="I592" s="1125"/>
      <c r="J592" s="1133"/>
      <c r="K592" s="1133"/>
      <c r="L592" s="916"/>
    </row>
    <row r="593" spans="1:12" s="103" customFormat="1" ht="15.75" hidden="1" customHeight="1" outlineLevel="1">
      <c r="A593" s="916"/>
      <c r="B593" s="1123"/>
      <c r="C593" s="1127"/>
      <c r="D593" s="1125"/>
      <c r="E593" s="1125"/>
      <c r="F593" s="1130"/>
      <c r="G593" s="95"/>
      <c r="H593" s="90"/>
      <c r="I593" s="1125"/>
      <c r="J593" s="1134"/>
      <c r="K593" s="1134"/>
      <c r="L593" s="916"/>
    </row>
    <row r="594" spans="1:12" s="103" customFormat="1" ht="15.75" hidden="1" customHeight="1" outlineLevel="1">
      <c r="A594" s="916"/>
      <c r="B594" s="1124"/>
      <c r="C594" s="1128"/>
      <c r="D594" s="1126"/>
      <c r="E594" s="1126"/>
      <c r="F594" s="1132"/>
      <c r="G594" s="100"/>
      <c r="H594" s="98"/>
      <c r="I594" s="1126"/>
      <c r="J594" s="1135"/>
      <c r="K594" s="1135"/>
      <c r="L594" s="916"/>
    </row>
    <row r="595" spans="1:12" s="103" customFormat="1" ht="15.75" hidden="1" customHeight="1" outlineLevel="1">
      <c r="A595" s="916"/>
      <c r="B595" s="1123">
        <v>195</v>
      </c>
      <c r="C595" s="1127"/>
      <c r="D595" s="1125"/>
      <c r="E595" s="1125" t="s">
        <v>18</v>
      </c>
      <c r="F595" s="1130" t="str">
        <f>VLOOKUP(E595,$N$13:$O$17,2,0)</f>
        <v>-</v>
      </c>
      <c r="G595" s="92"/>
      <c r="H595" s="90"/>
      <c r="I595" s="1125"/>
      <c r="J595" s="1133"/>
      <c r="K595" s="1133"/>
      <c r="L595" s="916"/>
    </row>
    <row r="596" spans="1:12" s="103" customFormat="1" ht="15.75" hidden="1" customHeight="1" outlineLevel="1">
      <c r="A596" s="916"/>
      <c r="B596" s="1123"/>
      <c r="C596" s="1127"/>
      <c r="D596" s="1125"/>
      <c r="E596" s="1125"/>
      <c r="F596" s="1130"/>
      <c r="G596" s="95"/>
      <c r="H596" s="90"/>
      <c r="I596" s="1125"/>
      <c r="J596" s="1134"/>
      <c r="K596" s="1134"/>
      <c r="L596" s="916"/>
    </row>
    <row r="597" spans="1:12" s="103" customFormat="1" ht="15.75" hidden="1" customHeight="1" outlineLevel="1">
      <c r="A597" s="916"/>
      <c r="B597" s="1124"/>
      <c r="C597" s="1128"/>
      <c r="D597" s="1126"/>
      <c r="E597" s="1126"/>
      <c r="F597" s="1132"/>
      <c r="G597" s="100"/>
      <c r="H597" s="98"/>
      <c r="I597" s="1126"/>
      <c r="J597" s="1135"/>
      <c r="K597" s="1135"/>
      <c r="L597" s="916"/>
    </row>
    <row r="598" spans="1:12" s="103" customFormat="1" ht="15.75" hidden="1" customHeight="1" outlineLevel="1">
      <c r="A598" s="916"/>
      <c r="B598" s="1123">
        <v>196</v>
      </c>
      <c r="C598" s="1127"/>
      <c r="D598" s="1125"/>
      <c r="E598" s="1125" t="s">
        <v>18</v>
      </c>
      <c r="F598" s="1130" t="str">
        <f>VLOOKUP(E598,$N$13:$O$17,2,0)</f>
        <v>-</v>
      </c>
      <c r="G598" s="92"/>
      <c r="H598" s="90"/>
      <c r="I598" s="1125"/>
      <c r="J598" s="1133"/>
      <c r="K598" s="1133"/>
      <c r="L598" s="916"/>
    </row>
    <row r="599" spans="1:12" s="103" customFormat="1" ht="15.75" hidden="1" customHeight="1" outlineLevel="1">
      <c r="A599" s="916"/>
      <c r="B599" s="1123"/>
      <c r="C599" s="1127"/>
      <c r="D599" s="1125"/>
      <c r="E599" s="1125"/>
      <c r="F599" s="1130"/>
      <c r="G599" s="95"/>
      <c r="H599" s="90"/>
      <c r="I599" s="1125"/>
      <c r="J599" s="1134"/>
      <c r="K599" s="1134"/>
      <c r="L599" s="916"/>
    </row>
    <row r="600" spans="1:12" s="103" customFormat="1" ht="15.75" hidden="1" customHeight="1" outlineLevel="1">
      <c r="A600" s="916"/>
      <c r="B600" s="1124"/>
      <c r="C600" s="1128"/>
      <c r="D600" s="1126"/>
      <c r="E600" s="1126"/>
      <c r="F600" s="1132"/>
      <c r="G600" s="100"/>
      <c r="H600" s="98"/>
      <c r="I600" s="1126"/>
      <c r="J600" s="1135"/>
      <c r="K600" s="1135"/>
      <c r="L600" s="916"/>
    </row>
    <row r="601" spans="1:12" s="103" customFormat="1" ht="15.75" hidden="1" customHeight="1" outlineLevel="1">
      <c r="A601" s="916"/>
      <c r="B601" s="1123">
        <v>197</v>
      </c>
      <c r="C601" s="1127"/>
      <c r="D601" s="1125"/>
      <c r="E601" s="1125" t="s">
        <v>18</v>
      </c>
      <c r="F601" s="1130" t="str">
        <f>VLOOKUP(E601,$N$13:$O$17,2,0)</f>
        <v>-</v>
      </c>
      <c r="G601" s="92"/>
      <c r="H601" s="90"/>
      <c r="I601" s="1125"/>
      <c r="J601" s="1133"/>
      <c r="K601" s="1133"/>
      <c r="L601" s="916"/>
    </row>
    <row r="602" spans="1:12" s="103" customFormat="1" ht="15.75" hidden="1" customHeight="1" outlineLevel="1">
      <c r="A602" s="916"/>
      <c r="B602" s="1123"/>
      <c r="C602" s="1127"/>
      <c r="D602" s="1125"/>
      <c r="E602" s="1125"/>
      <c r="F602" s="1130"/>
      <c r="G602" s="95"/>
      <c r="H602" s="90"/>
      <c r="I602" s="1125"/>
      <c r="J602" s="1134"/>
      <c r="K602" s="1134"/>
      <c r="L602" s="916"/>
    </row>
    <row r="603" spans="1:12" s="103" customFormat="1" ht="15.75" hidden="1" customHeight="1" outlineLevel="1">
      <c r="A603" s="916"/>
      <c r="B603" s="1124"/>
      <c r="C603" s="1128"/>
      <c r="D603" s="1126"/>
      <c r="E603" s="1126"/>
      <c r="F603" s="1132"/>
      <c r="G603" s="100"/>
      <c r="H603" s="98"/>
      <c r="I603" s="1126"/>
      <c r="J603" s="1135"/>
      <c r="K603" s="1135"/>
      <c r="L603" s="916"/>
    </row>
    <row r="604" spans="1:12" s="103" customFormat="1" ht="15.75" hidden="1" customHeight="1" outlineLevel="1">
      <c r="A604" s="916"/>
      <c r="B604" s="1123">
        <v>198</v>
      </c>
      <c r="C604" s="1127"/>
      <c r="D604" s="1125"/>
      <c r="E604" s="1125" t="s">
        <v>18</v>
      </c>
      <c r="F604" s="1130" t="str">
        <f>VLOOKUP(E604,$N$13:$O$17,2,0)</f>
        <v>-</v>
      </c>
      <c r="G604" s="92"/>
      <c r="H604" s="90"/>
      <c r="I604" s="1125"/>
      <c r="J604" s="1133"/>
      <c r="K604" s="1133"/>
      <c r="L604" s="916"/>
    </row>
    <row r="605" spans="1:12" s="103" customFormat="1" ht="15.75" hidden="1" customHeight="1" outlineLevel="1">
      <c r="A605" s="916"/>
      <c r="B605" s="1123"/>
      <c r="C605" s="1127"/>
      <c r="D605" s="1125"/>
      <c r="E605" s="1125"/>
      <c r="F605" s="1130"/>
      <c r="G605" s="95"/>
      <c r="H605" s="90"/>
      <c r="I605" s="1125"/>
      <c r="J605" s="1134"/>
      <c r="K605" s="1134"/>
      <c r="L605" s="916"/>
    </row>
    <row r="606" spans="1:12" s="103" customFormat="1" ht="15.75" hidden="1" customHeight="1" outlineLevel="1">
      <c r="A606" s="916"/>
      <c r="B606" s="1124"/>
      <c r="C606" s="1128"/>
      <c r="D606" s="1126"/>
      <c r="E606" s="1126"/>
      <c r="F606" s="1132"/>
      <c r="G606" s="100"/>
      <c r="H606" s="98"/>
      <c r="I606" s="1126"/>
      <c r="J606" s="1135"/>
      <c r="K606" s="1135"/>
      <c r="L606" s="916"/>
    </row>
    <row r="607" spans="1:12" s="103" customFormat="1" ht="15.75" hidden="1" customHeight="1" outlineLevel="1">
      <c r="A607" s="916"/>
      <c r="B607" s="1123">
        <v>199</v>
      </c>
      <c r="C607" s="1127"/>
      <c r="D607" s="1125"/>
      <c r="E607" s="1125" t="s">
        <v>18</v>
      </c>
      <c r="F607" s="1130" t="str">
        <f>VLOOKUP(E607,$N$13:$O$17,2,0)</f>
        <v>-</v>
      </c>
      <c r="G607" s="92"/>
      <c r="H607" s="90"/>
      <c r="I607" s="1125"/>
      <c r="J607" s="1133"/>
      <c r="K607" s="1133"/>
      <c r="L607" s="916"/>
    </row>
    <row r="608" spans="1:12" s="103" customFormat="1" ht="15.75" hidden="1" customHeight="1" outlineLevel="1">
      <c r="A608" s="916"/>
      <c r="B608" s="1123"/>
      <c r="C608" s="1127"/>
      <c r="D608" s="1125"/>
      <c r="E608" s="1125"/>
      <c r="F608" s="1130"/>
      <c r="G608" s="95"/>
      <c r="H608" s="90"/>
      <c r="I608" s="1125"/>
      <c r="J608" s="1134"/>
      <c r="K608" s="1134"/>
      <c r="L608" s="916"/>
    </row>
    <row r="609" spans="1:12" s="103" customFormat="1" ht="15.75" hidden="1" customHeight="1" outlineLevel="1">
      <c r="A609" s="916"/>
      <c r="B609" s="1124"/>
      <c r="C609" s="1128"/>
      <c r="D609" s="1126"/>
      <c r="E609" s="1126"/>
      <c r="F609" s="1132"/>
      <c r="G609" s="100"/>
      <c r="H609" s="98"/>
      <c r="I609" s="1126"/>
      <c r="J609" s="1135"/>
      <c r="K609" s="1135"/>
      <c r="L609" s="916"/>
    </row>
    <row r="610" spans="1:12" s="103" customFormat="1" ht="15.75" hidden="1" customHeight="1" outlineLevel="1">
      <c r="A610" s="916"/>
      <c r="B610" s="1123">
        <v>200</v>
      </c>
      <c r="C610" s="1149" t="e">
        <f>CONCATENATE("Inne ",IF(#REF!=0,0,ROUND(#REF!/#REF!*100,1))," %")</f>
        <v>#REF!</v>
      </c>
      <c r="D610" s="1125"/>
      <c r="E610" s="1125" t="s">
        <v>18</v>
      </c>
      <c r="F610" s="1130" t="str">
        <f>VLOOKUP(E610,$N$13:$O$17,2,0)</f>
        <v>-</v>
      </c>
      <c r="G610" s="92"/>
      <c r="H610" s="90"/>
      <c r="I610" s="1125"/>
      <c r="J610" s="1133"/>
      <c r="K610" s="1133"/>
      <c r="L610" s="916"/>
    </row>
    <row r="611" spans="1:12" s="103" customFormat="1" ht="15.75" hidden="1" customHeight="1" outlineLevel="1">
      <c r="A611" s="916"/>
      <c r="B611" s="1123"/>
      <c r="C611" s="1150"/>
      <c r="D611" s="1125"/>
      <c r="E611" s="1125"/>
      <c r="F611" s="1130"/>
      <c r="G611" s="95"/>
      <c r="H611" s="90"/>
      <c r="I611" s="1125"/>
      <c r="J611" s="1134"/>
      <c r="K611" s="1134"/>
      <c r="L611" s="916"/>
    </row>
    <row r="612" spans="1:12" s="103" customFormat="1" ht="15.75" hidden="1" customHeight="1" outlineLevel="1" thickBot="1">
      <c r="A612" s="916"/>
      <c r="B612" s="1124"/>
      <c r="C612" s="1151"/>
      <c r="D612" s="1126"/>
      <c r="E612" s="1126"/>
      <c r="F612" s="1132"/>
      <c r="G612" s="100"/>
      <c r="H612" s="98"/>
      <c r="I612" s="1126"/>
      <c r="J612" s="1135"/>
      <c r="K612" s="1135"/>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45"/>
      <c r="G621" s="1146"/>
      <c r="H621" s="1146"/>
      <c r="I621" s="1146"/>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s>
  <phoneticPr fontId="2" type="noConversion"/>
  <dataValidations count="1">
    <dataValidation type="list" allowBlank="1" showInputMessage="1" showErrorMessage="1" sqref="E13:E612" xr:uid="{00000000-0002-0000-1200-000000000000}">
      <formula1>$N$13:$N$17</formula1>
    </dataValidation>
  </dataValidations>
  <hyperlinks>
    <hyperlink ref="C1" location="Spis!B42" display="&gt;&gt; powrót do spisu treści" xr:uid="{00000000-0004-0000-12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
    <pageSetUpPr fitToPage="1"/>
  </sheetPr>
  <dimension ref="A1:N91"/>
  <sheetViews>
    <sheetView topLeftCell="A13" zoomScale="90" zoomScaleNormal="90" workbookViewId="0">
      <selection activeCell="B38" sqref="B38"/>
    </sheetView>
  </sheetViews>
  <sheetFormatPr defaultColWidth="8.88671875" defaultRowHeight="14.25"/>
  <cols>
    <col min="1" max="1" width="3.77734375" style="195" customWidth="1"/>
    <col min="2" max="2" width="111.77734375" style="195" customWidth="1"/>
    <col min="3" max="3" width="10.77734375" style="195" customWidth="1"/>
    <col min="4" max="16384" width="8.88671875" style="195"/>
  </cols>
  <sheetData>
    <row r="1" spans="1:14" ht="16.5" thickBot="1">
      <c r="A1" s="194"/>
      <c r="B1" s="833"/>
    </row>
    <row r="2" spans="1:14" ht="20.100000000000001" customHeight="1" thickTop="1">
      <c r="A2" s="804" t="str">
        <f>'Tab.G1.1-4'!$B$8</f>
        <v>LP</v>
      </c>
      <c r="B2" s="801" t="s">
        <v>0</v>
      </c>
      <c r="C2" s="196"/>
      <c r="D2" s="196"/>
      <c r="E2" s="196"/>
      <c r="F2" s="196"/>
      <c r="G2" s="196"/>
      <c r="H2" s="196"/>
      <c r="I2" s="196"/>
      <c r="J2" s="196"/>
      <c r="K2" s="196"/>
      <c r="L2" s="196"/>
      <c r="M2" s="196"/>
      <c r="N2" s="196"/>
    </row>
    <row r="3" spans="1:14" ht="20.100000000000001" customHeight="1">
      <c r="A3" s="802">
        <v>1</v>
      </c>
      <c r="B3" s="832" t="str">
        <f>'Tab.G1.1-4'!$B$7</f>
        <v>Tabela G1.1. Wykonane nakłady inwestycyjne w zakresie dystrybucji paliw gazowych</v>
      </c>
      <c r="C3" s="34"/>
    </row>
    <row r="4" spans="1:14" ht="20.100000000000001" customHeight="1">
      <c r="A4" s="802">
        <v>2</v>
      </c>
      <c r="B4" s="832" t="str">
        <f>'Tab.G1.1-4'!$B$33</f>
        <v>Tabela G1.2. Struktura wykonanych nakładów inwestycyjnych w zakresie dystrybucji paliw gazowych</v>
      </c>
      <c r="C4" s="34"/>
    </row>
    <row r="5" spans="1:14" ht="20.100000000000001" customHeight="1">
      <c r="A5" s="802">
        <v>3</v>
      </c>
      <c r="B5" s="832" t="str">
        <f>'Tab.G1.1-4'!$B$59</f>
        <v>Tabela G1.3. Nakłady w rozbiciu na poszczególne rodzaje paliw gazowych</v>
      </c>
      <c r="C5" s="34"/>
    </row>
    <row r="6" spans="1:14" ht="20.100000000000001" customHeight="1">
      <c r="A6" s="802">
        <v>4</v>
      </c>
      <c r="B6" s="832" t="str">
        <f>'Tab.G1.1-4'!B71</f>
        <v>Tabela G1.4. Poniesione nakłady inwestycyjne na Program, o którym mowa w ustawie o elektromobilności</v>
      </c>
      <c r="C6" s="34"/>
    </row>
    <row r="7" spans="1:14" ht="20.100000000000001" customHeight="1">
      <c r="A7" s="802">
        <v>5</v>
      </c>
      <c r="B7" s="832" t="str">
        <f>'Tab.G2.1-3'!$B$6</f>
        <v>Tabela G2.1. Poniesione nakłady na przyłączenia nowych odbiorców (sieci i przyłącza)</v>
      </c>
      <c r="C7" s="34"/>
    </row>
    <row r="8" spans="1:14" ht="20.100000000000001" customHeight="1">
      <c r="A8" s="802">
        <v>6</v>
      </c>
      <c r="B8" s="832" t="str">
        <f>'Tab.G2.1-3'!$B$68</f>
        <v>Tabela G2.2. Zakres rzeczowy wykonanych nakładów na przyłączenia nowych odbiorców (sieci i przyłącza)</v>
      </c>
      <c r="C8" s="34"/>
    </row>
    <row r="9" spans="1:14" ht="20.100000000000001" customHeight="1">
      <c r="A9" s="802">
        <v>7</v>
      </c>
      <c r="B9" s="832" t="str">
        <f>'Tab.G2.1-3'!$B$130</f>
        <v>Tabela G2.3. Jednostkowe nakłady na przyłączenia nowych odbiorców (sieci i przyłącza)</v>
      </c>
      <c r="C9" s="34"/>
    </row>
    <row r="10" spans="1:14" ht="20.100000000000001" customHeight="1">
      <c r="A10" s="802">
        <v>8</v>
      </c>
      <c r="B10" s="832" t="str">
        <f>'Tab.G2.1E-6E'!$B$8</f>
        <v>Tabela G2.1E. Poniesione nakłady na przyłączenia nowych stacji CNG (sieci i przyłącza)</v>
      </c>
      <c r="C10" s="34"/>
    </row>
    <row r="11" spans="1:14" ht="20.100000000000001" customHeight="1">
      <c r="A11" s="802">
        <v>9</v>
      </c>
      <c r="B11" s="832" t="str">
        <f>'Tab.G2.1E-6E'!$B$70</f>
        <v>Tabela G2.2E. Zakres rzeczowy wykonanych nakładów na przyłączenia nowych stacji CNG (sieci i przyłącza)</v>
      </c>
      <c r="C11" s="34"/>
    </row>
    <row r="12" spans="1:14" ht="20.100000000000001" customHeight="1">
      <c r="A12" s="802">
        <v>10</v>
      </c>
      <c r="B12" s="832" t="str">
        <f>'Tab.G2.1E-6E'!$B$132</f>
        <v>Tabela G2.3E. Jednostkowe nakłady na przyłączenia nowych stacji CNG (sieci i przyłącza)</v>
      </c>
      <c r="C12" s="34"/>
    </row>
    <row r="13" spans="1:14" ht="20.100000000000001" customHeight="1">
      <c r="A13" s="802">
        <v>11</v>
      </c>
      <c r="B13" s="832" t="str">
        <f>'Tab.G2.1E-6E'!$B$194</f>
        <v>Tabela G2.4E. Poniesione nakłady na budowę nowych stacji CNG i LCNG (infrastruktura wewnętrzna stacji)</v>
      </c>
      <c r="C13" s="34"/>
    </row>
    <row r="14" spans="1:14" ht="20.100000000000001" customHeight="1">
      <c r="A14" s="802">
        <v>12</v>
      </c>
      <c r="B14" s="832" t="str">
        <f>'Tab.G2.1E-6E'!$B$209</f>
        <v>Tabela G2.5E. Liczba zbudowanych nowych stacji CNG i LCNG oraz punktów tankowania</v>
      </c>
      <c r="C14" s="34"/>
    </row>
    <row r="15" spans="1:14" ht="20.100000000000001" customHeight="1">
      <c r="A15" s="802">
        <v>13</v>
      </c>
      <c r="B15" s="832" t="str">
        <f>'Tab.G2.1E-6E'!$B$224</f>
        <v>Tabela G2.6E. Jednostkowe nakłady na budowę nowych stacji CNG i LCNG (infrastruktura wewnętrzna stacji)</v>
      </c>
      <c r="C15" s="34"/>
    </row>
    <row r="16" spans="1:14" ht="20.100000000000001" customHeight="1">
      <c r="A16" s="802">
        <v>14</v>
      </c>
      <c r="B16" s="832" t="str">
        <f>'Tab.G3.1-5'!$B$10</f>
        <v>Tabela G3.1. Nakłady na przyłączenia nowych odbiorców w rozbiciu na grupy przyłączeniowe</v>
      </c>
      <c r="C16" s="34"/>
    </row>
    <row r="17" spans="1:3" ht="20.100000000000001" customHeight="1">
      <c r="A17" s="802">
        <v>15</v>
      </c>
      <c r="B17" s="832" t="str">
        <f>'Tab.G3.1-5'!$B$21</f>
        <v>Tabela G3.2. Nakłady na przyłącza dla nowych odbiorców w rozbiciu na grupy przyłączeniowe</v>
      </c>
      <c r="C17" s="34"/>
    </row>
    <row r="18" spans="1:3" ht="20.100000000000001" customHeight="1">
      <c r="A18" s="802">
        <v>16</v>
      </c>
      <c r="B18" s="832" t="str">
        <f>'Tab.G3.1-5'!$B$32</f>
        <v>Tabela G3.3. Zakres rzeczowy nowych przyłączy zrealizowanych w danym roku</v>
      </c>
      <c r="C18" s="34"/>
    </row>
    <row r="19" spans="1:3" ht="20.100000000000001" customHeight="1">
      <c r="A19" s="802">
        <v>17</v>
      </c>
      <c r="B19" s="832" t="str">
        <f>'Tab.G3.1-5'!$B$61</f>
        <v>Tabela G3.4. Jednostkowe nakłady na przyłączenia w rozbiciu na grupy przyłączeniowe</v>
      </c>
      <c r="C19" s="34"/>
    </row>
    <row r="20" spans="1:3" ht="20.100000000000001" customHeight="1">
      <c r="A20" s="802">
        <v>18</v>
      </c>
      <c r="B20" s="832" t="str">
        <f>'Tab.G3.1-5'!$B$87</f>
        <v>Tabela G3.5. Jednostkowe nakłady na przyłącza w rozbiciu na grupy przyłączeniowe</v>
      </c>
      <c r="C20" s="34"/>
    </row>
    <row r="21" spans="1:3" ht="20.100000000000001" customHeight="1">
      <c r="A21" s="802">
        <v>19</v>
      </c>
      <c r="B21" s="832" t="str">
        <f>'Tab.G3.1E-5E'!$B$10</f>
        <v>Tabela G3.1E. Nakłady na przyłączenia nowych stacji CNG w rozbiciu na grupy przyłączeniowe</v>
      </c>
      <c r="C21" s="34"/>
    </row>
    <row r="22" spans="1:3" ht="20.100000000000001" customHeight="1">
      <c r="A22" s="802">
        <v>20</v>
      </c>
      <c r="B22" s="832" t="str">
        <f>'Tab.G3.1E-5E'!$B$21</f>
        <v>Tabela G3.2E. Nakłady na przyłącza dla nowych stacji CNG w rozbiciu na grupy przyłączeniowe</v>
      </c>
      <c r="C22" s="34"/>
    </row>
    <row r="23" spans="1:3" ht="20.100000000000001" customHeight="1">
      <c r="A23" s="802">
        <v>21</v>
      </c>
      <c r="B23" s="832" t="str">
        <f>'Tab.G3.1E-5E'!$B$32</f>
        <v>Tabela G3.3E. Zakres rzeczowy nowych przyłączy dla stacji CNG zrealizowanych w danym roku</v>
      </c>
      <c r="C23" s="34"/>
    </row>
    <row r="24" spans="1:3" ht="20.100000000000001" customHeight="1">
      <c r="A24" s="802">
        <v>22</v>
      </c>
      <c r="B24" s="832" t="str">
        <f>'Tab.G3.1E-5E'!$B$61</f>
        <v>Tabela G3.4E. Jednostkowe nakłady na przyłączenia nowych stacji CNG w rozbiciu na grupy przyłączeniowe</v>
      </c>
      <c r="C24" s="34"/>
    </row>
    <row r="25" spans="1:3" ht="20.100000000000001" customHeight="1">
      <c r="A25" s="802">
        <v>23</v>
      </c>
      <c r="B25" s="832" t="str">
        <f>'Tab.G3.1E-5E'!$B$87</f>
        <v>Tabela G3.5E. Jednostkowe nakłady na przyłącza nowych stacji CNG w rozbiciu na grupy przyłączeniowe</v>
      </c>
      <c r="C25" s="34"/>
    </row>
    <row r="26" spans="1:3" ht="20.100000000000001" customHeight="1">
      <c r="A26" s="802">
        <v>24</v>
      </c>
      <c r="B26" s="832" t="str">
        <f>'Tab.G4.1-3'!$B$5</f>
        <v>Tabela G4.1. Nakłady na przyłączenia nowych źródeł</v>
      </c>
      <c r="C26" s="34"/>
    </row>
    <row r="27" spans="1:3" ht="20.100000000000001" customHeight="1">
      <c r="A27" s="802">
        <v>25</v>
      </c>
      <c r="B27" s="832" t="str">
        <f>'Tab.G4.1-3'!$B$14</f>
        <v>Tabela G4.2. Zakres rzeczowy nowych przyłączeń źródeł</v>
      </c>
      <c r="C27" s="34"/>
    </row>
    <row r="28" spans="1:3" ht="20.100000000000001" customHeight="1">
      <c r="A28" s="802">
        <v>26</v>
      </c>
      <c r="B28" s="832" t="str">
        <f>'Tab.G4.1-3'!$B$29</f>
        <v>Tabela G4.3. Jednostkowe nakłady na przyłączenia nowych źródeł</v>
      </c>
      <c r="C28" s="34"/>
    </row>
    <row r="29" spans="1:3" ht="20.100000000000001" customHeight="1">
      <c r="A29" s="802">
        <v>27</v>
      </c>
      <c r="B29" s="832" t="str">
        <f>'Tab.G5.1-3'!$B$6</f>
        <v>Tabela G5.1. Nakłady na wymianę/modernizację majątku sieciowego</v>
      </c>
      <c r="C29" s="34"/>
    </row>
    <row r="30" spans="1:3" ht="20.100000000000001" customHeight="1">
      <c r="A30" s="802">
        <v>28</v>
      </c>
      <c r="B30" s="832" t="str">
        <f>'Tab.G5.1-3'!$B$69</f>
        <v>Tabela G5.2. Zakres rzeczowy wykonanych nakładów na wymianę/modernizację majątku sieciowego</v>
      </c>
      <c r="C30" s="34"/>
    </row>
    <row r="31" spans="1:3" ht="20.100000000000001" customHeight="1">
      <c r="A31" s="802">
        <v>29</v>
      </c>
      <c r="B31" s="832" t="str">
        <f>'Tab.G5.1-3'!$B$132</f>
        <v>Tabela G5.3. Jednostkowe nakłady na wymianę/modernizację majątku sieciowego</v>
      </c>
      <c r="C31" s="34"/>
    </row>
    <row r="32" spans="1:3" ht="20.100000000000001" customHeight="1">
      <c r="A32" s="802">
        <v>30</v>
      </c>
      <c r="B32" s="832" t="str">
        <f>'Tab.G5.1E-3E'!$B$7</f>
        <v>Tabela G5.1E. Nakłady na wymianę/modernizację majątku sieciowego związaną z przyłączeniem nowych stacji CNG</v>
      </c>
      <c r="C32" s="34"/>
    </row>
    <row r="33" spans="1:3" ht="20.100000000000001" customHeight="1">
      <c r="A33" s="802">
        <v>31</v>
      </c>
      <c r="B33" s="832" t="str">
        <f>'Tab.G5.1E-3E'!$B$70</f>
        <v>Tabela G5.2E. Zakres rzeczowy wykonanych nakładów na wymianę/modernizację majątku sieciowego związaną z przyłączeniem nowych stacji CNG.</v>
      </c>
      <c r="C33" s="34"/>
    </row>
    <row r="34" spans="1:3" ht="20.100000000000001" customHeight="1">
      <c r="A34" s="802">
        <v>32</v>
      </c>
      <c r="B34" s="832" t="str">
        <f>'Tab.G5.1E-3E'!B133</f>
        <v>Tabela G5.3E. Jednostkowe nakłady na wymianę/modernizację majątku sieciowego związaną z przyłączeniem nowych stacji CNG</v>
      </c>
      <c r="C34" s="34"/>
    </row>
    <row r="35" spans="1:3" ht="20.100000000000001" customHeight="1">
      <c r="A35" s="802">
        <v>33</v>
      </c>
      <c r="B35" s="832" t="str">
        <f>Tab.G6!$B$8</f>
        <v>Tabela G6. Budowa sieci na terenach niezgazyfikowanych (ekspansja na nowe tereny - sieci i przyłącza)</v>
      </c>
      <c r="C35" s="34"/>
    </row>
    <row r="36" spans="1:3" ht="20.100000000000001" customHeight="1">
      <c r="A36" s="802">
        <v>34</v>
      </c>
      <c r="B36" s="1019" t="str">
        <f>'Tab.G6.1-3'!$B$6</f>
        <v>Tabela G6.1. Poniesione nakłady budowy sieci na terenach niezgazyfikowanych (ekspansja na nowe tereny - sieci i przyłącza)</v>
      </c>
      <c r="C36" s="34"/>
    </row>
    <row r="37" spans="1:3" ht="20.100000000000001" customHeight="1">
      <c r="A37" s="802">
        <v>35</v>
      </c>
      <c r="B37" s="1019" t="str">
        <f>'Tab.G6.1-3'!$B$68</f>
        <v>Tabela G6.2. Zakres rzeczowy wykonanych nakładów budowy sieci na terenach niezgazyfikowanych (ekspansja na nowe tereny - sieci i przyłącza)</v>
      </c>
      <c r="C37" s="34"/>
    </row>
    <row r="38" spans="1:3" ht="20.100000000000001" customHeight="1">
      <c r="A38" s="802">
        <v>36</v>
      </c>
      <c r="B38" s="1019" t="str">
        <f>'Tab.G6.1-3'!$B$130</f>
        <v>Tabela G6.3. Jednostkowe nakłady budowy sieci na terenach niezgazyfikowanych (ekspansja na nowe tereny - sieci i przyłącza)</v>
      </c>
      <c r="C38" s="34"/>
    </row>
    <row r="39" spans="1:3" ht="20.100000000000001" customHeight="1">
      <c r="A39" s="802">
        <v>37</v>
      </c>
      <c r="B39" s="832" t="str">
        <f>Tab.G7!$B$7</f>
        <v>Tabela G7. Nakłady inwestycyjne pozostałe - łączność (nie związane z nowymi stacjami CNG i LCNG)</v>
      </c>
      <c r="C39" s="34"/>
    </row>
    <row r="40" spans="1:3" ht="20.100000000000001" customHeight="1">
      <c r="A40" s="802">
        <v>38</v>
      </c>
      <c r="B40" s="832" t="str">
        <f>Tab.G7E!$B$7</f>
        <v>Tabela G7E. Nakłady inwestycyjne pozostałe - łączność (związane z nowymi stacjami CNG i LCNG)</v>
      </c>
      <c r="C40" s="34"/>
    </row>
    <row r="41" spans="1:3" ht="20.100000000000001" customHeight="1">
      <c r="A41" s="802">
        <v>39</v>
      </c>
      <c r="B41" s="832" t="str">
        <f>Tab.G8!$B$7</f>
        <v>Tabela G8. Nakłady inwestycyjne pozostałe - pomiary (nie związane z nowymi stacjami CNG i LCNG)</v>
      </c>
      <c r="C41" s="34"/>
    </row>
    <row r="42" spans="1:3" ht="20.100000000000001" customHeight="1">
      <c r="A42" s="802">
        <v>40</v>
      </c>
      <c r="B42" s="832" t="str">
        <f>Tab.G8E!$B$7</f>
        <v>Tabela G8E. Nakłady inwestycyjne pozostałe - pomiary (związane z nowymi stacjami CNG i LCNG)</v>
      </c>
      <c r="C42" s="34"/>
    </row>
    <row r="43" spans="1:3" ht="20.100000000000001" customHeight="1">
      <c r="A43" s="802">
        <v>41</v>
      </c>
      <c r="B43" s="832" t="str">
        <f>Tab.G9!$B$7</f>
        <v>Tabela G9. Nakłady inwestycyjne pozostałe - informatyka (nie związane z nowymi stacjami CNG i LCNG)</v>
      </c>
      <c r="C43" s="34"/>
    </row>
    <row r="44" spans="1:3" ht="20.100000000000001" customHeight="1">
      <c r="A44" s="802">
        <v>42</v>
      </c>
      <c r="B44" s="832" t="str">
        <f>Tab.G9E!$B$7</f>
        <v>Tabela G9E. Nakłady inwestycyjne pozostałe - informatyka (związane z nowymi stacjami CNG i LCNG)</v>
      </c>
      <c r="C44" s="34"/>
    </row>
    <row r="45" spans="1:3" ht="20.100000000000001" customHeight="1">
      <c r="A45" s="802">
        <v>43</v>
      </c>
      <c r="B45" s="832" t="str">
        <f>Tab.G10!$B$7</f>
        <v>Tabela G10. Nakłady inwestycyjne pozostałe - budynki i budowle (nie związane z nowymi stacjami CNG i LCNG)</v>
      </c>
      <c r="C45" s="34"/>
    </row>
    <row r="46" spans="1:3" ht="20.100000000000001" customHeight="1">
      <c r="A46" s="802">
        <v>44</v>
      </c>
      <c r="B46" s="832" t="str">
        <f>Tab.G10E!$B$7</f>
        <v>Tabela G10E. Nakłady inwestycyjne pozostałe - budynki i budowle (związane z nowymi stacjami CNG i LCNG)</v>
      </c>
      <c r="C46" s="34"/>
    </row>
    <row r="47" spans="1:3" ht="20.100000000000001" customHeight="1">
      <c r="A47" s="802">
        <v>45</v>
      </c>
      <c r="B47" s="832" t="str">
        <f>Tab.G11!$B$7</f>
        <v>Tabela G11. Nakłady inwestycyjne pozostałe - przygotowanie inwestycji (nie związane z nowymi stacjami CNG i LCNG)</v>
      </c>
      <c r="C47" s="34"/>
    </row>
    <row r="48" spans="1:3" ht="20.100000000000001" customHeight="1">
      <c r="A48" s="802">
        <v>46</v>
      </c>
      <c r="B48" s="832" t="str">
        <f>Tab.G11E!$B$7</f>
        <v>Tabela G11E. Nakłady inwestycyjne pozostałe - przygotowanie inwestycji (związane z nowymi stacjami CNG i LCNG)</v>
      </c>
      <c r="C48" s="34"/>
    </row>
    <row r="49" spans="1:3" ht="20.100000000000001" customHeight="1">
      <c r="A49" s="802">
        <v>47</v>
      </c>
      <c r="B49" s="832" t="str">
        <f>Tab.G12!$B$7</f>
        <v>Tabela G12. Nakłady inwestycyjne pozostałe - zakup środków transportu</v>
      </c>
      <c r="C49" s="34"/>
    </row>
    <row r="50" spans="1:3" ht="20.100000000000001" customHeight="1">
      <c r="A50" s="802">
        <v>48</v>
      </c>
      <c r="B50" s="832" t="str">
        <f>Tab.G13!$B$7</f>
        <v>Tabela G13. Nakłady inwestycyjne pozostałe - inne (nie związane z nowymi stacjami CNG i LCNG)</v>
      </c>
      <c r="C50" s="34"/>
    </row>
    <row r="51" spans="1:3" ht="20.100000000000001" customHeight="1">
      <c r="A51" s="802">
        <v>49</v>
      </c>
      <c r="B51" s="832" t="str">
        <f>Tab.G13E!$B$7</f>
        <v>Tabela G13E. Nakłady inwestycyjne pozostałe - inne (związane z nowymi stacjami CNG i LCNG)</v>
      </c>
      <c r="C51" s="34"/>
    </row>
    <row r="52" spans="1:3" ht="20.100000000000001" customHeight="1">
      <c r="A52" s="802">
        <v>50</v>
      </c>
      <c r="B52" s="832" t="str">
        <f>Tab.G14!$B$7</f>
        <v>Tabela G14. Lista projektów inwestycyjnych związana z przyłączeniami nowych odbiorców ujętymi w Tab. G2.1</v>
      </c>
      <c r="C52" s="34"/>
    </row>
    <row r="53" spans="1:3" ht="20.100000000000001" customHeight="1">
      <c r="A53" s="802">
        <v>51</v>
      </c>
      <c r="B53" s="832" t="str">
        <f>Tab.G14E!$B$7</f>
        <v>Tabela G14E. Lista projektów inwestycyjnych związana z budową stacji CNG i LCNG ujęta w Tab. G2.1E i G2.4E</v>
      </c>
      <c r="C53" s="34"/>
    </row>
    <row r="54" spans="1:3" ht="20.100000000000001" customHeight="1">
      <c r="A54" s="802">
        <v>52</v>
      </c>
      <c r="B54" s="830" t="str">
        <f>Tab.G15!$B$7</f>
        <v>Tabela G15. Lista projektów inwestycyjnych związana z przyłączeniami nowych źródeł ujętymi w Tab. G4.1</v>
      </c>
      <c r="C54" s="34"/>
    </row>
    <row r="55" spans="1:3" ht="20.100000000000001" customHeight="1">
      <c r="A55" s="802">
        <v>53</v>
      </c>
      <c r="B55" s="938" t="str">
        <f>Tab.G16!$B$7</f>
        <v>Tabela G16. Lista projektów inwestycyjnych dotycząca modernizacji i odtworzenia majątku (nie związana z przyłączeniem nowych stacji CNG)</v>
      </c>
    </row>
    <row r="56" spans="1:3" ht="20.100000000000001" customHeight="1">
      <c r="A56" s="802">
        <v>54</v>
      </c>
      <c r="B56" s="938" t="str">
        <f>Tab.G16E!$B$7</f>
        <v>Tabela G16E. Lista projektów inwestycyjnych dotycząca modernizacji i odtworzenia majątku związana z przyłączeniem nowych stacji CNG</v>
      </c>
    </row>
    <row r="57" spans="1:3" ht="20.100000000000001" customHeight="1">
      <c r="A57" s="802">
        <v>55</v>
      </c>
      <c r="B57" s="938" t="str">
        <f>Tab.G17!$B$6</f>
        <v>Tabela G17. Wiek majątku oraz potrzeba jego odtworzenia i modernizacji (wszystkie paliwa gazowe łącznie)</v>
      </c>
    </row>
    <row r="58" spans="1:3" ht="20.100000000000001" customHeight="1">
      <c r="A58" s="802">
        <v>56</v>
      </c>
      <c r="B58" s="938" t="str">
        <f>Tab.G18!$B$5</f>
        <v>Tabela G18. Charakterystyka majątku</v>
      </c>
    </row>
    <row r="59" spans="1:3" ht="20.100000000000001" customHeight="1">
      <c r="A59" s="802">
        <v>57</v>
      </c>
      <c r="B59" s="938" t="str">
        <f>'Tab.G19.1-2'!$B$4</f>
        <v>Tabela G19.1. Uszkodzenia sieci gazowych w roku sprawozdawczym</v>
      </c>
    </row>
    <row r="60" spans="1:3" ht="20.100000000000001" customHeight="1">
      <c r="A60" s="802">
        <v>58</v>
      </c>
      <c r="B60" s="938" t="str">
        <f>'Tab.G19.1-2'!$B$42</f>
        <v>Tabela G19.2. Przyczyny awarii w roku sprawozdawczym</v>
      </c>
    </row>
    <row r="61" spans="1:3" ht="20.100000000000001" customHeight="1">
      <c r="A61" s="802">
        <v>59</v>
      </c>
      <c r="B61" s="938" t="str">
        <f>Tab.G20!$B$5</f>
        <v>Tabela G20. Przerwy w dystrybucji paliw gazowych w roku sprawozdawczym 2023</v>
      </c>
    </row>
    <row r="62" spans="1:3" ht="20.100000000000001" customHeight="1">
      <c r="A62" s="802">
        <v>60</v>
      </c>
      <c r="B62" s="938" t="str">
        <f>Tab.G21!$B$6</f>
        <v>Tabela G21. Dane marketingowe</v>
      </c>
    </row>
    <row r="63" spans="1:3" ht="20.100000000000001" customHeight="1" thickBot="1">
      <c r="A63" s="803">
        <v>61</v>
      </c>
      <c r="B63" s="831"/>
    </row>
    <row r="64" spans="1:3" ht="15" thickTop="1">
      <c r="A64" s="197"/>
      <c r="B64" s="32"/>
    </row>
    <row r="65" spans="1:2">
      <c r="A65" s="197"/>
      <c r="B65" s="32"/>
    </row>
    <row r="66" spans="1:2">
      <c r="A66" s="197"/>
      <c r="B66" s="32"/>
    </row>
    <row r="67" spans="1:2">
      <c r="A67" s="197"/>
      <c r="B67" s="32"/>
    </row>
    <row r="68" spans="1:2">
      <c r="A68" s="197"/>
      <c r="B68" s="32"/>
    </row>
    <row r="69" spans="1:2">
      <c r="A69" s="197"/>
      <c r="B69" s="32"/>
    </row>
    <row r="70" spans="1:2">
      <c r="A70" s="197"/>
      <c r="B70" s="32"/>
    </row>
    <row r="71" spans="1:2">
      <c r="A71" s="197"/>
      <c r="B71" s="32"/>
    </row>
    <row r="72" spans="1:2">
      <c r="A72" s="197"/>
      <c r="B72" s="32"/>
    </row>
    <row r="91" spans="6:6">
      <c r="F91" s="195">
        <f>IF(F$59=0,0,F65/F$59)</f>
        <v>0</v>
      </c>
    </row>
  </sheetData>
  <phoneticPr fontId="0" type="noConversion"/>
  <hyperlinks>
    <hyperlink ref="B31" location="'Tab.G5.1-3'!A133:A193" display="'Tab.G5.1-3'!A133:A193" xr:uid="{00000000-0004-0000-0100-000000000000}"/>
    <hyperlink ref="B35" location="Tab.G6!A8" display="Tab.G6!A8" xr:uid="{00000000-0004-0000-0100-000001000000}"/>
    <hyperlink ref="B39" location="Tab.G7!A7" display="Tab.G7!A7" xr:uid="{00000000-0004-0000-0100-000002000000}"/>
    <hyperlink ref="B43" location="Tab.G9!A7" display="Tab.G9!A7" xr:uid="{00000000-0004-0000-0100-000003000000}"/>
    <hyperlink ref="B45" location="Tab.G10!A7" display="Tab.G10!A7" xr:uid="{00000000-0004-0000-0100-000004000000}"/>
    <hyperlink ref="B47" location="Tab.G11!A7" display="Tab.G11!A7" xr:uid="{00000000-0004-0000-0100-000005000000}"/>
    <hyperlink ref="B50" location="Tab.G13!A7" display="Tab.G13!A7" xr:uid="{00000000-0004-0000-0100-000006000000}"/>
    <hyperlink ref="B52" location="Tab.G14!A7" display="Tab.G14!A7" xr:uid="{00000000-0004-0000-0100-000007000000}"/>
    <hyperlink ref="B54" location="Tab.G15!A1" display="Tab.G15!A1" xr:uid="{00000000-0004-0000-0100-000008000000}"/>
    <hyperlink ref="B49" location="Tab.G12!A7" display="Tab.G12!A7" xr:uid="{00000000-0004-0000-0100-000009000000}"/>
    <hyperlink ref="B17" location="'Tab.G3.1-5'!A22:A30" display="'Tab.G3.1-5'!A22:A30" xr:uid="{00000000-0004-0000-0100-00000A000000}"/>
    <hyperlink ref="B19" location="'Tab.G3.1-5'!A62:A85" display="'Tab.G3.1-5'!A62:A85" xr:uid="{00000000-0004-0000-0100-00000B000000}"/>
    <hyperlink ref="B26" location="'Tab.G4.1-3'!A6:A12" display="'Tab.G4.1-3'!A6:A12" xr:uid="{00000000-0004-0000-0100-00000C000000}"/>
    <hyperlink ref="B4" location="'Tab.G1.1-4'!A33:A56" display="'Tab.G1.1-4'!A33:A56" xr:uid="{00000000-0004-0000-0100-00000D000000}"/>
    <hyperlink ref="B41" location="Tab.G8!A7" display="Tab.G8!A7" xr:uid="{00000000-0004-0000-0100-00000E000000}"/>
    <hyperlink ref="B28" location="'Tab.G4.1-3'!A30:A42" display="'Tab.G4.1-3'!A30:A42" xr:uid="{00000000-0004-0000-0100-00000F000000}"/>
    <hyperlink ref="B29" location="'Tab.G5.1-3'!A7:A67" display="'Tab.G5.1-3'!A7:A67" xr:uid="{00000000-0004-0000-0100-000010000000}"/>
    <hyperlink ref="B30" location="'Tab.G5.1-3'!A70:A130" display="'Tab.G5.1-3'!A70:A130" xr:uid="{00000000-0004-0000-0100-000011000000}"/>
    <hyperlink ref="B55" location="Tab.G16!A7" display="Tab.G16!A7" xr:uid="{00000000-0004-0000-0100-000012000000}"/>
    <hyperlink ref="B57" location="Tab.G17!A6" display="Tab.G17!A6" xr:uid="{00000000-0004-0000-0100-000013000000}"/>
    <hyperlink ref="B58" location="Tab.G18!A5" display="Tab.G18!A5" xr:uid="{00000000-0004-0000-0100-000014000000}"/>
    <hyperlink ref="B18" location="'Tab.G3.1-5'!A33:A60" display="'Tab.G3.1-5'!A33:A60" xr:uid="{00000000-0004-0000-0100-000015000000}"/>
    <hyperlink ref="B20" location="'Tab.G3.1-5'!A88:A111" display="'Tab.G3.1-5'!A88:A111" xr:uid="{00000000-0004-0000-0100-000016000000}"/>
    <hyperlink ref="B27" location="'Tab.G4.1-3'!A15:A27" display="'Tab.G4.1-3'!A15:A27" xr:uid="{00000000-0004-0000-0100-000017000000}"/>
    <hyperlink ref="B59" location="'Tab.G19.1-2'!A4:A39" display="'Tab.G19.1-2'!A4:A39" xr:uid="{00000000-0004-0000-0100-000018000000}"/>
    <hyperlink ref="B60" location="'Tab.G19.1-2'!A42:A52" display="'Tab.G19.1-2'!A42:A52" xr:uid="{00000000-0004-0000-0100-000019000000}"/>
    <hyperlink ref="B61" location="Tab.G20!A5" display="Tab.G20!A5" xr:uid="{00000000-0004-0000-0100-00001A000000}"/>
    <hyperlink ref="B62" location="Tab.G21!A6" display="Tab.G21!A6" xr:uid="{00000000-0004-0000-0100-00001B000000}"/>
    <hyperlink ref="B5" location="'Tab.G1.1-4'!A59:A68" display="'Tab.G1.1-4'!A59:A68" xr:uid="{00000000-0004-0000-0100-00001C000000}"/>
    <hyperlink ref="B7" location="'Tab.G2.1-3'!A7:A66" display="'Tab.G2.1-3'!A7:A66" xr:uid="{00000000-0004-0000-0100-00001D000000}"/>
    <hyperlink ref="B8" location="'Tab.G2.1-3'!A69:A128" display="'Tab.G2.1-3'!A69:A128" xr:uid="{00000000-0004-0000-0100-00001E000000}"/>
    <hyperlink ref="B9" location="'Tab.G2.1-3'!A131:A190" display="'Tab.G2.1-3'!A131:A190" xr:uid="{00000000-0004-0000-0100-00001F000000}"/>
    <hyperlink ref="B16" location="'Tab.G3.1-5'!A11:A19" display="'Tab.G3.1-5'!A11:A19" xr:uid="{00000000-0004-0000-0100-000020000000}"/>
    <hyperlink ref="B3" location="'Tab.G1.1-4'!A7:A30" display="'Tab.G1.1-4'!A7:A30" xr:uid="{00000000-0004-0000-0100-000021000000}"/>
    <hyperlink ref="B6" location="'Tab.G1.1-4'!A71:A80" display="'Tab.G1.1-4'!A71:A80" xr:uid="{00000000-0004-0000-0100-000022000000}"/>
    <hyperlink ref="B10" location="'Tab.G2.1E-6E'!A9:A68" display="'Tab.G2.1E-6E'!A9:A68" xr:uid="{00000000-0004-0000-0100-000023000000}"/>
    <hyperlink ref="B11" location="'Tab.G2.1E-6E'!A71:A130" display="'Tab.G2.1E-6E'!A71:A130" xr:uid="{00000000-0004-0000-0100-000024000000}"/>
    <hyperlink ref="B12" location="'Tab.G2.1E-6E'!A133:A192" display="'Tab.G2.1E-6E'!A133:A192" xr:uid="{00000000-0004-0000-0100-000025000000}"/>
    <hyperlink ref="B13" location="'Tab.G2.1E-6E'!A195:A207" display="'Tab.G2.1E-6E'!A195:A207" xr:uid="{00000000-0004-0000-0100-000026000000}"/>
    <hyperlink ref="B14" location="'Tab.G2.1E-6E'!A210:A222" display="'Tab.G2.1E-6E'!A210:A222" xr:uid="{00000000-0004-0000-0100-000027000000}"/>
    <hyperlink ref="B15" location="'Tab.G2.1E-6E'!A225:A237" display="'Tab.G2.1E-6E'!A225:A237" xr:uid="{00000000-0004-0000-0100-000028000000}"/>
    <hyperlink ref="B21" location="'Tab.G3.1E-5E'!A11:A19" display="'Tab.G3.1E-5E'!A11:A19" xr:uid="{00000000-0004-0000-0100-000029000000}"/>
    <hyperlink ref="B22" location="'Tab.G3.1E-5E'!A22:A30" display="'Tab.G3.1E-5E'!A22:A30" xr:uid="{00000000-0004-0000-0100-00002A000000}"/>
    <hyperlink ref="B23" location="'Tab.G3.1E-5E'!A33:A60" display="'Tab.G3.1E-5E'!A33:A60" xr:uid="{00000000-0004-0000-0100-00002B000000}"/>
    <hyperlink ref="B24" location="'Tab.G3.1E-5E'!A62:A85" display="'Tab.G3.1E-5E'!A62:A85" xr:uid="{00000000-0004-0000-0100-00002C000000}"/>
    <hyperlink ref="B25" location="'Tab.G3.1E-5E'!A88:A111" display="'Tab.G3.1E-5E'!A88:A111" xr:uid="{00000000-0004-0000-0100-00002D000000}"/>
    <hyperlink ref="B32" location="'Tab.G5.1E-3E'!A7:A67" display="'Tab.G5.1E-3E'!A7:A67" xr:uid="{00000000-0004-0000-0100-00002E000000}"/>
    <hyperlink ref="B33" location="'Tab.G5.1E-3E'!A70:A130" display="'Tab.G5.1E-3E'!A70:A130" xr:uid="{00000000-0004-0000-0100-00002F000000}"/>
    <hyperlink ref="B34" location="'Tab.G5.1E-3E'!A133:A193" display="'Tab.G5.1E-3E'!A133:A193" xr:uid="{00000000-0004-0000-0100-000030000000}"/>
    <hyperlink ref="B40" location="Tab.G7E!A7" display="Tab.G7E!A7" xr:uid="{00000000-0004-0000-0100-000031000000}"/>
    <hyperlink ref="B42" location="Tab.G8E!A7" display="Tab.G8E!A7" xr:uid="{00000000-0004-0000-0100-000032000000}"/>
    <hyperlink ref="B44" location="Tab.G9E!A7" display="Tab.G9E!A7" xr:uid="{00000000-0004-0000-0100-000033000000}"/>
    <hyperlink ref="B46" location="Tab.G10E!A7" display="Tab.G10E!A7" xr:uid="{00000000-0004-0000-0100-000034000000}"/>
    <hyperlink ref="B48" location="Tab.G11E!A7" display="Tab.G11E!A7" xr:uid="{00000000-0004-0000-0100-000035000000}"/>
    <hyperlink ref="B51" location="Tab.G13E!A7" display="Tab.G13E!A7" xr:uid="{00000000-0004-0000-0100-000036000000}"/>
    <hyperlink ref="B53" location="Tab.G14E!A7" display="Tab.G14E!A7" xr:uid="{00000000-0004-0000-0100-000037000000}"/>
    <hyperlink ref="B56" location="Tab.G16E!A7" display="Tab.G16E!A7" xr:uid="{00000000-0004-0000-0100-000038000000}"/>
    <hyperlink ref="B36" location="'Tab.G6.1-3'!A6" display="'Tab.G6.1-3'!A6" xr:uid="{00000000-0004-0000-0100-000039000000}"/>
    <hyperlink ref="B37" location="'Tab.G6.1-3'!A68" display="'Tab.G6.1-3'!A68" xr:uid="{00000000-0004-0000-0100-00003A000000}"/>
    <hyperlink ref="B38" location="'Tab.G6.1-3'!A130" display="'Tab.G6.1-3'!A130" xr:uid="{00000000-0004-0000-0100-00003B000000}"/>
  </hyperlinks>
  <pageMargins left="0.74803149606299213" right="0.74803149606299213" top="0.98425196850393704" bottom="0.98425196850393704" header="0.51181102362204722" footer="0.51181102362204722"/>
  <pageSetup paperSize="9" scale="74" fitToHeight="0" orientation="portrait" r:id="rId1"/>
  <headerFooter alignWithMargins="0">
    <oddFooter>&amp;LModuł planu inwestycyjnego&amp;C&amp;P/&amp;N&amp;R&amp;A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19">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1" width="10.77734375" style="78" customWidth="1"/>
    <col min="22"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47" t="s">
        <v>19</v>
      </c>
      <c r="D3" s="1147"/>
      <c r="E3" s="1147"/>
      <c r="F3" s="1147"/>
      <c r="G3" s="1147"/>
      <c r="H3" s="1148"/>
      <c r="I3" s="903"/>
      <c r="J3" s="880"/>
      <c r="K3" s="880"/>
      <c r="L3" s="880"/>
    </row>
    <row r="4" spans="1:19" ht="15" customHeight="1">
      <c r="A4" s="898"/>
      <c r="B4" s="915" t="s">
        <v>27</v>
      </c>
      <c r="C4" s="1147" t="s">
        <v>177</v>
      </c>
      <c r="D4" s="1147"/>
      <c r="E4" s="1147"/>
      <c r="F4" s="1147"/>
      <c r="G4" s="1147"/>
      <c r="H4" s="1148"/>
      <c r="I4" s="903"/>
      <c r="J4" s="880"/>
      <c r="K4" s="880"/>
      <c r="L4" s="880"/>
    </row>
    <row r="5" spans="1:19" ht="15" customHeight="1">
      <c r="A5" s="880"/>
      <c r="B5" s="897" t="s">
        <v>28</v>
      </c>
      <c r="C5" s="1116" t="s">
        <v>104</v>
      </c>
      <c r="D5" s="1116"/>
      <c r="E5" s="1116"/>
      <c r="F5" s="1116"/>
      <c r="G5" s="1116"/>
      <c r="H5" s="1148"/>
      <c r="I5" s="903"/>
      <c r="J5" s="880"/>
      <c r="K5" s="880"/>
      <c r="L5" s="880"/>
    </row>
    <row r="6" spans="1:19" ht="50.1" customHeight="1">
      <c r="A6" s="880"/>
      <c r="B6" s="897" t="s">
        <v>35</v>
      </c>
      <c r="C6" s="1155" t="s">
        <v>175</v>
      </c>
      <c r="D6" s="1061"/>
      <c r="E6" s="1061"/>
      <c r="F6" s="1061"/>
      <c r="G6" s="1061"/>
      <c r="H6" s="1061"/>
      <c r="I6" s="903"/>
      <c r="J6" s="880"/>
      <c r="K6" s="880"/>
      <c r="L6" s="880"/>
    </row>
    <row r="7" spans="1:19" s="79" customFormat="1" ht="30" customHeight="1" thickBot="1">
      <c r="A7" s="907"/>
      <c r="B7" s="908" t="s">
        <v>255</v>
      </c>
      <c r="C7" s="907"/>
      <c r="D7" s="909"/>
      <c r="E7" s="907"/>
      <c r="F7" s="910"/>
      <c r="G7" s="911"/>
      <c r="H7" s="912"/>
      <c r="I7" s="912"/>
      <c r="J7" s="913"/>
      <c r="K7" s="913"/>
      <c r="L7" s="913"/>
      <c r="M7" s="81"/>
    </row>
    <row r="8" spans="1:19"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c r="P8" s="76"/>
      <c r="Q8" s="76"/>
      <c r="R8" s="76"/>
      <c r="S8" s="76"/>
    </row>
    <row r="9" spans="1:19" ht="20.100000000000001" customHeight="1" thickBot="1">
      <c r="A9" s="880"/>
      <c r="B9" s="1152"/>
      <c r="C9" s="1106"/>
      <c r="D9" s="1106"/>
      <c r="E9" s="1106"/>
      <c r="F9" s="1106"/>
      <c r="G9" s="1106"/>
      <c r="H9" s="1106"/>
      <c r="I9" s="1103"/>
      <c r="J9" s="628">
        <f>Rok_ZPR</f>
        <v>2023</v>
      </c>
      <c r="K9" s="1102"/>
      <c r="L9" s="860"/>
      <c r="M9" s="84"/>
      <c r="N9" s="76"/>
      <c r="O9" s="76"/>
      <c r="P9" s="76"/>
      <c r="Q9" s="76"/>
      <c r="R9" s="76"/>
      <c r="S9" s="76"/>
    </row>
    <row r="10" spans="1:19" ht="20.100000000000001" customHeight="1">
      <c r="A10" s="880"/>
      <c r="B10" s="1152"/>
      <c r="C10" s="1106"/>
      <c r="D10" s="1106"/>
      <c r="E10" s="1106"/>
      <c r="F10" s="1106"/>
      <c r="G10" s="1106"/>
      <c r="H10" s="1106"/>
      <c r="I10" s="1104"/>
      <c r="J10" s="628" t="str">
        <f>'Tab.G1.1-4'!$D$11</f>
        <v>[tys. zł]</v>
      </c>
      <c r="K10" s="1102"/>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row>
    <row r="14" spans="1:19" s="82" customFormat="1" ht="12.75" customHeight="1">
      <c r="A14" s="900"/>
      <c r="B14" s="1123"/>
      <c r="C14" s="1153"/>
      <c r="D14" s="1125"/>
      <c r="E14" s="1125"/>
      <c r="F14" s="1130"/>
      <c r="G14" s="95"/>
      <c r="H14" s="1125"/>
      <c r="I14" s="1125"/>
      <c r="J14" s="1134"/>
      <c r="K14" s="1134"/>
      <c r="L14" s="892"/>
      <c r="M14" s="86"/>
      <c r="N14" s="96" t="s">
        <v>22</v>
      </c>
      <c r="O14" s="97" t="s">
        <v>59</v>
      </c>
    </row>
    <row r="15" spans="1:19" s="82" customFormat="1" ht="12.75" customHeight="1">
      <c r="A15" s="900"/>
      <c r="B15" s="1124"/>
      <c r="C15" s="1154"/>
      <c r="D15" s="1126"/>
      <c r="E15" s="1126"/>
      <c r="F15" s="1132"/>
      <c r="G15" s="100"/>
      <c r="H15" s="1126"/>
      <c r="I15" s="1126"/>
      <c r="J15" s="1135"/>
      <c r="K15" s="1135"/>
      <c r="L15" s="892"/>
      <c r="M15" s="86"/>
      <c r="N15" s="96" t="s">
        <v>23</v>
      </c>
      <c r="O15" s="97" t="s">
        <v>24</v>
      </c>
    </row>
    <row r="16" spans="1:19"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row>
    <row r="17" spans="1:15" s="82" customFormat="1" ht="12.75" customHeight="1" thickBot="1">
      <c r="A17" s="900"/>
      <c r="B17" s="1123"/>
      <c r="C17" s="1127"/>
      <c r="D17" s="1125"/>
      <c r="E17" s="1125"/>
      <c r="F17" s="1130"/>
      <c r="G17" s="95"/>
      <c r="H17" s="1125"/>
      <c r="I17" s="1125"/>
      <c r="J17" s="1134"/>
      <c r="K17" s="1134"/>
      <c r="L17" s="892"/>
      <c r="M17" s="86"/>
      <c r="N17" s="101" t="s">
        <v>18</v>
      </c>
      <c r="O17" s="102" t="s">
        <v>18</v>
      </c>
    </row>
    <row r="18" spans="1:15" s="82" customFormat="1" ht="12.75" customHeight="1">
      <c r="A18" s="900"/>
      <c r="B18" s="1124"/>
      <c r="C18" s="1128"/>
      <c r="D18" s="1126"/>
      <c r="E18" s="1126"/>
      <c r="F18" s="1132"/>
      <c r="G18" s="100"/>
      <c r="H18" s="1126"/>
      <c r="I18" s="1126"/>
      <c r="J18" s="1135"/>
      <c r="K18" s="1135"/>
      <c r="L18" s="892"/>
      <c r="M18" s="86"/>
      <c r="N18" s="103"/>
      <c r="O18" s="104"/>
    </row>
    <row r="19" spans="1:15" s="82" customFormat="1" ht="12.75" customHeight="1">
      <c r="A19" s="900"/>
      <c r="B19" s="1123">
        <v>3</v>
      </c>
      <c r="C19" s="1127"/>
      <c r="D19" s="1125"/>
      <c r="E19" s="1125" t="s">
        <v>18</v>
      </c>
      <c r="F19" s="1130" t="str">
        <f>VLOOKUP(E19,$N$13:$O$17,2,0)</f>
        <v>-</v>
      </c>
      <c r="G19" s="92"/>
      <c r="H19" s="1125"/>
      <c r="I19" s="1125"/>
      <c r="J19" s="1133"/>
      <c r="K19" s="1133"/>
      <c r="L19" s="892"/>
      <c r="M19" s="86"/>
      <c r="N19" s="103"/>
      <c r="O19" s="104"/>
    </row>
    <row r="20" spans="1:15" s="82" customFormat="1" ht="12.75" customHeight="1">
      <c r="A20" s="900"/>
      <c r="B20" s="1123"/>
      <c r="C20" s="1127"/>
      <c r="D20" s="1125"/>
      <c r="E20" s="1125"/>
      <c r="F20" s="1130"/>
      <c r="G20" s="95"/>
      <c r="H20" s="1125"/>
      <c r="I20" s="1125"/>
      <c r="J20" s="1134"/>
      <c r="K20" s="1134"/>
      <c r="L20" s="892"/>
      <c r="M20" s="86"/>
      <c r="N20" s="103"/>
      <c r="O20" s="104"/>
    </row>
    <row r="21" spans="1:15" s="82" customFormat="1" ht="12.75" customHeight="1">
      <c r="A21" s="900"/>
      <c r="B21" s="1124"/>
      <c r="C21" s="1128"/>
      <c r="D21" s="1126"/>
      <c r="E21" s="1126"/>
      <c r="F21" s="1132"/>
      <c r="G21" s="100"/>
      <c r="H21" s="1126"/>
      <c r="I21" s="1126"/>
      <c r="J21" s="1135"/>
      <c r="K21" s="1135"/>
      <c r="L21" s="892"/>
      <c r="M21" s="86"/>
      <c r="N21" s="103"/>
      <c r="O21" s="104"/>
    </row>
    <row r="22" spans="1:15" s="82" customFormat="1" ht="12.75" customHeight="1">
      <c r="A22" s="900"/>
      <c r="B22" s="1123">
        <v>4</v>
      </c>
      <c r="C22" s="1127"/>
      <c r="D22" s="1125"/>
      <c r="E22" s="1125" t="s">
        <v>18</v>
      </c>
      <c r="F22" s="1130" t="str">
        <f>VLOOKUP(E22,$N$13:$O$17,2,0)</f>
        <v>-</v>
      </c>
      <c r="G22" s="92"/>
      <c r="H22" s="1125"/>
      <c r="I22" s="1125"/>
      <c r="J22" s="1133"/>
      <c r="K22" s="1133"/>
      <c r="L22" s="892"/>
      <c r="M22" s="86"/>
      <c r="N22" s="103"/>
      <c r="O22" s="104"/>
    </row>
    <row r="23" spans="1:15" s="82" customFormat="1" ht="12.75" customHeight="1">
      <c r="A23" s="900"/>
      <c r="B23" s="1123"/>
      <c r="C23" s="1127"/>
      <c r="D23" s="1125"/>
      <c r="E23" s="1125"/>
      <c r="F23" s="1130"/>
      <c r="G23" s="95"/>
      <c r="H23" s="1125"/>
      <c r="I23" s="1125"/>
      <c r="J23" s="1134"/>
      <c r="K23" s="1134"/>
      <c r="L23" s="892"/>
      <c r="M23" s="86"/>
      <c r="N23" s="103"/>
      <c r="O23" s="104"/>
    </row>
    <row r="24" spans="1:15" s="82" customFormat="1" ht="12.75" customHeight="1">
      <c r="A24" s="900"/>
      <c r="B24" s="1124"/>
      <c r="C24" s="1128"/>
      <c r="D24" s="1126"/>
      <c r="E24" s="1126"/>
      <c r="F24" s="1132"/>
      <c r="G24" s="100"/>
      <c r="H24" s="1126"/>
      <c r="I24" s="1126"/>
      <c r="J24" s="1135"/>
      <c r="K24" s="1135"/>
      <c r="L24" s="892"/>
      <c r="M24" s="86"/>
      <c r="N24" s="103"/>
      <c r="O24" s="104"/>
    </row>
    <row r="25" spans="1:15" s="82" customFormat="1" ht="12.75" customHeight="1">
      <c r="A25" s="900"/>
      <c r="B25" s="1123">
        <v>5</v>
      </c>
      <c r="C25" s="1127"/>
      <c r="D25" s="1125"/>
      <c r="E25" s="1125" t="s">
        <v>18</v>
      </c>
      <c r="F25" s="1130" t="str">
        <f>VLOOKUP(E25,$N$13:$O$17,2,0)</f>
        <v>-</v>
      </c>
      <c r="G25" s="92"/>
      <c r="H25" s="1125"/>
      <c r="I25" s="1125"/>
      <c r="J25" s="1133"/>
      <c r="K25" s="1133"/>
      <c r="L25" s="892"/>
      <c r="M25" s="86"/>
      <c r="N25" s="103"/>
      <c r="O25" s="104"/>
    </row>
    <row r="26" spans="1:15" s="82" customFormat="1" ht="12.75" customHeight="1">
      <c r="A26" s="900"/>
      <c r="B26" s="1123"/>
      <c r="C26" s="1127"/>
      <c r="D26" s="1125"/>
      <c r="E26" s="1125"/>
      <c r="F26" s="1130"/>
      <c r="G26" s="95"/>
      <c r="H26" s="1125"/>
      <c r="I26" s="1125"/>
      <c r="J26" s="1134"/>
      <c r="K26" s="1134"/>
      <c r="L26" s="892"/>
      <c r="M26" s="86"/>
      <c r="N26" s="103"/>
      <c r="O26" s="104"/>
    </row>
    <row r="27" spans="1:15" s="82" customFormat="1" ht="12.75" customHeight="1">
      <c r="A27" s="900"/>
      <c r="B27" s="1124"/>
      <c r="C27" s="1128"/>
      <c r="D27" s="1126"/>
      <c r="E27" s="1126"/>
      <c r="F27" s="1132"/>
      <c r="G27" s="100"/>
      <c r="H27" s="1126"/>
      <c r="I27" s="1126"/>
      <c r="J27" s="1135"/>
      <c r="K27" s="1135"/>
      <c r="L27" s="892"/>
      <c r="M27" s="86"/>
      <c r="N27" s="103"/>
      <c r="O27" s="104"/>
    </row>
    <row r="28" spans="1:15" s="82" customFormat="1" ht="12.75" customHeight="1">
      <c r="A28" s="900"/>
      <c r="B28" s="1123">
        <v>6</v>
      </c>
      <c r="C28" s="1127"/>
      <c r="D28" s="1125"/>
      <c r="E28" s="1125" t="s">
        <v>18</v>
      </c>
      <c r="F28" s="1130" t="str">
        <f>VLOOKUP(E28,$N$13:$O$17,2,0)</f>
        <v>-</v>
      </c>
      <c r="G28" s="92"/>
      <c r="H28" s="1125"/>
      <c r="I28" s="1125"/>
      <c r="J28" s="1133"/>
      <c r="K28" s="1133"/>
      <c r="L28" s="892"/>
      <c r="M28" s="86"/>
      <c r="N28" s="103"/>
      <c r="O28" s="104"/>
    </row>
    <row r="29" spans="1:15" s="82" customFormat="1" ht="12.75" customHeight="1">
      <c r="A29" s="900"/>
      <c r="B29" s="1123"/>
      <c r="C29" s="1127"/>
      <c r="D29" s="1125"/>
      <c r="E29" s="1125"/>
      <c r="F29" s="1130"/>
      <c r="G29" s="95"/>
      <c r="H29" s="1125"/>
      <c r="I29" s="1125"/>
      <c r="J29" s="1134"/>
      <c r="K29" s="1134"/>
      <c r="L29" s="892"/>
      <c r="M29" s="86"/>
      <c r="N29" s="103"/>
      <c r="O29" s="104"/>
    </row>
    <row r="30" spans="1:15" s="82" customFormat="1" ht="12.75" customHeight="1">
      <c r="A30" s="900"/>
      <c r="B30" s="1124"/>
      <c r="C30" s="1128"/>
      <c r="D30" s="1126"/>
      <c r="E30" s="1126"/>
      <c r="F30" s="1132"/>
      <c r="G30" s="100"/>
      <c r="H30" s="1126"/>
      <c r="I30" s="1126"/>
      <c r="J30" s="1135"/>
      <c r="K30" s="1135"/>
      <c r="L30" s="892"/>
      <c r="M30" s="86"/>
      <c r="N30" s="103"/>
      <c r="O30" s="104"/>
    </row>
    <row r="31" spans="1:15" s="82" customFormat="1" ht="12.75" customHeight="1">
      <c r="A31" s="900"/>
      <c r="B31" s="1123">
        <v>7</v>
      </c>
      <c r="C31" s="1127"/>
      <c r="D31" s="1125"/>
      <c r="E31" s="1125" t="s">
        <v>18</v>
      </c>
      <c r="F31" s="1130" t="str">
        <f>VLOOKUP(E31,$N$13:$O$17,2,0)</f>
        <v>-</v>
      </c>
      <c r="G31" s="92"/>
      <c r="H31" s="1125"/>
      <c r="I31" s="1125"/>
      <c r="J31" s="1133"/>
      <c r="K31" s="1133"/>
      <c r="L31" s="892"/>
      <c r="M31" s="86"/>
      <c r="N31" s="103"/>
      <c r="O31" s="104"/>
    </row>
    <row r="32" spans="1:15" s="82" customFormat="1" ht="12.75" customHeight="1">
      <c r="A32" s="900"/>
      <c r="B32" s="1123"/>
      <c r="C32" s="1127"/>
      <c r="D32" s="1125"/>
      <c r="E32" s="1125"/>
      <c r="F32" s="1130"/>
      <c r="G32" s="95"/>
      <c r="H32" s="1125"/>
      <c r="I32" s="1125"/>
      <c r="J32" s="1134"/>
      <c r="K32" s="1134"/>
      <c r="L32" s="892"/>
      <c r="M32" s="86"/>
      <c r="N32" s="103"/>
      <c r="O32" s="104"/>
    </row>
    <row r="33" spans="1:15" s="82" customFormat="1" ht="12.75" customHeight="1">
      <c r="A33" s="900"/>
      <c r="B33" s="1124"/>
      <c r="C33" s="1128"/>
      <c r="D33" s="1126"/>
      <c r="E33" s="1126"/>
      <c r="F33" s="1132"/>
      <c r="G33" s="100"/>
      <c r="H33" s="1126"/>
      <c r="I33" s="1126"/>
      <c r="J33" s="1135"/>
      <c r="K33" s="1135"/>
      <c r="L33" s="892"/>
      <c r="M33" s="86"/>
      <c r="N33" s="103"/>
      <c r="O33" s="104"/>
    </row>
    <row r="34" spans="1:15" s="82" customFormat="1" ht="12.75" customHeight="1">
      <c r="A34" s="900"/>
      <c r="B34" s="1123">
        <v>8</v>
      </c>
      <c r="C34" s="1127"/>
      <c r="D34" s="1125"/>
      <c r="E34" s="1125" t="s">
        <v>18</v>
      </c>
      <c r="F34" s="1130" t="str">
        <f>VLOOKUP(E34,$N$13:$O$17,2,0)</f>
        <v>-</v>
      </c>
      <c r="G34" s="92"/>
      <c r="H34" s="1125"/>
      <c r="I34" s="1125"/>
      <c r="J34" s="1133"/>
      <c r="K34" s="1133"/>
      <c r="L34" s="892"/>
      <c r="M34" s="86"/>
      <c r="N34" s="103"/>
      <c r="O34" s="104"/>
    </row>
    <row r="35" spans="1:15" s="82" customFormat="1" ht="12.75" customHeight="1">
      <c r="A35" s="900"/>
      <c r="B35" s="1123"/>
      <c r="C35" s="1127"/>
      <c r="D35" s="1125"/>
      <c r="E35" s="1125"/>
      <c r="F35" s="1130"/>
      <c r="G35" s="825"/>
      <c r="H35" s="1125"/>
      <c r="I35" s="1125"/>
      <c r="J35" s="1134"/>
      <c r="K35" s="1134"/>
      <c r="L35" s="892"/>
      <c r="M35" s="86"/>
      <c r="N35" s="103"/>
      <c r="O35" s="104"/>
    </row>
    <row r="36" spans="1:15" s="82" customFormat="1" ht="12.75" customHeight="1">
      <c r="A36" s="900"/>
      <c r="B36" s="1124"/>
      <c r="C36" s="1128"/>
      <c r="D36" s="1126"/>
      <c r="E36" s="1126"/>
      <c r="F36" s="1132"/>
      <c r="G36" s="100"/>
      <c r="H36" s="1126"/>
      <c r="I36" s="1126"/>
      <c r="J36" s="1135"/>
      <c r="K36" s="1135"/>
      <c r="L36" s="892"/>
      <c r="M36" s="86"/>
      <c r="N36" s="103"/>
      <c r="O36" s="104"/>
    </row>
    <row r="37" spans="1:15" s="82" customFormat="1" ht="12.75" customHeight="1">
      <c r="A37" s="900"/>
      <c r="B37" s="1123">
        <v>9</v>
      </c>
      <c r="C37" s="1127"/>
      <c r="D37" s="1125"/>
      <c r="E37" s="1125" t="s">
        <v>18</v>
      </c>
      <c r="F37" s="1130" t="str">
        <f>VLOOKUP(E37,$N$13:$O$17,2,0)</f>
        <v>-</v>
      </c>
      <c r="G37" s="92"/>
      <c r="H37" s="1125"/>
      <c r="I37" s="1125"/>
      <c r="J37" s="1133"/>
      <c r="K37" s="1133"/>
      <c r="L37" s="892"/>
      <c r="M37" s="86"/>
      <c r="N37" s="103"/>
      <c r="O37" s="104"/>
    </row>
    <row r="38" spans="1:15" s="82" customFormat="1" ht="12.75" customHeight="1">
      <c r="A38" s="900"/>
      <c r="B38" s="1123"/>
      <c r="C38" s="1127"/>
      <c r="D38" s="1125"/>
      <c r="E38" s="1125"/>
      <c r="F38" s="1130"/>
      <c r="G38" s="95"/>
      <c r="H38" s="1125"/>
      <c r="I38" s="1125"/>
      <c r="J38" s="1134"/>
      <c r="K38" s="1134"/>
      <c r="L38" s="892"/>
      <c r="M38" s="86"/>
      <c r="N38" s="103"/>
      <c r="O38" s="104"/>
    </row>
    <row r="39" spans="1:15" s="82" customFormat="1" ht="12.75" customHeight="1">
      <c r="A39" s="900"/>
      <c r="B39" s="1124"/>
      <c r="C39" s="1128"/>
      <c r="D39" s="1126"/>
      <c r="E39" s="1126"/>
      <c r="F39" s="1132"/>
      <c r="G39" s="100"/>
      <c r="H39" s="1126"/>
      <c r="I39" s="1126"/>
      <c r="J39" s="1135"/>
      <c r="K39" s="1135"/>
      <c r="L39" s="892"/>
      <c r="M39" s="86"/>
      <c r="N39" s="103"/>
      <c r="O39" s="104"/>
    </row>
    <row r="40" spans="1:15" s="82" customFormat="1" ht="12.75" customHeight="1">
      <c r="A40" s="900"/>
      <c r="B40" s="1123">
        <v>10</v>
      </c>
      <c r="C40" s="1127"/>
      <c r="D40" s="1125"/>
      <c r="E40" s="1125" t="s">
        <v>18</v>
      </c>
      <c r="F40" s="1130" t="str">
        <f>VLOOKUP(E40,$N$13:$O$17,2,0)</f>
        <v>-</v>
      </c>
      <c r="G40" s="92"/>
      <c r="H40" s="1125"/>
      <c r="I40" s="1125"/>
      <c r="J40" s="1133"/>
      <c r="K40" s="1133"/>
      <c r="L40" s="892"/>
      <c r="M40" s="86"/>
      <c r="N40" s="103"/>
      <c r="O40" s="104"/>
    </row>
    <row r="41" spans="1:15" s="82" customFormat="1" ht="12.75" customHeight="1">
      <c r="A41" s="900"/>
      <c r="B41" s="1123"/>
      <c r="C41" s="1127"/>
      <c r="D41" s="1125"/>
      <c r="E41" s="1125"/>
      <c r="F41" s="1130"/>
      <c r="G41" s="95"/>
      <c r="H41" s="1125"/>
      <c r="I41" s="1125"/>
      <c r="J41" s="1134"/>
      <c r="K41" s="1134"/>
      <c r="L41" s="892"/>
      <c r="M41" s="86"/>
      <c r="N41" s="103"/>
      <c r="O41" s="104"/>
    </row>
    <row r="42" spans="1:15" s="82" customFormat="1" ht="12.75" customHeight="1" thickBot="1">
      <c r="A42" s="900"/>
      <c r="B42" s="1124"/>
      <c r="C42" s="1128"/>
      <c r="D42" s="1126"/>
      <c r="E42" s="1126"/>
      <c r="F42" s="1132"/>
      <c r="G42" s="100"/>
      <c r="H42" s="1126"/>
      <c r="I42" s="1126"/>
      <c r="J42" s="1135"/>
      <c r="K42" s="1135"/>
      <c r="L42" s="892"/>
      <c r="M42" s="86"/>
      <c r="N42" s="103"/>
      <c r="O42" s="104"/>
    </row>
    <row r="43" spans="1:15" s="103" customFormat="1" ht="15.75" hidden="1" customHeight="1" outlineLevel="1">
      <c r="A43" s="916"/>
      <c r="B43" s="1123">
        <v>11</v>
      </c>
      <c r="C43" s="1127"/>
      <c r="D43" s="1125"/>
      <c r="E43" s="1125" t="s">
        <v>18</v>
      </c>
      <c r="F43" s="1130" t="str">
        <f>VLOOKUP(E43,$N$13:$O$17,2,0)</f>
        <v>-</v>
      </c>
      <c r="G43" s="92"/>
      <c r="H43" s="1125"/>
      <c r="I43" s="1125"/>
      <c r="J43" s="1133"/>
      <c r="K43" s="1133"/>
      <c r="L43" s="916"/>
    </row>
    <row r="44" spans="1:15" s="103" customFormat="1" ht="15.75" hidden="1" customHeight="1" outlineLevel="1">
      <c r="A44" s="916"/>
      <c r="B44" s="1123"/>
      <c r="C44" s="1127"/>
      <c r="D44" s="1125"/>
      <c r="E44" s="1125"/>
      <c r="F44" s="1130"/>
      <c r="G44" s="95"/>
      <c r="H44" s="1125"/>
      <c r="I44" s="1125"/>
      <c r="J44" s="1134"/>
      <c r="K44" s="1134"/>
      <c r="L44" s="916"/>
    </row>
    <row r="45" spans="1:15" s="80" customFormat="1" ht="15.75" hidden="1" customHeight="1" outlineLevel="1">
      <c r="A45" s="910"/>
      <c r="B45" s="1124"/>
      <c r="C45" s="1128"/>
      <c r="D45" s="1126"/>
      <c r="E45" s="1126"/>
      <c r="F45" s="1132"/>
      <c r="G45" s="100"/>
      <c r="H45" s="1126"/>
      <c r="I45" s="1126"/>
      <c r="J45" s="1135"/>
      <c r="K45" s="1135"/>
      <c r="L45" s="910"/>
    </row>
    <row r="46" spans="1:15" s="80" customFormat="1" ht="15.75" hidden="1" customHeight="1" outlineLevel="1">
      <c r="A46" s="910"/>
      <c r="B46" s="1123">
        <v>12</v>
      </c>
      <c r="C46" s="1127"/>
      <c r="D46" s="1125"/>
      <c r="E46" s="1125" t="s">
        <v>18</v>
      </c>
      <c r="F46" s="1130" t="str">
        <f>VLOOKUP(E46,$N$13:$O$17,2,0)</f>
        <v>-</v>
      </c>
      <c r="G46" s="92"/>
      <c r="H46" s="1125"/>
      <c r="I46" s="1125"/>
      <c r="J46" s="1133"/>
      <c r="K46" s="1133"/>
      <c r="L46" s="910"/>
    </row>
    <row r="47" spans="1:15" s="103" customFormat="1" ht="15.75" hidden="1" customHeight="1" outlineLevel="1">
      <c r="A47" s="916"/>
      <c r="B47" s="1123"/>
      <c r="C47" s="1127"/>
      <c r="D47" s="1125"/>
      <c r="E47" s="1125"/>
      <c r="F47" s="1130"/>
      <c r="G47" s="95"/>
      <c r="H47" s="1125"/>
      <c r="I47" s="1125"/>
      <c r="J47" s="1134"/>
      <c r="K47" s="1134"/>
      <c r="L47" s="916"/>
    </row>
    <row r="48" spans="1:15" s="103" customFormat="1" ht="15.75" hidden="1" customHeight="1" outlineLevel="1">
      <c r="A48" s="916"/>
      <c r="B48" s="1124"/>
      <c r="C48" s="1128"/>
      <c r="D48" s="1126"/>
      <c r="E48" s="1126"/>
      <c r="F48" s="1132"/>
      <c r="G48" s="100"/>
      <c r="H48" s="1126"/>
      <c r="I48" s="1126"/>
      <c r="J48" s="1135"/>
      <c r="K48" s="1135"/>
      <c r="L48" s="916"/>
    </row>
    <row r="49" spans="1:12" s="103" customFormat="1" ht="15.75" hidden="1" customHeight="1" outlineLevel="1">
      <c r="A49" s="916"/>
      <c r="B49" s="1123">
        <v>13</v>
      </c>
      <c r="C49" s="1127"/>
      <c r="D49" s="1125"/>
      <c r="E49" s="1125" t="s">
        <v>18</v>
      </c>
      <c r="F49" s="1130" t="str">
        <f>VLOOKUP(E49,$N$13:$O$17,2,0)</f>
        <v>-</v>
      </c>
      <c r="G49" s="92"/>
      <c r="H49" s="1125"/>
      <c r="I49" s="1125"/>
      <c r="J49" s="1133"/>
      <c r="K49" s="1133"/>
      <c r="L49" s="916"/>
    </row>
    <row r="50" spans="1:12" s="103" customFormat="1" ht="15.75" hidden="1" customHeight="1" outlineLevel="1">
      <c r="A50" s="916"/>
      <c r="B50" s="1123"/>
      <c r="C50" s="1127"/>
      <c r="D50" s="1125"/>
      <c r="E50" s="1125"/>
      <c r="F50" s="1130"/>
      <c r="G50" s="95"/>
      <c r="H50" s="1125"/>
      <c r="I50" s="1125"/>
      <c r="J50" s="1134"/>
      <c r="K50" s="1134"/>
      <c r="L50" s="916"/>
    </row>
    <row r="51" spans="1:12" s="103" customFormat="1" ht="15.75" hidden="1" customHeight="1" outlineLevel="1">
      <c r="A51" s="916"/>
      <c r="B51" s="1124"/>
      <c r="C51" s="1128"/>
      <c r="D51" s="1126"/>
      <c r="E51" s="1126"/>
      <c r="F51" s="1132"/>
      <c r="G51" s="100"/>
      <c r="H51" s="1126"/>
      <c r="I51" s="1126"/>
      <c r="J51" s="1135"/>
      <c r="K51" s="1135"/>
      <c r="L51" s="916"/>
    </row>
    <row r="52" spans="1:12" s="103" customFormat="1" ht="15.75" hidden="1" customHeight="1" outlineLevel="1">
      <c r="A52" s="916"/>
      <c r="B52" s="1123">
        <v>14</v>
      </c>
      <c r="C52" s="1127"/>
      <c r="D52" s="1125"/>
      <c r="E52" s="1125" t="s">
        <v>18</v>
      </c>
      <c r="F52" s="1130" t="str">
        <f>VLOOKUP(E52,$N$13:$O$17,2,0)</f>
        <v>-</v>
      </c>
      <c r="G52" s="92"/>
      <c r="H52" s="1125"/>
      <c r="I52" s="1125"/>
      <c r="J52" s="1133"/>
      <c r="K52" s="1133"/>
      <c r="L52" s="916"/>
    </row>
    <row r="53" spans="1:12" s="103" customFormat="1" ht="15.75" hidden="1" customHeight="1" outlineLevel="1">
      <c r="A53" s="916"/>
      <c r="B53" s="1123"/>
      <c r="C53" s="1127"/>
      <c r="D53" s="1125"/>
      <c r="E53" s="1125"/>
      <c r="F53" s="1130"/>
      <c r="G53" s="95"/>
      <c r="H53" s="1125"/>
      <c r="I53" s="1125"/>
      <c r="J53" s="1134"/>
      <c r="K53" s="1134"/>
      <c r="L53" s="916"/>
    </row>
    <row r="54" spans="1:12" s="103" customFormat="1" ht="15.75" hidden="1" customHeight="1" outlineLevel="1">
      <c r="A54" s="916"/>
      <c r="B54" s="1124"/>
      <c r="C54" s="1128"/>
      <c r="D54" s="1126"/>
      <c r="E54" s="1126"/>
      <c r="F54" s="1132"/>
      <c r="G54" s="100"/>
      <c r="H54" s="1126"/>
      <c r="I54" s="1126"/>
      <c r="J54" s="1135"/>
      <c r="K54" s="1135"/>
      <c r="L54" s="916"/>
    </row>
    <row r="55" spans="1:12" s="103" customFormat="1" ht="15.75" hidden="1" customHeight="1" outlineLevel="1">
      <c r="A55" s="916"/>
      <c r="B55" s="1123">
        <v>15</v>
      </c>
      <c r="C55" s="1127"/>
      <c r="D55" s="1125"/>
      <c r="E55" s="1125" t="s">
        <v>18</v>
      </c>
      <c r="F55" s="1130" t="str">
        <f>VLOOKUP(E55,$N$13:$O$17,2,0)</f>
        <v>-</v>
      </c>
      <c r="G55" s="92"/>
      <c r="H55" s="1125"/>
      <c r="I55" s="1125"/>
      <c r="J55" s="1133"/>
      <c r="K55" s="1133"/>
      <c r="L55" s="916"/>
    </row>
    <row r="56" spans="1:12" s="103" customFormat="1" ht="15.75" hidden="1" customHeight="1" outlineLevel="1">
      <c r="A56" s="916"/>
      <c r="B56" s="1123"/>
      <c r="C56" s="1127"/>
      <c r="D56" s="1125"/>
      <c r="E56" s="1125"/>
      <c r="F56" s="1130"/>
      <c r="G56" s="95"/>
      <c r="H56" s="1125"/>
      <c r="I56" s="1125"/>
      <c r="J56" s="1134"/>
      <c r="K56" s="1134"/>
      <c r="L56" s="916"/>
    </row>
    <row r="57" spans="1:12" s="103" customFormat="1" ht="15.75" hidden="1" customHeight="1" outlineLevel="1">
      <c r="A57" s="916"/>
      <c r="B57" s="1124"/>
      <c r="C57" s="1128"/>
      <c r="D57" s="1126"/>
      <c r="E57" s="1126"/>
      <c r="F57" s="1132"/>
      <c r="G57" s="100"/>
      <c r="H57" s="1126"/>
      <c r="I57" s="1126"/>
      <c r="J57" s="1135"/>
      <c r="K57" s="1135"/>
      <c r="L57" s="916"/>
    </row>
    <row r="58" spans="1:12" s="103" customFormat="1" ht="15.75" hidden="1" customHeight="1" outlineLevel="1">
      <c r="A58" s="916"/>
      <c r="B58" s="1123">
        <v>16</v>
      </c>
      <c r="C58" s="1127"/>
      <c r="D58" s="1125"/>
      <c r="E58" s="1125" t="s">
        <v>18</v>
      </c>
      <c r="F58" s="1130" t="e">
        <f>IF(F$25=0,0,F32/F$25)</f>
        <v>#VALUE!</v>
      </c>
      <c r="G58" s="92"/>
      <c r="H58" s="1125"/>
      <c r="I58" s="1125"/>
      <c r="J58" s="1133"/>
      <c r="K58" s="1133"/>
      <c r="L58" s="916"/>
    </row>
    <row r="59" spans="1:12" s="103" customFormat="1" ht="15.75" hidden="1" customHeight="1" outlineLevel="1">
      <c r="A59" s="916"/>
      <c r="B59" s="1123"/>
      <c r="C59" s="1127"/>
      <c r="D59" s="1125"/>
      <c r="E59" s="1125"/>
      <c r="F59" s="1130"/>
      <c r="G59" s="95"/>
      <c r="H59" s="1125"/>
      <c r="I59" s="1125"/>
      <c r="J59" s="1134"/>
      <c r="K59" s="1134"/>
      <c r="L59" s="916"/>
    </row>
    <row r="60" spans="1:12" s="103" customFormat="1" ht="15.75" hidden="1" customHeight="1" outlineLevel="1">
      <c r="A60" s="916"/>
      <c r="B60" s="1124"/>
      <c r="C60" s="1128"/>
      <c r="D60" s="1126"/>
      <c r="E60" s="1126"/>
      <c r="F60" s="1132"/>
      <c r="G60" s="100"/>
      <c r="H60" s="1126"/>
      <c r="I60" s="1126"/>
      <c r="J60" s="1135"/>
      <c r="K60" s="1135"/>
      <c r="L60" s="916"/>
    </row>
    <row r="61" spans="1:12" s="103" customFormat="1" ht="15.75" hidden="1" customHeight="1" outlineLevel="1">
      <c r="A61" s="916"/>
      <c r="B61" s="1123">
        <v>17</v>
      </c>
      <c r="C61" s="1127"/>
      <c r="D61" s="1125"/>
      <c r="E61" s="1125" t="s">
        <v>18</v>
      </c>
      <c r="F61" s="1130" t="str">
        <f>VLOOKUP(E61,$N$13:$O$17,2,0)</f>
        <v>-</v>
      </c>
      <c r="G61" s="92"/>
      <c r="H61" s="1125"/>
      <c r="I61" s="1125"/>
      <c r="J61" s="1133"/>
      <c r="K61" s="1133"/>
      <c r="L61" s="916"/>
    </row>
    <row r="62" spans="1:12" s="103" customFormat="1" ht="15.75" hidden="1" customHeight="1" outlineLevel="1">
      <c r="A62" s="916"/>
      <c r="B62" s="1123"/>
      <c r="C62" s="1127"/>
      <c r="D62" s="1125"/>
      <c r="E62" s="1125"/>
      <c r="F62" s="1130"/>
      <c r="G62" s="95"/>
      <c r="H62" s="1125"/>
      <c r="I62" s="1125"/>
      <c r="J62" s="1134"/>
      <c r="K62" s="1134"/>
      <c r="L62" s="916"/>
    </row>
    <row r="63" spans="1:12" s="103" customFormat="1" ht="15.75" hidden="1" customHeight="1" outlineLevel="1">
      <c r="A63" s="916"/>
      <c r="B63" s="1124"/>
      <c r="C63" s="1128"/>
      <c r="D63" s="1126"/>
      <c r="E63" s="1126"/>
      <c r="F63" s="1132"/>
      <c r="G63" s="100"/>
      <c r="H63" s="1126"/>
      <c r="I63" s="1126"/>
      <c r="J63" s="1135"/>
      <c r="K63" s="1135"/>
      <c r="L63" s="916"/>
    </row>
    <row r="64" spans="1:12" s="103" customFormat="1" ht="15.75" hidden="1" customHeight="1" outlineLevel="1">
      <c r="A64" s="916"/>
      <c r="B64" s="1123">
        <v>18</v>
      </c>
      <c r="C64" s="1127"/>
      <c r="D64" s="1125"/>
      <c r="E64" s="1125" t="s">
        <v>18</v>
      </c>
      <c r="F64" s="1130" t="str">
        <f>VLOOKUP(E64,$N$13:$O$17,2,0)</f>
        <v>-</v>
      </c>
      <c r="G64" s="92"/>
      <c r="H64" s="1125"/>
      <c r="I64" s="1125"/>
      <c r="J64" s="1133"/>
      <c r="K64" s="1133"/>
      <c r="L64" s="916"/>
    </row>
    <row r="65" spans="1:12" s="103" customFormat="1" ht="15.75" hidden="1" customHeight="1" outlineLevel="1">
      <c r="A65" s="916"/>
      <c r="B65" s="1123"/>
      <c r="C65" s="1127"/>
      <c r="D65" s="1125"/>
      <c r="E65" s="1125"/>
      <c r="F65" s="1130"/>
      <c r="G65" s="95"/>
      <c r="H65" s="1125"/>
      <c r="I65" s="1125"/>
      <c r="J65" s="1134"/>
      <c r="K65" s="1134"/>
      <c r="L65" s="916"/>
    </row>
    <row r="66" spans="1:12" s="103" customFormat="1" ht="15.75" hidden="1" customHeight="1" outlineLevel="1">
      <c r="A66" s="916"/>
      <c r="B66" s="1124"/>
      <c r="C66" s="1128"/>
      <c r="D66" s="1126"/>
      <c r="E66" s="1126"/>
      <c r="F66" s="1132"/>
      <c r="G66" s="100"/>
      <c r="H66" s="1126"/>
      <c r="I66" s="1126"/>
      <c r="J66" s="1135"/>
      <c r="K66" s="1135"/>
      <c r="L66" s="916"/>
    </row>
    <row r="67" spans="1:12" s="103" customFormat="1" ht="15.75" hidden="1" customHeight="1" outlineLevel="1">
      <c r="A67" s="916"/>
      <c r="B67" s="1123">
        <v>19</v>
      </c>
      <c r="C67" s="1127"/>
      <c r="D67" s="1125"/>
      <c r="E67" s="1125" t="s">
        <v>18</v>
      </c>
      <c r="F67" s="1130" t="str">
        <f>VLOOKUP(E67,$N$13:$O$17,2,0)</f>
        <v>-</v>
      </c>
      <c r="G67" s="92"/>
      <c r="H67" s="1125"/>
      <c r="I67" s="1125"/>
      <c r="J67" s="1133"/>
      <c r="K67" s="1133"/>
      <c r="L67" s="916"/>
    </row>
    <row r="68" spans="1:12" s="103" customFormat="1" ht="15.75" hidden="1" customHeight="1" outlineLevel="1">
      <c r="A68" s="916"/>
      <c r="B68" s="1123"/>
      <c r="C68" s="1127"/>
      <c r="D68" s="1125"/>
      <c r="E68" s="1125"/>
      <c r="F68" s="1130"/>
      <c r="G68" s="95"/>
      <c r="H68" s="1125"/>
      <c r="I68" s="1125"/>
      <c r="J68" s="1134"/>
      <c r="K68" s="1134"/>
      <c r="L68" s="916"/>
    </row>
    <row r="69" spans="1:12" s="103" customFormat="1" ht="15.75" hidden="1" customHeight="1" outlineLevel="1">
      <c r="A69" s="916"/>
      <c r="B69" s="1124"/>
      <c r="C69" s="1128"/>
      <c r="D69" s="1126"/>
      <c r="E69" s="1126"/>
      <c r="F69" s="1132"/>
      <c r="G69" s="100"/>
      <c r="H69" s="1126"/>
      <c r="I69" s="1126"/>
      <c r="J69" s="1135"/>
      <c r="K69" s="1135"/>
      <c r="L69" s="916"/>
    </row>
    <row r="70" spans="1:12" s="103" customFormat="1" ht="15.75" hidden="1" customHeight="1" outlineLevel="1">
      <c r="A70" s="916"/>
      <c r="B70" s="1123">
        <v>20</v>
      </c>
      <c r="C70" s="1127"/>
      <c r="D70" s="1125"/>
      <c r="E70" s="1125" t="s">
        <v>18</v>
      </c>
      <c r="F70" s="1130" t="str">
        <f>VLOOKUP(E70,$N$13:$O$17,2,0)</f>
        <v>-</v>
      </c>
      <c r="G70" s="92"/>
      <c r="H70" s="1125"/>
      <c r="I70" s="1125"/>
      <c r="J70" s="1133"/>
      <c r="K70" s="1133"/>
      <c r="L70" s="916"/>
    </row>
    <row r="71" spans="1:12" s="103" customFormat="1" ht="15.75" hidden="1" customHeight="1" outlineLevel="1">
      <c r="A71" s="916"/>
      <c r="B71" s="1123"/>
      <c r="C71" s="1127"/>
      <c r="D71" s="1125"/>
      <c r="E71" s="1125"/>
      <c r="F71" s="1130"/>
      <c r="G71" s="95"/>
      <c r="H71" s="1125"/>
      <c r="I71" s="1125"/>
      <c r="J71" s="1134"/>
      <c r="K71" s="1134"/>
      <c r="L71" s="916"/>
    </row>
    <row r="72" spans="1:12" s="103" customFormat="1" ht="15.75" hidden="1" customHeight="1" outlineLevel="1">
      <c r="A72" s="916"/>
      <c r="B72" s="1124"/>
      <c r="C72" s="1128"/>
      <c r="D72" s="1126"/>
      <c r="E72" s="1126"/>
      <c r="F72" s="1132"/>
      <c r="G72" s="100"/>
      <c r="H72" s="1126"/>
      <c r="I72" s="1126"/>
      <c r="J72" s="1135"/>
      <c r="K72" s="1135"/>
      <c r="L72" s="916"/>
    </row>
    <row r="73" spans="1:12" s="103" customFormat="1" ht="15.75" hidden="1" customHeight="1" outlineLevel="1">
      <c r="A73" s="916"/>
      <c r="B73" s="1123">
        <v>21</v>
      </c>
      <c r="C73" s="1127"/>
      <c r="D73" s="1125"/>
      <c r="E73" s="1125" t="s">
        <v>18</v>
      </c>
      <c r="F73" s="1130" t="str">
        <f>VLOOKUP(E73,$N$13:$O$17,2,0)</f>
        <v>-</v>
      </c>
      <c r="G73" s="92"/>
      <c r="H73" s="1125"/>
      <c r="I73" s="1125"/>
      <c r="J73" s="1133"/>
      <c r="K73" s="1133"/>
      <c r="L73" s="916"/>
    </row>
    <row r="74" spans="1:12" s="103" customFormat="1" ht="15.75" hidden="1" customHeight="1" outlineLevel="1">
      <c r="A74" s="916"/>
      <c r="B74" s="1123"/>
      <c r="C74" s="1127"/>
      <c r="D74" s="1125"/>
      <c r="E74" s="1125"/>
      <c r="F74" s="1130"/>
      <c r="G74" s="95"/>
      <c r="H74" s="1125"/>
      <c r="I74" s="1125"/>
      <c r="J74" s="1134"/>
      <c r="K74" s="1134"/>
      <c r="L74" s="916"/>
    </row>
    <row r="75" spans="1:12" s="103" customFormat="1" ht="15.75" hidden="1" customHeight="1" outlineLevel="1">
      <c r="A75" s="916"/>
      <c r="B75" s="1124"/>
      <c r="C75" s="1128"/>
      <c r="D75" s="1126"/>
      <c r="E75" s="1126"/>
      <c r="F75" s="1132"/>
      <c r="G75" s="100"/>
      <c r="H75" s="1126"/>
      <c r="I75" s="1126"/>
      <c r="J75" s="1135"/>
      <c r="K75" s="1135"/>
      <c r="L75" s="916"/>
    </row>
    <row r="76" spans="1:12" s="103" customFormat="1" ht="15.75" hidden="1" customHeight="1" outlineLevel="1">
      <c r="A76" s="916"/>
      <c r="B76" s="1123">
        <v>22</v>
      </c>
      <c r="C76" s="1127"/>
      <c r="D76" s="1125"/>
      <c r="E76" s="1125" t="s">
        <v>18</v>
      </c>
      <c r="F76" s="1130" t="str">
        <f>VLOOKUP(E76,$N$13:$O$17,2,0)</f>
        <v>-</v>
      </c>
      <c r="G76" s="92"/>
      <c r="H76" s="1125"/>
      <c r="I76" s="1125"/>
      <c r="J76" s="1133"/>
      <c r="K76" s="1133"/>
      <c r="L76" s="916"/>
    </row>
    <row r="77" spans="1:12" s="103" customFormat="1" ht="15.75" hidden="1" customHeight="1" outlineLevel="1">
      <c r="A77" s="916"/>
      <c r="B77" s="1123"/>
      <c r="C77" s="1127"/>
      <c r="D77" s="1125"/>
      <c r="E77" s="1125"/>
      <c r="F77" s="1130"/>
      <c r="G77" s="95"/>
      <c r="H77" s="1125"/>
      <c r="I77" s="1125"/>
      <c r="J77" s="1134"/>
      <c r="K77" s="1134"/>
      <c r="L77" s="916"/>
    </row>
    <row r="78" spans="1:12" s="103" customFormat="1" ht="15.75" hidden="1" customHeight="1" outlineLevel="1">
      <c r="A78" s="916"/>
      <c r="B78" s="1124"/>
      <c r="C78" s="1128"/>
      <c r="D78" s="1126"/>
      <c r="E78" s="1126"/>
      <c r="F78" s="1132"/>
      <c r="G78" s="100"/>
      <c r="H78" s="1126"/>
      <c r="I78" s="1126"/>
      <c r="J78" s="1135"/>
      <c r="K78" s="1135"/>
      <c r="L78" s="916"/>
    </row>
    <row r="79" spans="1:12" s="103" customFormat="1" ht="15.75" hidden="1" customHeight="1" outlineLevel="1">
      <c r="A79" s="916"/>
      <c r="B79" s="1123">
        <v>23</v>
      </c>
      <c r="C79" s="1127"/>
      <c r="D79" s="1125"/>
      <c r="E79" s="1125" t="s">
        <v>18</v>
      </c>
      <c r="F79" s="1130" t="str">
        <f>VLOOKUP(E79,$N$13:$O$17,2,0)</f>
        <v>-</v>
      </c>
      <c r="G79" s="92"/>
      <c r="H79" s="1125"/>
      <c r="I79" s="1125"/>
      <c r="J79" s="1133"/>
      <c r="K79" s="1133"/>
      <c r="L79" s="916"/>
    </row>
    <row r="80" spans="1:12" s="103" customFormat="1" ht="15.75" hidden="1" customHeight="1" outlineLevel="1">
      <c r="A80" s="916"/>
      <c r="B80" s="1123"/>
      <c r="C80" s="1127"/>
      <c r="D80" s="1125"/>
      <c r="E80" s="1125"/>
      <c r="F80" s="1130"/>
      <c r="G80" s="95"/>
      <c r="H80" s="1125"/>
      <c r="I80" s="1125"/>
      <c r="J80" s="1134"/>
      <c r="K80" s="1134"/>
      <c r="L80" s="916"/>
    </row>
    <row r="81" spans="1:12" s="103" customFormat="1" ht="15.75" hidden="1" customHeight="1" outlineLevel="1">
      <c r="A81" s="916"/>
      <c r="B81" s="1124"/>
      <c r="C81" s="1128"/>
      <c r="D81" s="1126"/>
      <c r="E81" s="1126"/>
      <c r="F81" s="1132"/>
      <c r="G81" s="100"/>
      <c r="H81" s="1126"/>
      <c r="I81" s="1126"/>
      <c r="J81" s="1135"/>
      <c r="K81" s="1135"/>
      <c r="L81" s="916"/>
    </row>
    <row r="82" spans="1:12" s="103" customFormat="1" ht="15.75" hidden="1" customHeight="1" outlineLevel="1">
      <c r="A82" s="916"/>
      <c r="B82" s="1123">
        <v>24</v>
      </c>
      <c r="C82" s="1127"/>
      <c r="D82" s="1125"/>
      <c r="E82" s="1125" t="s">
        <v>18</v>
      </c>
      <c r="F82" s="1130" t="str">
        <f>VLOOKUP(E82,$N$13:$O$17,2,0)</f>
        <v>-</v>
      </c>
      <c r="G82" s="92"/>
      <c r="H82" s="1125"/>
      <c r="I82" s="1125"/>
      <c r="J82" s="1133"/>
      <c r="K82" s="1133"/>
      <c r="L82" s="916"/>
    </row>
    <row r="83" spans="1:12" s="103" customFormat="1" ht="15.75" hidden="1" customHeight="1" outlineLevel="1">
      <c r="A83" s="916"/>
      <c r="B83" s="1123"/>
      <c r="C83" s="1127"/>
      <c r="D83" s="1125"/>
      <c r="E83" s="1125"/>
      <c r="F83" s="1130"/>
      <c r="G83" s="95"/>
      <c r="H83" s="1125"/>
      <c r="I83" s="1125"/>
      <c r="J83" s="1134"/>
      <c r="K83" s="1134"/>
      <c r="L83" s="916"/>
    </row>
    <row r="84" spans="1:12" s="103" customFormat="1" ht="15.75" hidden="1" customHeight="1" outlineLevel="1">
      <c r="A84" s="916"/>
      <c r="B84" s="1124"/>
      <c r="C84" s="1128"/>
      <c r="D84" s="1126"/>
      <c r="E84" s="1126"/>
      <c r="F84" s="1132"/>
      <c r="G84" s="100"/>
      <c r="H84" s="1126"/>
      <c r="I84" s="1126"/>
      <c r="J84" s="1135"/>
      <c r="K84" s="1135"/>
      <c r="L84" s="916"/>
    </row>
    <row r="85" spans="1:12" s="103" customFormat="1" ht="15.75" hidden="1" customHeight="1" outlineLevel="1">
      <c r="A85" s="916"/>
      <c r="B85" s="1123">
        <v>25</v>
      </c>
      <c r="C85" s="1127"/>
      <c r="D85" s="1125"/>
      <c r="E85" s="1125" t="s">
        <v>18</v>
      </c>
      <c r="F85" s="1130" t="str">
        <f>VLOOKUP(E85,$N$13:$O$17,2,0)</f>
        <v>-</v>
      </c>
      <c r="G85" s="92"/>
      <c r="H85" s="1125"/>
      <c r="I85" s="1125"/>
      <c r="J85" s="1133"/>
      <c r="K85" s="1133"/>
      <c r="L85" s="916"/>
    </row>
    <row r="86" spans="1:12" s="103" customFormat="1" ht="15.75" hidden="1" customHeight="1" outlineLevel="1">
      <c r="A86" s="916"/>
      <c r="B86" s="1123"/>
      <c r="C86" s="1127"/>
      <c r="D86" s="1125"/>
      <c r="E86" s="1125"/>
      <c r="F86" s="1130"/>
      <c r="G86" s="95"/>
      <c r="H86" s="1125"/>
      <c r="I86" s="1125"/>
      <c r="J86" s="1134"/>
      <c r="K86" s="1134"/>
      <c r="L86" s="916"/>
    </row>
    <row r="87" spans="1:12" s="103" customFormat="1" ht="15.75" hidden="1" customHeight="1" outlineLevel="1">
      <c r="A87" s="916"/>
      <c r="B87" s="1124"/>
      <c r="C87" s="1128"/>
      <c r="D87" s="1126"/>
      <c r="E87" s="1126"/>
      <c r="F87" s="1132"/>
      <c r="G87" s="100"/>
      <c r="H87" s="1126"/>
      <c r="I87" s="1126"/>
      <c r="J87" s="1135"/>
      <c r="K87" s="1135"/>
      <c r="L87" s="916"/>
    </row>
    <row r="88" spans="1:12" s="103" customFormat="1" ht="15.75" hidden="1" customHeight="1" outlineLevel="1">
      <c r="A88" s="916"/>
      <c r="B88" s="1123">
        <v>26</v>
      </c>
      <c r="C88" s="1127"/>
      <c r="D88" s="1125"/>
      <c r="E88" s="1125" t="s">
        <v>18</v>
      </c>
      <c r="F88" s="1130" t="str">
        <f>VLOOKUP(E88,$N$13:$O$17,2,0)</f>
        <v>-</v>
      </c>
      <c r="G88" s="92"/>
      <c r="H88" s="1125"/>
      <c r="I88" s="1125"/>
      <c r="J88" s="1133"/>
      <c r="K88" s="1133"/>
      <c r="L88" s="916"/>
    </row>
    <row r="89" spans="1:12" s="103" customFormat="1" ht="15.75" hidden="1" customHeight="1" outlineLevel="1">
      <c r="A89" s="916"/>
      <c r="B89" s="1123"/>
      <c r="C89" s="1127"/>
      <c r="D89" s="1125"/>
      <c r="E89" s="1125"/>
      <c r="F89" s="1130"/>
      <c r="G89" s="95"/>
      <c r="H89" s="1125"/>
      <c r="I89" s="1125"/>
      <c r="J89" s="1134"/>
      <c r="K89" s="1134"/>
      <c r="L89" s="916"/>
    </row>
    <row r="90" spans="1:12" s="103" customFormat="1" ht="15.75" hidden="1" customHeight="1" outlineLevel="1">
      <c r="A90" s="916"/>
      <c r="B90" s="1124"/>
      <c r="C90" s="1128"/>
      <c r="D90" s="1126"/>
      <c r="E90" s="1126"/>
      <c r="F90" s="1132"/>
      <c r="G90" s="100"/>
      <c r="H90" s="1126"/>
      <c r="I90" s="1126"/>
      <c r="J90" s="1135"/>
      <c r="K90" s="1135"/>
      <c r="L90" s="916"/>
    </row>
    <row r="91" spans="1:12" s="103" customFormat="1" ht="15.75" hidden="1" customHeight="1" outlineLevel="1">
      <c r="A91" s="916"/>
      <c r="B91" s="1123">
        <v>27</v>
      </c>
      <c r="C91" s="1127"/>
      <c r="D91" s="1125"/>
      <c r="E91" s="1125" t="s">
        <v>18</v>
      </c>
      <c r="F91" s="1130" t="str">
        <f>VLOOKUP(E91,$N$13:$O$17,2,0)</f>
        <v>-</v>
      </c>
      <c r="G91" s="92"/>
      <c r="H91" s="1125"/>
      <c r="I91" s="1125"/>
      <c r="J91" s="1133"/>
      <c r="K91" s="1133"/>
      <c r="L91" s="916"/>
    </row>
    <row r="92" spans="1:12" s="103" customFormat="1" ht="15.75" hidden="1" customHeight="1" outlineLevel="1">
      <c r="A92" s="916"/>
      <c r="B92" s="1123"/>
      <c r="C92" s="1127"/>
      <c r="D92" s="1125"/>
      <c r="E92" s="1125"/>
      <c r="F92" s="1130"/>
      <c r="G92" s="95"/>
      <c r="H92" s="1125"/>
      <c r="I92" s="1125"/>
      <c r="J92" s="1134"/>
      <c r="K92" s="1134"/>
      <c r="L92" s="916"/>
    </row>
    <row r="93" spans="1:12" s="103" customFormat="1" ht="15.75" hidden="1" customHeight="1" outlineLevel="1">
      <c r="A93" s="916"/>
      <c r="B93" s="1124"/>
      <c r="C93" s="1128"/>
      <c r="D93" s="1126"/>
      <c r="E93" s="1126"/>
      <c r="F93" s="1132"/>
      <c r="G93" s="100"/>
      <c r="H93" s="1126"/>
      <c r="I93" s="1126"/>
      <c r="J93" s="1135"/>
      <c r="K93" s="1135"/>
      <c r="L93" s="916"/>
    </row>
    <row r="94" spans="1:12" s="103" customFormat="1" ht="15.75" hidden="1" customHeight="1" outlineLevel="1">
      <c r="A94" s="916"/>
      <c r="B94" s="1123">
        <v>28</v>
      </c>
      <c r="C94" s="1127"/>
      <c r="D94" s="1125"/>
      <c r="E94" s="1125" t="s">
        <v>18</v>
      </c>
      <c r="F94" s="1130" t="str">
        <f>VLOOKUP(E94,$N$13:$O$17,2,0)</f>
        <v>-</v>
      </c>
      <c r="G94" s="92"/>
      <c r="H94" s="1125"/>
      <c r="I94" s="1125"/>
      <c r="J94" s="1133"/>
      <c r="K94" s="1133"/>
      <c r="L94" s="916"/>
    </row>
    <row r="95" spans="1:12" s="103" customFormat="1" ht="15.75" hidden="1" customHeight="1" outlineLevel="1">
      <c r="A95" s="916"/>
      <c r="B95" s="1123"/>
      <c r="C95" s="1127"/>
      <c r="D95" s="1125"/>
      <c r="E95" s="1125"/>
      <c r="F95" s="1130"/>
      <c r="G95" s="95"/>
      <c r="H95" s="1125"/>
      <c r="I95" s="1125"/>
      <c r="J95" s="1134"/>
      <c r="K95" s="1134"/>
      <c r="L95" s="916"/>
    </row>
    <row r="96" spans="1:12" s="103" customFormat="1" ht="15.75" hidden="1" customHeight="1" outlineLevel="1">
      <c r="A96" s="916"/>
      <c r="B96" s="1124"/>
      <c r="C96" s="1128"/>
      <c r="D96" s="1126"/>
      <c r="E96" s="1126"/>
      <c r="F96" s="1132"/>
      <c r="G96" s="100"/>
      <c r="H96" s="1126"/>
      <c r="I96" s="1126"/>
      <c r="J96" s="1135"/>
      <c r="K96" s="1135"/>
      <c r="L96" s="916"/>
    </row>
    <row r="97" spans="1:12" s="103" customFormat="1" ht="15.75" hidden="1" customHeight="1" outlineLevel="1">
      <c r="A97" s="916"/>
      <c r="B97" s="1123">
        <v>29</v>
      </c>
      <c r="C97" s="1127"/>
      <c r="D97" s="1125"/>
      <c r="E97" s="1125" t="s">
        <v>18</v>
      </c>
      <c r="F97" s="1130" t="str">
        <f>VLOOKUP(E97,$N$13:$O$17,2,0)</f>
        <v>-</v>
      </c>
      <c r="G97" s="92"/>
      <c r="H97" s="1125"/>
      <c r="I97" s="1125"/>
      <c r="J97" s="1133"/>
      <c r="K97" s="1133"/>
      <c r="L97" s="916"/>
    </row>
    <row r="98" spans="1:12" s="103" customFormat="1" ht="15.75" hidden="1" customHeight="1" outlineLevel="1">
      <c r="A98" s="916"/>
      <c r="B98" s="1123"/>
      <c r="C98" s="1127"/>
      <c r="D98" s="1125"/>
      <c r="E98" s="1125"/>
      <c r="F98" s="1130"/>
      <c r="G98" s="95"/>
      <c r="H98" s="1125"/>
      <c r="I98" s="1125"/>
      <c r="J98" s="1134"/>
      <c r="K98" s="1134"/>
      <c r="L98" s="916"/>
    </row>
    <row r="99" spans="1:12" s="103" customFormat="1" ht="15.75" hidden="1" customHeight="1" outlineLevel="1">
      <c r="A99" s="916"/>
      <c r="B99" s="1124"/>
      <c r="C99" s="1128"/>
      <c r="D99" s="1126"/>
      <c r="E99" s="1126"/>
      <c r="F99" s="1132"/>
      <c r="G99" s="100"/>
      <c r="H99" s="1126"/>
      <c r="I99" s="1126"/>
      <c r="J99" s="1135"/>
      <c r="K99" s="1135"/>
      <c r="L99" s="916"/>
    </row>
    <row r="100" spans="1:12" s="103" customFormat="1" ht="15.75" hidden="1" customHeight="1" outlineLevel="1">
      <c r="A100" s="916"/>
      <c r="B100" s="1123">
        <v>30</v>
      </c>
      <c r="C100" s="1127"/>
      <c r="D100" s="1125"/>
      <c r="E100" s="1125" t="s">
        <v>18</v>
      </c>
      <c r="F100" s="1130" t="str">
        <f>VLOOKUP(E100,$N$13:$O$17,2,0)</f>
        <v>-</v>
      </c>
      <c r="G100" s="92"/>
      <c r="H100" s="1125"/>
      <c r="I100" s="1125"/>
      <c r="J100" s="1133"/>
      <c r="K100" s="1133"/>
      <c r="L100" s="916"/>
    </row>
    <row r="101" spans="1:12" s="103" customFormat="1" ht="15.75" hidden="1" customHeight="1" outlineLevel="1">
      <c r="A101" s="916"/>
      <c r="B101" s="1123"/>
      <c r="C101" s="1127"/>
      <c r="D101" s="1125"/>
      <c r="E101" s="1125"/>
      <c r="F101" s="1130"/>
      <c r="G101" s="95"/>
      <c r="H101" s="1125"/>
      <c r="I101" s="1125"/>
      <c r="J101" s="1134"/>
      <c r="K101" s="1134"/>
      <c r="L101" s="916"/>
    </row>
    <row r="102" spans="1:12" s="103" customFormat="1" ht="15.75" hidden="1" customHeight="1" outlineLevel="1">
      <c r="A102" s="916"/>
      <c r="B102" s="1124"/>
      <c r="C102" s="1128"/>
      <c r="D102" s="1126"/>
      <c r="E102" s="1126"/>
      <c r="F102" s="1132"/>
      <c r="G102" s="100"/>
      <c r="H102" s="1126"/>
      <c r="I102" s="1126"/>
      <c r="J102" s="1135"/>
      <c r="K102" s="1135"/>
      <c r="L102" s="916"/>
    </row>
    <row r="103" spans="1:12" s="103" customFormat="1" ht="15.75" hidden="1" customHeight="1" outlineLevel="1">
      <c r="A103" s="916"/>
      <c r="B103" s="1123">
        <v>31</v>
      </c>
      <c r="C103" s="1127"/>
      <c r="D103" s="1125"/>
      <c r="E103" s="1125" t="s">
        <v>18</v>
      </c>
      <c r="F103" s="1130" t="str">
        <f>VLOOKUP(E103,$N$13:$O$17,2,0)</f>
        <v>-</v>
      </c>
      <c r="G103" s="92"/>
      <c r="H103" s="1125"/>
      <c r="I103" s="1125"/>
      <c r="J103" s="1133"/>
      <c r="K103" s="1133"/>
      <c r="L103" s="916"/>
    </row>
    <row r="104" spans="1:12" s="103" customFormat="1" ht="15.75" hidden="1" customHeight="1" outlineLevel="1">
      <c r="A104" s="916"/>
      <c r="B104" s="1123"/>
      <c r="C104" s="1127"/>
      <c r="D104" s="1125"/>
      <c r="E104" s="1125"/>
      <c r="F104" s="1130"/>
      <c r="G104" s="95"/>
      <c r="H104" s="1125"/>
      <c r="I104" s="1125"/>
      <c r="J104" s="1134"/>
      <c r="K104" s="1134"/>
      <c r="L104" s="916"/>
    </row>
    <row r="105" spans="1:12" s="103" customFormat="1" ht="15.75" hidden="1" customHeight="1" outlineLevel="1">
      <c r="A105" s="916"/>
      <c r="B105" s="1124"/>
      <c r="C105" s="1128"/>
      <c r="D105" s="1126"/>
      <c r="E105" s="1126"/>
      <c r="F105" s="1132"/>
      <c r="G105" s="100"/>
      <c r="H105" s="1126"/>
      <c r="I105" s="1126"/>
      <c r="J105" s="1135"/>
      <c r="K105" s="1135"/>
      <c r="L105" s="916"/>
    </row>
    <row r="106" spans="1:12" s="103" customFormat="1" ht="15.75" hidden="1" customHeight="1" outlineLevel="1">
      <c r="A106" s="916"/>
      <c r="B106" s="1123">
        <v>32</v>
      </c>
      <c r="C106" s="1127"/>
      <c r="D106" s="1125"/>
      <c r="E106" s="1125" t="s">
        <v>18</v>
      </c>
      <c r="F106" s="1130" t="str">
        <f>VLOOKUP(E106,$N$13:$O$17,2,0)</f>
        <v>-</v>
      </c>
      <c r="G106" s="92"/>
      <c r="H106" s="1125"/>
      <c r="I106" s="1125"/>
      <c r="J106" s="1133"/>
      <c r="K106" s="1133"/>
      <c r="L106" s="916"/>
    </row>
    <row r="107" spans="1:12" s="103" customFormat="1" ht="15.75" hidden="1" customHeight="1" outlineLevel="1">
      <c r="A107" s="916"/>
      <c r="B107" s="1123"/>
      <c r="C107" s="1127"/>
      <c r="D107" s="1125"/>
      <c r="E107" s="1125"/>
      <c r="F107" s="1130"/>
      <c r="G107" s="95"/>
      <c r="H107" s="1125"/>
      <c r="I107" s="1125"/>
      <c r="J107" s="1134"/>
      <c r="K107" s="1134"/>
      <c r="L107" s="916"/>
    </row>
    <row r="108" spans="1:12" s="103" customFormat="1" ht="15.75" hidden="1" customHeight="1" outlineLevel="1">
      <c r="A108" s="916"/>
      <c r="B108" s="1124"/>
      <c r="C108" s="1128"/>
      <c r="D108" s="1126"/>
      <c r="E108" s="1126"/>
      <c r="F108" s="1132"/>
      <c r="G108" s="100"/>
      <c r="H108" s="1126"/>
      <c r="I108" s="1126"/>
      <c r="J108" s="1135"/>
      <c r="K108" s="1135"/>
      <c r="L108" s="916"/>
    </row>
    <row r="109" spans="1:12" s="103" customFormat="1" ht="15.75" hidden="1" customHeight="1" outlineLevel="1">
      <c r="A109" s="916"/>
      <c r="B109" s="1123">
        <v>33</v>
      </c>
      <c r="C109" s="1127"/>
      <c r="D109" s="1125"/>
      <c r="E109" s="1125" t="s">
        <v>18</v>
      </c>
      <c r="F109" s="1130" t="str">
        <f>VLOOKUP(E109,$N$13:$O$17,2,0)</f>
        <v>-</v>
      </c>
      <c r="G109" s="92"/>
      <c r="H109" s="1125"/>
      <c r="I109" s="1125"/>
      <c r="J109" s="1133"/>
      <c r="K109" s="1133"/>
      <c r="L109" s="916"/>
    </row>
    <row r="110" spans="1:12" s="103" customFormat="1" ht="15.75" hidden="1" customHeight="1" outlineLevel="1">
      <c r="A110" s="916"/>
      <c r="B110" s="1123"/>
      <c r="C110" s="1127"/>
      <c r="D110" s="1125"/>
      <c r="E110" s="1125"/>
      <c r="F110" s="1130"/>
      <c r="G110" s="95"/>
      <c r="H110" s="1125"/>
      <c r="I110" s="1125"/>
      <c r="J110" s="1134"/>
      <c r="K110" s="1134"/>
      <c r="L110" s="916"/>
    </row>
    <row r="111" spans="1:12" s="103" customFormat="1" ht="15.75" hidden="1" customHeight="1" outlineLevel="1">
      <c r="A111" s="916"/>
      <c r="B111" s="1124"/>
      <c r="C111" s="1128"/>
      <c r="D111" s="1126"/>
      <c r="E111" s="1126"/>
      <c r="F111" s="1132"/>
      <c r="G111" s="100"/>
      <c r="H111" s="1126"/>
      <c r="I111" s="1126"/>
      <c r="J111" s="1135"/>
      <c r="K111" s="1135"/>
      <c r="L111" s="916"/>
    </row>
    <row r="112" spans="1:12" s="103" customFormat="1" ht="15.75" hidden="1" customHeight="1" outlineLevel="1">
      <c r="A112" s="916"/>
      <c r="B112" s="1123">
        <v>34</v>
      </c>
      <c r="C112" s="1127"/>
      <c r="D112" s="1125"/>
      <c r="E112" s="1125" t="s">
        <v>18</v>
      </c>
      <c r="F112" s="1130" t="str">
        <f>VLOOKUP(E112,$N$13:$O$17,2,0)</f>
        <v>-</v>
      </c>
      <c r="G112" s="92"/>
      <c r="H112" s="1125"/>
      <c r="I112" s="1125"/>
      <c r="J112" s="1133"/>
      <c r="K112" s="1133"/>
      <c r="L112" s="916"/>
    </row>
    <row r="113" spans="1:12" s="103" customFormat="1" ht="15.75" hidden="1" customHeight="1" outlineLevel="1">
      <c r="A113" s="916"/>
      <c r="B113" s="1123"/>
      <c r="C113" s="1127"/>
      <c r="D113" s="1125"/>
      <c r="E113" s="1125"/>
      <c r="F113" s="1130"/>
      <c r="G113" s="95"/>
      <c r="H113" s="1125"/>
      <c r="I113" s="1125"/>
      <c r="J113" s="1134"/>
      <c r="K113" s="1134"/>
      <c r="L113" s="916"/>
    </row>
    <row r="114" spans="1:12" s="103" customFormat="1" ht="15.75" hidden="1" customHeight="1" outlineLevel="1">
      <c r="A114" s="916"/>
      <c r="B114" s="1124"/>
      <c r="C114" s="1128"/>
      <c r="D114" s="1126"/>
      <c r="E114" s="1126"/>
      <c r="F114" s="1132"/>
      <c r="G114" s="100"/>
      <c r="H114" s="1126"/>
      <c r="I114" s="1126"/>
      <c r="J114" s="1135"/>
      <c r="K114" s="1135"/>
      <c r="L114" s="916"/>
    </row>
    <row r="115" spans="1:12" s="103" customFormat="1" ht="15.75" hidden="1" customHeight="1" outlineLevel="1">
      <c r="A115" s="916"/>
      <c r="B115" s="1123">
        <v>35</v>
      </c>
      <c r="C115" s="1127"/>
      <c r="D115" s="1125"/>
      <c r="E115" s="1125" t="s">
        <v>18</v>
      </c>
      <c r="F115" s="1130" t="str">
        <f>VLOOKUP(E115,$N$13:$O$17,2,0)</f>
        <v>-</v>
      </c>
      <c r="G115" s="92"/>
      <c r="H115" s="1125"/>
      <c r="I115" s="1125"/>
      <c r="J115" s="1133"/>
      <c r="K115" s="1133"/>
      <c r="L115" s="916"/>
    </row>
    <row r="116" spans="1:12" s="103" customFormat="1" ht="15.75" hidden="1" customHeight="1" outlineLevel="1">
      <c r="A116" s="916"/>
      <c r="B116" s="1123"/>
      <c r="C116" s="1127"/>
      <c r="D116" s="1125"/>
      <c r="E116" s="1125"/>
      <c r="F116" s="1130"/>
      <c r="G116" s="95"/>
      <c r="H116" s="1125"/>
      <c r="I116" s="1125"/>
      <c r="J116" s="1134"/>
      <c r="K116" s="1134"/>
      <c r="L116" s="916"/>
    </row>
    <row r="117" spans="1:12" s="103" customFormat="1" ht="15.75" hidden="1" customHeight="1" outlineLevel="1">
      <c r="A117" s="916"/>
      <c r="B117" s="1124"/>
      <c r="C117" s="1128"/>
      <c r="D117" s="1126"/>
      <c r="E117" s="1126"/>
      <c r="F117" s="1132"/>
      <c r="G117" s="100"/>
      <c r="H117" s="1126"/>
      <c r="I117" s="1126"/>
      <c r="J117" s="1135"/>
      <c r="K117" s="1135"/>
      <c r="L117" s="916"/>
    </row>
    <row r="118" spans="1:12" s="103" customFormat="1" ht="15.75" hidden="1" customHeight="1" outlineLevel="1">
      <c r="A118" s="916"/>
      <c r="B118" s="1123">
        <v>36</v>
      </c>
      <c r="C118" s="1127"/>
      <c r="D118" s="1125"/>
      <c r="E118" s="1125" t="s">
        <v>18</v>
      </c>
      <c r="F118" s="1130" t="str">
        <f>VLOOKUP(E118,$N$13:$O$17,2,0)</f>
        <v>-</v>
      </c>
      <c r="G118" s="92"/>
      <c r="H118" s="1125"/>
      <c r="I118" s="1125"/>
      <c r="J118" s="1133"/>
      <c r="K118" s="1133"/>
      <c r="L118" s="916"/>
    </row>
    <row r="119" spans="1:12" s="103" customFormat="1" ht="15.75" hidden="1" customHeight="1" outlineLevel="1">
      <c r="A119" s="916"/>
      <c r="B119" s="1123"/>
      <c r="C119" s="1127"/>
      <c r="D119" s="1125"/>
      <c r="E119" s="1125"/>
      <c r="F119" s="1130"/>
      <c r="G119" s="95"/>
      <c r="H119" s="1125"/>
      <c r="I119" s="1125"/>
      <c r="J119" s="1134"/>
      <c r="K119" s="1134"/>
      <c r="L119" s="916"/>
    </row>
    <row r="120" spans="1:12" s="103" customFormat="1" ht="15.75" hidden="1" customHeight="1" outlineLevel="1">
      <c r="A120" s="916"/>
      <c r="B120" s="1124"/>
      <c r="C120" s="1128"/>
      <c r="D120" s="1126"/>
      <c r="E120" s="1126"/>
      <c r="F120" s="1132"/>
      <c r="G120" s="100"/>
      <c r="H120" s="1126"/>
      <c r="I120" s="1126"/>
      <c r="J120" s="1135"/>
      <c r="K120" s="1135"/>
      <c r="L120" s="916"/>
    </row>
    <row r="121" spans="1:12" s="103" customFormat="1" ht="15.75" hidden="1" customHeight="1" outlineLevel="1">
      <c r="A121" s="916"/>
      <c r="B121" s="1123">
        <v>37</v>
      </c>
      <c r="C121" s="1127"/>
      <c r="D121" s="1125"/>
      <c r="E121" s="1125" t="s">
        <v>18</v>
      </c>
      <c r="F121" s="1130" t="str">
        <f>VLOOKUP(E121,$N$13:$O$17,2,0)</f>
        <v>-</v>
      </c>
      <c r="G121" s="92"/>
      <c r="H121" s="1125"/>
      <c r="I121" s="1125"/>
      <c r="J121" s="1133"/>
      <c r="K121" s="1133"/>
      <c r="L121" s="916"/>
    </row>
    <row r="122" spans="1:12" s="103" customFormat="1" ht="15.75" hidden="1" customHeight="1" outlineLevel="1">
      <c r="A122" s="916"/>
      <c r="B122" s="1123"/>
      <c r="C122" s="1127"/>
      <c r="D122" s="1125"/>
      <c r="E122" s="1125"/>
      <c r="F122" s="1130"/>
      <c r="G122" s="95"/>
      <c r="H122" s="1125"/>
      <c r="I122" s="1125"/>
      <c r="J122" s="1134"/>
      <c r="K122" s="1134"/>
      <c r="L122" s="916"/>
    </row>
    <row r="123" spans="1:12" s="103" customFormat="1" ht="15.75" hidden="1" customHeight="1" outlineLevel="1">
      <c r="A123" s="916"/>
      <c r="B123" s="1124"/>
      <c r="C123" s="1128"/>
      <c r="D123" s="1126"/>
      <c r="E123" s="1126"/>
      <c r="F123" s="1132"/>
      <c r="G123" s="100"/>
      <c r="H123" s="1126"/>
      <c r="I123" s="1126"/>
      <c r="J123" s="1135"/>
      <c r="K123" s="1135"/>
      <c r="L123" s="916"/>
    </row>
    <row r="124" spans="1:12" s="103" customFormat="1" ht="15.75" hidden="1" customHeight="1" outlineLevel="1">
      <c r="A124" s="916"/>
      <c r="B124" s="1123">
        <v>38</v>
      </c>
      <c r="C124" s="1127"/>
      <c r="D124" s="1125"/>
      <c r="E124" s="1125" t="s">
        <v>18</v>
      </c>
      <c r="F124" s="1130" t="str">
        <f>VLOOKUP(E124,$N$13:$O$17,2,0)</f>
        <v>-</v>
      </c>
      <c r="G124" s="92"/>
      <c r="H124" s="1125"/>
      <c r="I124" s="1125"/>
      <c r="J124" s="1133"/>
      <c r="K124" s="1133"/>
      <c r="L124" s="916"/>
    </row>
    <row r="125" spans="1:12" s="103" customFormat="1" ht="15.75" hidden="1" customHeight="1" outlineLevel="1">
      <c r="A125" s="916"/>
      <c r="B125" s="1123"/>
      <c r="C125" s="1127"/>
      <c r="D125" s="1125"/>
      <c r="E125" s="1125"/>
      <c r="F125" s="1130"/>
      <c r="G125" s="95"/>
      <c r="H125" s="1125"/>
      <c r="I125" s="1125"/>
      <c r="J125" s="1134"/>
      <c r="K125" s="1134"/>
      <c r="L125" s="916"/>
    </row>
    <row r="126" spans="1:12" s="103" customFormat="1" ht="15.75" hidden="1" customHeight="1" outlineLevel="1">
      <c r="A126" s="916"/>
      <c r="B126" s="1124"/>
      <c r="C126" s="1128"/>
      <c r="D126" s="1126"/>
      <c r="E126" s="1126"/>
      <c r="F126" s="1132"/>
      <c r="G126" s="100"/>
      <c r="H126" s="1126"/>
      <c r="I126" s="1126"/>
      <c r="J126" s="1135"/>
      <c r="K126" s="1135"/>
      <c r="L126" s="916"/>
    </row>
    <row r="127" spans="1:12" s="103" customFormat="1" ht="15.75" hidden="1" customHeight="1" outlineLevel="1">
      <c r="A127" s="916"/>
      <c r="B127" s="1123">
        <v>39</v>
      </c>
      <c r="C127" s="1127"/>
      <c r="D127" s="1125"/>
      <c r="E127" s="1125" t="s">
        <v>18</v>
      </c>
      <c r="F127" s="1130" t="str">
        <f>VLOOKUP(E127,$N$13:$O$17,2,0)</f>
        <v>-</v>
      </c>
      <c r="G127" s="92"/>
      <c r="H127" s="1125"/>
      <c r="I127" s="1125"/>
      <c r="J127" s="1133"/>
      <c r="K127" s="1133"/>
      <c r="L127" s="916"/>
    </row>
    <row r="128" spans="1:12" s="103" customFormat="1" ht="15.75" hidden="1" customHeight="1" outlineLevel="1">
      <c r="A128" s="916"/>
      <c r="B128" s="1123"/>
      <c r="C128" s="1127"/>
      <c r="D128" s="1125"/>
      <c r="E128" s="1125"/>
      <c r="F128" s="1130"/>
      <c r="G128" s="95"/>
      <c r="H128" s="1125"/>
      <c r="I128" s="1125"/>
      <c r="J128" s="1134"/>
      <c r="K128" s="1134"/>
      <c r="L128" s="916"/>
    </row>
    <row r="129" spans="1:12" s="103" customFormat="1" ht="15.75" hidden="1" customHeight="1" outlineLevel="1">
      <c r="A129" s="916"/>
      <c r="B129" s="1124"/>
      <c r="C129" s="1128"/>
      <c r="D129" s="1126"/>
      <c r="E129" s="1126"/>
      <c r="F129" s="1132"/>
      <c r="G129" s="100"/>
      <c r="H129" s="1126"/>
      <c r="I129" s="1126"/>
      <c r="J129" s="1135"/>
      <c r="K129" s="1135"/>
      <c r="L129" s="916"/>
    </row>
    <row r="130" spans="1:12" s="103" customFormat="1" ht="15.75" hidden="1" customHeight="1" outlineLevel="1">
      <c r="A130" s="916"/>
      <c r="B130" s="1123">
        <v>40</v>
      </c>
      <c r="C130" s="1127"/>
      <c r="D130" s="1125"/>
      <c r="E130" s="1125" t="s">
        <v>18</v>
      </c>
      <c r="F130" s="1130" t="str">
        <f>VLOOKUP(E130,$N$13:$O$17,2,0)</f>
        <v>-</v>
      </c>
      <c r="G130" s="92"/>
      <c r="H130" s="1125"/>
      <c r="I130" s="1125"/>
      <c r="J130" s="1133"/>
      <c r="K130" s="1133"/>
      <c r="L130" s="916"/>
    </row>
    <row r="131" spans="1:12" s="103" customFormat="1" ht="15.75" hidden="1" customHeight="1" outlineLevel="1">
      <c r="A131" s="916"/>
      <c r="B131" s="1123"/>
      <c r="C131" s="1127"/>
      <c r="D131" s="1125"/>
      <c r="E131" s="1125"/>
      <c r="F131" s="1130"/>
      <c r="G131" s="95"/>
      <c r="H131" s="1125"/>
      <c r="I131" s="1125"/>
      <c r="J131" s="1134"/>
      <c r="K131" s="1134"/>
      <c r="L131" s="916"/>
    </row>
    <row r="132" spans="1:12" s="103" customFormat="1" ht="15.75" hidden="1" customHeight="1" outlineLevel="1">
      <c r="A132" s="916"/>
      <c r="B132" s="1124"/>
      <c r="C132" s="1128"/>
      <c r="D132" s="1126"/>
      <c r="E132" s="1126"/>
      <c r="F132" s="1132"/>
      <c r="G132" s="100"/>
      <c r="H132" s="1126"/>
      <c r="I132" s="1126"/>
      <c r="J132" s="1135"/>
      <c r="K132" s="1135"/>
      <c r="L132" s="916"/>
    </row>
    <row r="133" spans="1:12" s="103" customFormat="1" ht="15.75" hidden="1" customHeight="1" outlineLevel="1">
      <c r="A133" s="916"/>
      <c r="B133" s="1123">
        <v>41</v>
      </c>
      <c r="C133" s="1127"/>
      <c r="D133" s="1125"/>
      <c r="E133" s="1125" t="s">
        <v>18</v>
      </c>
      <c r="F133" s="1130" t="str">
        <f>VLOOKUP(E133,$N$13:$O$17,2,0)</f>
        <v>-</v>
      </c>
      <c r="G133" s="92"/>
      <c r="H133" s="1125"/>
      <c r="I133" s="1125"/>
      <c r="J133" s="1133"/>
      <c r="K133" s="1133"/>
      <c r="L133" s="916"/>
    </row>
    <row r="134" spans="1:12" s="103" customFormat="1" ht="15.75" hidden="1" customHeight="1" outlineLevel="1">
      <c r="A134" s="916"/>
      <c r="B134" s="1123"/>
      <c r="C134" s="1127"/>
      <c r="D134" s="1125"/>
      <c r="E134" s="1125"/>
      <c r="F134" s="1130"/>
      <c r="G134" s="95"/>
      <c r="H134" s="1125"/>
      <c r="I134" s="1125"/>
      <c r="J134" s="1134"/>
      <c r="K134" s="1134"/>
      <c r="L134" s="916"/>
    </row>
    <row r="135" spans="1:12" s="103" customFormat="1" ht="15.75" hidden="1" customHeight="1" outlineLevel="1">
      <c r="A135" s="916"/>
      <c r="B135" s="1124"/>
      <c r="C135" s="1128"/>
      <c r="D135" s="1126"/>
      <c r="E135" s="1126"/>
      <c r="F135" s="1132"/>
      <c r="G135" s="100"/>
      <c r="H135" s="1126"/>
      <c r="I135" s="1126"/>
      <c r="J135" s="1135"/>
      <c r="K135" s="1135"/>
      <c r="L135" s="916"/>
    </row>
    <row r="136" spans="1:12" s="103" customFormat="1" ht="15.75" hidden="1" customHeight="1" outlineLevel="1">
      <c r="A136" s="916"/>
      <c r="B136" s="1123">
        <v>42</v>
      </c>
      <c r="C136" s="1127"/>
      <c r="D136" s="1125"/>
      <c r="E136" s="1125" t="s">
        <v>18</v>
      </c>
      <c r="F136" s="1130" t="str">
        <f>VLOOKUP(E136,$N$13:$O$17,2,0)</f>
        <v>-</v>
      </c>
      <c r="G136" s="92"/>
      <c r="H136" s="1125"/>
      <c r="I136" s="1125"/>
      <c r="J136" s="1133"/>
      <c r="K136" s="1133"/>
      <c r="L136" s="916"/>
    </row>
    <row r="137" spans="1:12" s="103" customFormat="1" ht="15.75" hidden="1" customHeight="1" outlineLevel="1">
      <c r="A137" s="916"/>
      <c r="B137" s="1123"/>
      <c r="C137" s="1127"/>
      <c r="D137" s="1125"/>
      <c r="E137" s="1125"/>
      <c r="F137" s="1130"/>
      <c r="G137" s="95"/>
      <c r="H137" s="1125"/>
      <c r="I137" s="1125"/>
      <c r="J137" s="1134"/>
      <c r="K137" s="1134"/>
      <c r="L137" s="916"/>
    </row>
    <row r="138" spans="1:12" s="103" customFormat="1" ht="15.75" hidden="1" customHeight="1" outlineLevel="1">
      <c r="A138" s="916"/>
      <c r="B138" s="1124"/>
      <c r="C138" s="1128"/>
      <c r="D138" s="1126"/>
      <c r="E138" s="1126"/>
      <c r="F138" s="1132"/>
      <c r="G138" s="100"/>
      <c r="H138" s="1126"/>
      <c r="I138" s="1126"/>
      <c r="J138" s="1135"/>
      <c r="K138" s="1135"/>
      <c r="L138" s="916"/>
    </row>
    <row r="139" spans="1:12" s="103" customFormat="1" ht="15.75" hidden="1" customHeight="1" outlineLevel="1">
      <c r="A139" s="916"/>
      <c r="B139" s="1123">
        <v>43</v>
      </c>
      <c r="C139" s="1127"/>
      <c r="D139" s="1125"/>
      <c r="E139" s="1125" t="s">
        <v>18</v>
      </c>
      <c r="F139" s="1130" t="str">
        <f>VLOOKUP(E139,$N$13:$O$17,2,0)</f>
        <v>-</v>
      </c>
      <c r="G139" s="92"/>
      <c r="H139" s="1125"/>
      <c r="I139" s="1125"/>
      <c r="J139" s="1133"/>
      <c r="K139" s="1133"/>
      <c r="L139" s="916"/>
    </row>
    <row r="140" spans="1:12" s="103" customFormat="1" ht="15.75" hidden="1" customHeight="1" outlineLevel="1">
      <c r="A140" s="916"/>
      <c r="B140" s="1123"/>
      <c r="C140" s="1127"/>
      <c r="D140" s="1125"/>
      <c r="E140" s="1125"/>
      <c r="F140" s="1130"/>
      <c r="G140" s="95"/>
      <c r="H140" s="1125"/>
      <c r="I140" s="1125"/>
      <c r="J140" s="1134"/>
      <c r="K140" s="1134"/>
      <c r="L140" s="916"/>
    </row>
    <row r="141" spans="1:12" s="103" customFormat="1" ht="15.75" hidden="1" customHeight="1" outlineLevel="1">
      <c r="A141" s="916"/>
      <c r="B141" s="1124"/>
      <c r="C141" s="1128"/>
      <c r="D141" s="1126"/>
      <c r="E141" s="1126"/>
      <c r="F141" s="1132"/>
      <c r="G141" s="100"/>
      <c r="H141" s="1126"/>
      <c r="I141" s="1126"/>
      <c r="J141" s="1135"/>
      <c r="K141" s="1135"/>
      <c r="L141" s="916"/>
    </row>
    <row r="142" spans="1:12" s="103" customFormat="1" ht="15.75" hidden="1" customHeight="1" outlineLevel="1">
      <c r="A142" s="916"/>
      <c r="B142" s="1123">
        <v>44</v>
      </c>
      <c r="C142" s="1127"/>
      <c r="D142" s="1125"/>
      <c r="E142" s="1125" t="s">
        <v>18</v>
      </c>
      <c r="F142" s="1130" t="str">
        <f>VLOOKUP(E142,$N$13:$O$17,2,0)</f>
        <v>-</v>
      </c>
      <c r="G142" s="92"/>
      <c r="H142" s="823"/>
      <c r="I142" s="1125"/>
      <c r="J142" s="1133"/>
      <c r="K142" s="1133"/>
      <c r="L142" s="916"/>
    </row>
    <row r="143" spans="1:12" s="103" customFormat="1" ht="15.75" hidden="1" customHeight="1" outlineLevel="1">
      <c r="A143" s="916"/>
      <c r="B143" s="1123"/>
      <c r="C143" s="1127"/>
      <c r="D143" s="1125"/>
      <c r="E143" s="1125"/>
      <c r="F143" s="1130"/>
      <c r="G143" s="95"/>
      <c r="H143" s="823"/>
      <c r="I143" s="1125"/>
      <c r="J143" s="1134"/>
      <c r="K143" s="1134"/>
      <c r="L143" s="916"/>
    </row>
    <row r="144" spans="1:12" s="103" customFormat="1" ht="15.75" hidden="1" customHeight="1" outlineLevel="1">
      <c r="A144" s="916"/>
      <c r="B144" s="1124"/>
      <c r="C144" s="1128"/>
      <c r="D144" s="1126"/>
      <c r="E144" s="1126"/>
      <c r="F144" s="1132"/>
      <c r="G144" s="100"/>
      <c r="H144" s="824"/>
      <c r="I144" s="1126"/>
      <c r="J144" s="1135"/>
      <c r="K144" s="1135"/>
      <c r="L144" s="916"/>
    </row>
    <row r="145" spans="1:12" s="103" customFormat="1" ht="15.75" hidden="1" customHeight="1" outlineLevel="1">
      <c r="A145" s="916"/>
      <c r="B145" s="1123">
        <v>45</v>
      </c>
      <c r="C145" s="1127"/>
      <c r="D145" s="1125"/>
      <c r="E145" s="1125" t="s">
        <v>18</v>
      </c>
      <c r="F145" s="1130" t="str">
        <f>VLOOKUP(E145,$N$13:$O$17,2,0)</f>
        <v>-</v>
      </c>
      <c r="G145" s="92"/>
      <c r="H145" s="823"/>
      <c r="I145" s="1125"/>
      <c r="J145" s="1133"/>
      <c r="K145" s="1133"/>
      <c r="L145" s="916"/>
    </row>
    <row r="146" spans="1:12" s="103" customFormat="1" ht="15.75" hidden="1" customHeight="1" outlineLevel="1">
      <c r="A146" s="916"/>
      <c r="B146" s="1123"/>
      <c r="C146" s="1127"/>
      <c r="D146" s="1125"/>
      <c r="E146" s="1125"/>
      <c r="F146" s="1130"/>
      <c r="G146" s="95"/>
      <c r="H146" s="823"/>
      <c r="I146" s="1125"/>
      <c r="J146" s="1134"/>
      <c r="K146" s="1134"/>
      <c r="L146" s="916"/>
    </row>
    <row r="147" spans="1:12" s="103" customFormat="1" ht="15.75" hidden="1" customHeight="1" outlineLevel="1">
      <c r="A147" s="916"/>
      <c r="B147" s="1124"/>
      <c r="C147" s="1128"/>
      <c r="D147" s="1126"/>
      <c r="E147" s="1126"/>
      <c r="F147" s="1132"/>
      <c r="G147" s="100"/>
      <c r="H147" s="824"/>
      <c r="I147" s="1126"/>
      <c r="J147" s="1135"/>
      <c r="K147" s="1135"/>
      <c r="L147" s="916"/>
    </row>
    <row r="148" spans="1:12" s="103" customFormat="1" ht="15.75" hidden="1" customHeight="1" outlineLevel="1">
      <c r="A148" s="916"/>
      <c r="B148" s="1123">
        <v>46</v>
      </c>
      <c r="C148" s="1127"/>
      <c r="D148" s="1125"/>
      <c r="E148" s="1125" t="s">
        <v>18</v>
      </c>
      <c r="F148" s="1130" t="str">
        <f>VLOOKUP(E148,$N$13:$O$17,2,0)</f>
        <v>-</v>
      </c>
      <c r="G148" s="92"/>
      <c r="H148" s="823"/>
      <c r="I148" s="1125"/>
      <c r="J148" s="1133"/>
      <c r="K148" s="1133"/>
      <c r="L148" s="916"/>
    </row>
    <row r="149" spans="1:12" s="103" customFormat="1" ht="15.75" hidden="1" customHeight="1" outlineLevel="1">
      <c r="A149" s="916"/>
      <c r="B149" s="1123"/>
      <c r="C149" s="1127"/>
      <c r="D149" s="1125"/>
      <c r="E149" s="1125"/>
      <c r="F149" s="1130"/>
      <c r="G149" s="95"/>
      <c r="H149" s="823"/>
      <c r="I149" s="1125"/>
      <c r="J149" s="1134"/>
      <c r="K149" s="1134"/>
      <c r="L149" s="916"/>
    </row>
    <row r="150" spans="1:12" s="103" customFormat="1" ht="15.75" hidden="1" customHeight="1" outlineLevel="1">
      <c r="A150" s="916"/>
      <c r="B150" s="1124"/>
      <c r="C150" s="1128"/>
      <c r="D150" s="1126"/>
      <c r="E150" s="1126"/>
      <c r="F150" s="1132"/>
      <c r="G150" s="100"/>
      <c r="H150" s="824"/>
      <c r="I150" s="1126"/>
      <c r="J150" s="1135"/>
      <c r="K150" s="1135"/>
      <c r="L150" s="916"/>
    </row>
    <row r="151" spans="1:12" s="103" customFormat="1" ht="15.75" hidden="1" customHeight="1" outlineLevel="1">
      <c r="A151" s="916"/>
      <c r="B151" s="1123">
        <v>47</v>
      </c>
      <c r="C151" s="1127"/>
      <c r="D151" s="1125"/>
      <c r="E151" s="1125" t="s">
        <v>18</v>
      </c>
      <c r="F151" s="1130" t="str">
        <f>VLOOKUP(E151,$N$13:$O$17,2,0)</f>
        <v>-</v>
      </c>
      <c r="G151" s="92"/>
      <c r="H151" s="823"/>
      <c r="I151" s="1125"/>
      <c r="J151" s="1133"/>
      <c r="K151" s="1133"/>
      <c r="L151" s="916"/>
    </row>
    <row r="152" spans="1:12" s="103" customFormat="1" ht="15.75" hidden="1" customHeight="1" outlineLevel="1">
      <c r="A152" s="916"/>
      <c r="B152" s="1123"/>
      <c r="C152" s="1127"/>
      <c r="D152" s="1125"/>
      <c r="E152" s="1125"/>
      <c r="F152" s="1130"/>
      <c r="G152" s="95"/>
      <c r="H152" s="823"/>
      <c r="I152" s="1125"/>
      <c r="J152" s="1134"/>
      <c r="K152" s="1134"/>
      <c r="L152" s="916"/>
    </row>
    <row r="153" spans="1:12" s="103" customFormat="1" ht="15.75" hidden="1" customHeight="1" outlineLevel="1">
      <c r="A153" s="916"/>
      <c r="B153" s="1124"/>
      <c r="C153" s="1128"/>
      <c r="D153" s="1126"/>
      <c r="E153" s="1126"/>
      <c r="F153" s="1132"/>
      <c r="G153" s="100"/>
      <c r="H153" s="824"/>
      <c r="I153" s="1126"/>
      <c r="J153" s="1135"/>
      <c r="K153" s="1135"/>
      <c r="L153" s="916"/>
    </row>
    <row r="154" spans="1:12" s="103" customFormat="1" ht="15.75" hidden="1" customHeight="1" outlineLevel="1">
      <c r="A154" s="916"/>
      <c r="B154" s="1123">
        <v>48</v>
      </c>
      <c r="C154" s="1127"/>
      <c r="D154" s="1125"/>
      <c r="E154" s="1125" t="s">
        <v>18</v>
      </c>
      <c r="F154" s="1130" t="str">
        <f>VLOOKUP(E154,$N$13:$O$17,2,0)</f>
        <v>-</v>
      </c>
      <c r="G154" s="92"/>
      <c r="H154" s="823"/>
      <c r="I154" s="1125"/>
      <c r="J154" s="1133"/>
      <c r="K154" s="1133"/>
      <c r="L154" s="916"/>
    </row>
    <row r="155" spans="1:12" s="103" customFormat="1" ht="15.75" hidden="1" customHeight="1" outlineLevel="1">
      <c r="A155" s="916"/>
      <c r="B155" s="1123"/>
      <c r="C155" s="1127"/>
      <c r="D155" s="1125"/>
      <c r="E155" s="1125"/>
      <c r="F155" s="1130"/>
      <c r="G155" s="95"/>
      <c r="H155" s="823"/>
      <c r="I155" s="1125"/>
      <c r="J155" s="1134"/>
      <c r="K155" s="1134"/>
      <c r="L155" s="916"/>
    </row>
    <row r="156" spans="1:12" s="103" customFormat="1" ht="15.75" hidden="1" customHeight="1" outlineLevel="1">
      <c r="A156" s="916"/>
      <c r="B156" s="1124"/>
      <c r="C156" s="1128"/>
      <c r="D156" s="1126"/>
      <c r="E156" s="1126"/>
      <c r="F156" s="1132"/>
      <c r="G156" s="100"/>
      <c r="H156" s="824"/>
      <c r="I156" s="1126"/>
      <c r="J156" s="1135"/>
      <c r="K156" s="1135"/>
      <c r="L156" s="916"/>
    </row>
    <row r="157" spans="1:12" s="103" customFormat="1" ht="15.75" hidden="1" customHeight="1" outlineLevel="1">
      <c r="A157" s="916"/>
      <c r="B157" s="1123">
        <v>49</v>
      </c>
      <c r="C157" s="1127"/>
      <c r="D157" s="1125"/>
      <c r="E157" s="1125" t="s">
        <v>18</v>
      </c>
      <c r="F157" s="1130" t="str">
        <f>VLOOKUP(E157,$N$13:$O$17,2,0)</f>
        <v>-</v>
      </c>
      <c r="G157" s="92"/>
      <c r="H157" s="823"/>
      <c r="I157" s="1125"/>
      <c r="J157" s="1133"/>
      <c r="K157" s="1133"/>
      <c r="L157" s="916"/>
    </row>
    <row r="158" spans="1:12" s="103" customFormat="1" ht="15.75" hidden="1" customHeight="1" outlineLevel="1">
      <c r="A158" s="916"/>
      <c r="B158" s="1123"/>
      <c r="C158" s="1127"/>
      <c r="D158" s="1125"/>
      <c r="E158" s="1125"/>
      <c r="F158" s="1130"/>
      <c r="G158" s="95"/>
      <c r="H158" s="823"/>
      <c r="I158" s="1125"/>
      <c r="J158" s="1134"/>
      <c r="K158" s="1134"/>
      <c r="L158" s="916"/>
    </row>
    <row r="159" spans="1:12" s="103" customFormat="1" ht="15.75" hidden="1" customHeight="1" outlineLevel="1">
      <c r="A159" s="916"/>
      <c r="B159" s="1124"/>
      <c r="C159" s="1128"/>
      <c r="D159" s="1126"/>
      <c r="E159" s="1126"/>
      <c r="F159" s="1132"/>
      <c r="G159" s="100"/>
      <c r="H159" s="824"/>
      <c r="I159" s="1126"/>
      <c r="J159" s="1135"/>
      <c r="K159" s="1135"/>
      <c r="L159" s="916"/>
    </row>
    <row r="160" spans="1:12" s="103" customFormat="1" ht="15.75" hidden="1" customHeight="1" outlineLevel="1">
      <c r="A160" s="916"/>
      <c r="B160" s="1123">
        <v>50</v>
      </c>
      <c r="C160" s="1127"/>
      <c r="D160" s="1125"/>
      <c r="E160" s="1125" t="s">
        <v>18</v>
      </c>
      <c r="F160" s="1130" t="str">
        <f>VLOOKUP(E160,$N$13:$O$17,2,0)</f>
        <v>-</v>
      </c>
      <c r="G160" s="92"/>
      <c r="H160" s="823"/>
      <c r="I160" s="1125"/>
      <c r="J160" s="1133"/>
      <c r="K160" s="1133"/>
      <c r="L160" s="916"/>
    </row>
    <row r="161" spans="1:12" s="103" customFormat="1" ht="15.75" hidden="1" customHeight="1" outlineLevel="1">
      <c r="A161" s="916"/>
      <c r="B161" s="1123"/>
      <c r="C161" s="1127"/>
      <c r="D161" s="1125"/>
      <c r="E161" s="1125"/>
      <c r="F161" s="1130"/>
      <c r="G161" s="95"/>
      <c r="H161" s="823"/>
      <c r="I161" s="1125"/>
      <c r="J161" s="1134"/>
      <c r="K161" s="1134"/>
      <c r="L161" s="916"/>
    </row>
    <row r="162" spans="1:12" s="103" customFormat="1" ht="15.75" hidden="1" customHeight="1" outlineLevel="1">
      <c r="A162" s="916"/>
      <c r="B162" s="1124"/>
      <c r="C162" s="1128"/>
      <c r="D162" s="1126"/>
      <c r="E162" s="1126"/>
      <c r="F162" s="1132"/>
      <c r="G162" s="100"/>
      <c r="H162" s="824"/>
      <c r="I162" s="1126"/>
      <c r="J162" s="1135"/>
      <c r="K162" s="1135"/>
      <c r="L162" s="916"/>
    </row>
    <row r="163" spans="1:12" s="103" customFormat="1" ht="15.75" hidden="1" customHeight="1" outlineLevel="1">
      <c r="A163" s="916"/>
      <c r="B163" s="1123">
        <v>51</v>
      </c>
      <c r="C163" s="1127"/>
      <c r="D163" s="1125"/>
      <c r="E163" s="1125" t="s">
        <v>18</v>
      </c>
      <c r="F163" s="1130" t="str">
        <f>VLOOKUP(E163,$N$13:$O$17,2,0)</f>
        <v>-</v>
      </c>
      <c r="G163" s="92"/>
      <c r="H163" s="823"/>
      <c r="I163" s="1125"/>
      <c r="J163" s="1133"/>
      <c r="K163" s="1133"/>
      <c r="L163" s="916"/>
    </row>
    <row r="164" spans="1:12" s="103" customFormat="1" ht="15.75" hidden="1" customHeight="1" outlineLevel="1">
      <c r="A164" s="916"/>
      <c r="B164" s="1123"/>
      <c r="C164" s="1127"/>
      <c r="D164" s="1125"/>
      <c r="E164" s="1125"/>
      <c r="F164" s="1130"/>
      <c r="G164" s="95"/>
      <c r="H164" s="823"/>
      <c r="I164" s="1125"/>
      <c r="J164" s="1134"/>
      <c r="K164" s="1134"/>
      <c r="L164" s="916"/>
    </row>
    <row r="165" spans="1:12" s="103" customFormat="1" ht="15.75" hidden="1" customHeight="1" outlineLevel="1">
      <c r="A165" s="916"/>
      <c r="B165" s="1124"/>
      <c r="C165" s="1128"/>
      <c r="D165" s="1126"/>
      <c r="E165" s="1126"/>
      <c r="F165" s="1132"/>
      <c r="G165" s="100"/>
      <c r="H165" s="824"/>
      <c r="I165" s="1126"/>
      <c r="J165" s="1135"/>
      <c r="K165" s="1135"/>
      <c r="L165" s="916"/>
    </row>
    <row r="166" spans="1:12" s="103" customFormat="1" ht="15.75" hidden="1" customHeight="1" outlineLevel="1">
      <c r="A166" s="916"/>
      <c r="B166" s="1123">
        <v>52</v>
      </c>
      <c r="C166" s="1127"/>
      <c r="D166" s="1125"/>
      <c r="E166" s="1125" t="s">
        <v>18</v>
      </c>
      <c r="F166" s="1130" t="str">
        <f>VLOOKUP(E166,$N$13:$O$17,2,0)</f>
        <v>-</v>
      </c>
      <c r="G166" s="92"/>
      <c r="H166" s="823"/>
      <c r="I166" s="1125"/>
      <c r="J166" s="1133"/>
      <c r="K166" s="1133"/>
      <c r="L166" s="916"/>
    </row>
    <row r="167" spans="1:12" s="103" customFormat="1" ht="15.75" hidden="1" customHeight="1" outlineLevel="1">
      <c r="A167" s="916"/>
      <c r="B167" s="1123"/>
      <c r="C167" s="1127"/>
      <c r="D167" s="1125"/>
      <c r="E167" s="1125"/>
      <c r="F167" s="1130"/>
      <c r="G167" s="95"/>
      <c r="H167" s="823"/>
      <c r="I167" s="1125"/>
      <c r="J167" s="1134"/>
      <c r="K167" s="1134"/>
      <c r="L167" s="916"/>
    </row>
    <row r="168" spans="1:12" s="103" customFormat="1" ht="15.75" hidden="1" customHeight="1" outlineLevel="1">
      <c r="A168" s="916"/>
      <c r="B168" s="1124"/>
      <c r="C168" s="1128"/>
      <c r="D168" s="1126"/>
      <c r="E168" s="1126"/>
      <c r="F168" s="1132"/>
      <c r="G168" s="100"/>
      <c r="H168" s="824"/>
      <c r="I168" s="1126"/>
      <c r="J168" s="1135"/>
      <c r="K168" s="1135"/>
      <c r="L168" s="916"/>
    </row>
    <row r="169" spans="1:12" s="103" customFormat="1" ht="15.75" hidden="1" customHeight="1" outlineLevel="1">
      <c r="A169" s="916"/>
      <c r="B169" s="1123">
        <v>53</v>
      </c>
      <c r="C169" s="1127"/>
      <c r="D169" s="1125"/>
      <c r="E169" s="1125" t="s">
        <v>18</v>
      </c>
      <c r="F169" s="1130" t="str">
        <f>VLOOKUP(E169,$N$13:$O$17,2,0)</f>
        <v>-</v>
      </c>
      <c r="G169" s="92"/>
      <c r="H169" s="823"/>
      <c r="I169" s="1125"/>
      <c r="J169" s="1133"/>
      <c r="K169" s="1133"/>
      <c r="L169" s="916"/>
    </row>
    <row r="170" spans="1:12" s="103" customFormat="1" ht="15.75" hidden="1" customHeight="1" outlineLevel="1">
      <c r="A170" s="916"/>
      <c r="B170" s="1123"/>
      <c r="C170" s="1127"/>
      <c r="D170" s="1125"/>
      <c r="E170" s="1125"/>
      <c r="F170" s="1130"/>
      <c r="G170" s="95"/>
      <c r="H170" s="823"/>
      <c r="I170" s="1125"/>
      <c r="J170" s="1134"/>
      <c r="K170" s="1134"/>
      <c r="L170" s="916"/>
    </row>
    <row r="171" spans="1:12" s="103" customFormat="1" ht="15.75" hidden="1" customHeight="1" outlineLevel="1">
      <c r="A171" s="916"/>
      <c r="B171" s="1124"/>
      <c r="C171" s="1128"/>
      <c r="D171" s="1126"/>
      <c r="E171" s="1126"/>
      <c r="F171" s="1132"/>
      <c r="G171" s="100"/>
      <c r="H171" s="824"/>
      <c r="I171" s="1126"/>
      <c r="J171" s="1135"/>
      <c r="K171" s="1135"/>
      <c r="L171" s="916"/>
    </row>
    <row r="172" spans="1:12" s="103" customFormat="1" ht="15.75" hidden="1" customHeight="1" outlineLevel="1">
      <c r="A172" s="916"/>
      <c r="B172" s="1123">
        <v>54</v>
      </c>
      <c r="C172" s="1127"/>
      <c r="D172" s="1125"/>
      <c r="E172" s="1125" t="s">
        <v>18</v>
      </c>
      <c r="F172" s="1130" t="str">
        <f>VLOOKUP(E172,$N$13:$O$17,2,0)</f>
        <v>-</v>
      </c>
      <c r="G172" s="92"/>
      <c r="H172" s="823"/>
      <c r="I172" s="1125"/>
      <c r="J172" s="1133"/>
      <c r="K172" s="1133"/>
      <c r="L172" s="916"/>
    </row>
    <row r="173" spans="1:12" s="103" customFormat="1" ht="15.75" hidden="1" customHeight="1" outlineLevel="1">
      <c r="A173" s="916"/>
      <c r="B173" s="1123"/>
      <c r="C173" s="1127"/>
      <c r="D173" s="1125"/>
      <c r="E173" s="1125"/>
      <c r="F173" s="1130"/>
      <c r="G173" s="95"/>
      <c r="H173" s="823"/>
      <c r="I173" s="1125"/>
      <c r="J173" s="1134"/>
      <c r="K173" s="1134"/>
      <c r="L173" s="916"/>
    </row>
    <row r="174" spans="1:12" s="103" customFormat="1" ht="15.75" hidden="1" customHeight="1" outlineLevel="1">
      <c r="A174" s="916"/>
      <c r="B174" s="1124"/>
      <c r="C174" s="1128"/>
      <c r="D174" s="1126"/>
      <c r="E174" s="1126"/>
      <c r="F174" s="1132"/>
      <c r="G174" s="100"/>
      <c r="H174" s="824"/>
      <c r="I174" s="1126"/>
      <c r="J174" s="1135"/>
      <c r="K174" s="1135"/>
      <c r="L174" s="916"/>
    </row>
    <row r="175" spans="1:12" s="103" customFormat="1" ht="15.75" hidden="1" customHeight="1" outlineLevel="1">
      <c r="A175" s="916"/>
      <c r="B175" s="1123">
        <v>55</v>
      </c>
      <c r="C175" s="1127"/>
      <c r="D175" s="1125"/>
      <c r="E175" s="1125" t="s">
        <v>18</v>
      </c>
      <c r="F175" s="1130" t="str">
        <f>VLOOKUP(E175,$N$13:$O$17,2,0)</f>
        <v>-</v>
      </c>
      <c r="G175" s="92"/>
      <c r="H175" s="823"/>
      <c r="I175" s="1125"/>
      <c r="J175" s="1133"/>
      <c r="K175" s="1133"/>
      <c r="L175" s="916"/>
    </row>
    <row r="176" spans="1:12" s="103" customFormat="1" ht="15.75" hidden="1" customHeight="1" outlineLevel="1">
      <c r="A176" s="916"/>
      <c r="B176" s="1123"/>
      <c r="C176" s="1127"/>
      <c r="D176" s="1125"/>
      <c r="E176" s="1125"/>
      <c r="F176" s="1130"/>
      <c r="G176" s="95"/>
      <c r="H176" s="823"/>
      <c r="I176" s="1125"/>
      <c r="J176" s="1134"/>
      <c r="K176" s="1134"/>
      <c r="L176" s="916"/>
    </row>
    <row r="177" spans="1:12" s="103" customFormat="1" ht="15.75" hidden="1" customHeight="1" outlineLevel="1">
      <c r="A177" s="916"/>
      <c r="B177" s="1124"/>
      <c r="C177" s="1128"/>
      <c r="D177" s="1126"/>
      <c r="E177" s="1126"/>
      <c r="F177" s="1132"/>
      <c r="G177" s="100"/>
      <c r="H177" s="824"/>
      <c r="I177" s="1126"/>
      <c r="J177" s="1135"/>
      <c r="K177" s="1135"/>
      <c r="L177" s="916"/>
    </row>
    <row r="178" spans="1:12" s="103" customFormat="1" ht="15.75" hidden="1" customHeight="1" outlineLevel="1">
      <c r="A178" s="916"/>
      <c r="B178" s="1123">
        <v>56</v>
      </c>
      <c r="C178" s="1127"/>
      <c r="D178" s="1125"/>
      <c r="E178" s="1125" t="s">
        <v>18</v>
      </c>
      <c r="F178" s="1130" t="str">
        <f>VLOOKUP(E178,$N$13:$O$17,2,0)</f>
        <v>-</v>
      </c>
      <c r="G178" s="92"/>
      <c r="H178" s="823"/>
      <c r="I178" s="1125"/>
      <c r="J178" s="1133"/>
      <c r="K178" s="1133"/>
      <c r="L178" s="916"/>
    </row>
    <row r="179" spans="1:12" s="103" customFormat="1" ht="15.75" hidden="1" customHeight="1" outlineLevel="1">
      <c r="A179" s="916"/>
      <c r="B179" s="1123"/>
      <c r="C179" s="1127"/>
      <c r="D179" s="1125"/>
      <c r="E179" s="1125"/>
      <c r="F179" s="1130"/>
      <c r="G179" s="95"/>
      <c r="H179" s="823"/>
      <c r="I179" s="1125"/>
      <c r="J179" s="1134"/>
      <c r="K179" s="1134"/>
      <c r="L179" s="916"/>
    </row>
    <row r="180" spans="1:12" s="103" customFormat="1" ht="15.75" hidden="1" customHeight="1" outlineLevel="1">
      <c r="A180" s="916"/>
      <c r="B180" s="1124"/>
      <c r="C180" s="1128"/>
      <c r="D180" s="1126"/>
      <c r="E180" s="1126"/>
      <c r="F180" s="1132"/>
      <c r="G180" s="100"/>
      <c r="H180" s="824"/>
      <c r="I180" s="1126"/>
      <c r="J180" s="1135"/>
      <c r="K180" s="1135"/>
      <c r="L180" s="916"/>
    </row>
    <row r="181" spans="1:12" s="103" customFormat="1" ht="15.75" hidden="1" customHeight="1" outlineLevel="1">
      <c r="A181" s="916"/>
      <c r="B181" s="1123">
        <v>57</v>
      </c>
      <c r="C181" s="1127"/>
      <c r="D181" s="1125"/>
      <c r="E181" s="1125" t="s">
        <v>18</v>
      </c>
      <c r="F181" s="1130" t="str">
        <f>VLOOKUP(E181,$N$13:$O$17,2,0)</f>
        <v>-</v>
      </c>
      <c r="G181" s="92"/>
      <c r="H181" s="823"/>
      <c r="I181" s="1125"/>
      <c r="J181" s="1133"/>
      <c r="K181" s="1133"/>
      <c r="L181" s="916"/>
    </row>
    <row r="182" spans="1:12" s="103" customFormat="1" ht="15.75" hidden="1" customHeight="1" outlineLevel="1">
      <c r="A182" s="916"/>
      <c r="B182" s="1123"/>
      <c r="C182" s="1127"/>
      <c r="D182" s="1125"/>
      <c r="E182" s="1125"/>
      <c r="F182" s="1130"/>
      <c r="G182" s="95"/>
      <c r="H182" s="823"/>
      <c r="I182" s="1125"/>
      <c r="J182" s="1134"/>
      <c r="K182" s="1134"/>
      <c r="L182" s="916"/>
    </row>
    <row r="183" spans="1:12" s="103" customFormat="1" ht="15.75" hidden="1" customHeight="1" outlineLevel="1">
      <c r="A183" s="916"/>
      <c r="B183" s="1124"/>
      <c r="C183" s="1128"/>
      <c r="D183" s="1126"/>
      <c r="E183" s="1126"/>
      <c r="F183" s="1132"/>
      <c r="G183" s="100"/>
      <c r="H183" s="824"/>
      <c r="I183" s="1126"/>
      <c r="J183" s="1135"/>
      <c r="K183" s="1135"/>
      <c r="L183" s="916"/>
    </row>
    <row r="184" spans="1:12" s="103" customFormat="1" ht="15.75" hidden="1" customHeight="1" outlineLevel="1">
      <c r="A184" s="916"/>
      <c r="B184" s="1123">
        <v>58</v>
      </c>
      <c r="C184" s="1127"/>
      <c r="D184" s="1125"/>
      <c r="E184" s="1125" t="s">
        <v>18</v>
      </c>
      <c r="F184" s="1130" t="str">
        <f>VLOOKUP(E184,$N$13:$O$17,2,0)</f>
        <v>-</v>
      </c>
      <c r="G184" s="92"/>
      <c r="H184" s="823"/>
      <c r="I184" s="1125"/>
      <c r="J184" s="1133"/>
      <c r="K184" s="1133"/>
      <c r="L184" s="916"/>
    </row>
    <row r="185" spans="1:12" s="103" customFormat="1" ht="15.75" hidden="1" customHeight="1" outlineLevel="1">
      <c r="A185" s="916"/>
      <c r="B185" s="1123"/>
      <c r="C185" s="1127"/>
      <c r="D185" s="1125"/>
      <c r="E185" s="1125"/>
      <c r="F185" s="1130"/>
      <c r="G185" s="95"/>
      <c r="H185" s="823"/>
      <c r="I185" s="1125"/>
      <c r="J185" s="1134"/>
      <c r="K185" s="1134"/>
      <c r="L185" s="916"/>
    </row>
    <row r="186" spans="1:12" s="103" customFormat="1" ht="15.75" hidden="1" customHeight="1" outlineLevel="1">
      <c r="A186" s="916"/>
      <c r="B186" s="1124"/>
      <c r="C186" s="1128"/>
      <c r="D186" s="1126"/>
      <c r="E186" s="1126"/>
      <c r="F186" s="1132"/>
      <c r="G186" s="100"/>
      <c r="H186" s="824"/>
      <c r="I186" s="1126"/>
      <c r="J186" s="1135"/>
      <c r="K186" s="1135"/>
      <c r="L186" s="916"/>
    </row>
    <row r="187" spans="1:12" s="103" customFormat="1" ht="15.75" hidden="1" customHeight="1" outlineLevel="1">
      <c r="A187" s="916"/>
      <c r="B187" s="1123">
        <v>59</v>
      </c>
      <c r="C187" s="1127"/>
      <c r="D187" s="1125"/>
      <c r="E187" s="1125" t="s">
        <v>18</v>
      </c>
      <c r="F187" s="1130" t="str">
        <f>VLOOKUP(E187,$N$13:$O$17,2,0)</f>
        <v>-</v>
      </c>
      <c r="G187" s="92"/>
      <c r="H187" s="823"/>
      <c r="I187" s="1125"/>
      <c r="J187" s="1133"/>
      <c r="K187" s="1133"/>
      <c r="L187" s="916"/>
    </row>
    <row r="188" spans="1:12" s="103" customFormat="1" ht="15.75" hidden="1" customHeight="1" outlineLevel="1">
      <c r="A188" s="916"/>
      <c r="B188" s="1123"/>
      <c r="C188" s="1127"/>
      <c r="D188" s="1125"/>
      <c r="E188" s="1125"/>
      <c r="F188" s="1130"/>
      <c r="G188" s="95"/>
      <c r="H188" s="823"/>
      <c r="I188" s="1125"/>
      <c r="J188" s="1134"/>
      <c r="K188" s="1134"/>
      <c r="L188" s="916"/>
    </row>
    <row r="189" spans="1:12" s="103" customFormat="1" ht="15.75" hidden="1" customHeight="1" outlineLevel="1">
      <c r="A189" s="916"/>
      <c r="B189" s="1124"/>
      <c r="C189" s="1128"/>
      <c r="D189" s="1126"/>
      <c r="E189" s="1126"/>
      <c r="F189" s="1132"/>
      <c r="G189" s="100"/>
      <c r="H189" s="824"/>
      <c r="I189" s="1126"/>
      <c r="J189" s="1135"/>
      <c r="K189" s="1135"/>
      <c r="L189" s="916"/>
    </row>
    <row r="190" spans="1:12" s="103" customFormat="1" ht="15.75" hidden="1" customHeight="1" outlineLevel="1">
      <c r="A190" s="916"/>
      <c r="B190" s="1123">
        <v>60</v>
      </c>
      <c r="C190" s="1127"/>
      <c r="D190" s="1125"/>
      <c r="E190" s="1125" t="s">
        <v>18</v>
      </c>
      <c r="F190" s="1130" t="str">
        <f>VLOOKUP(E190,$N$13:$O$17,2,0)</f>
        <v>-</v>
      </c>
      <c r="G190" s="92"/>
      <c r="H190" s="823"/>
      <c r="I190" s="1125"/>
      <c r="J190" s="1133"/>
      <c r="K190" s="1133"/>
      <c r="L190" s="916"/>
    </row>
    <row r="191" spans="1:12" s="103" customFormat="1" ht="15.75" hidden="1" customHeight="1" outlineLevel="1">
      <c r="A191" s="916"/>
      <c r="B191" s="1123"/>
      <c r="C191" s="1127"/>
      <c r="D191" s="1125"/>
      <c r="E191" s="1125"/>
      <c r="F191" s="1130"/>
      <c r="G191" s="95"/>
      <c r="H191" s="823"/>
      <c r="I191" s="1125"/>
      <c r="J191" s="1134"/>
      <c r="K191" s="1134"/>
      <c r="L191" s="916"/>
    </row>
    <row r="192" spans="1:12" s="103" customFormat="1" ht="15.75" hidden="1" customHeight="1" outlineLevel="1">
      <c r="A192" s="916"/>
      <c r="B192" s="1124"/>
      <c r="C192" s="1128"/>
      <c r="D192" s="1126"/>
      <c r="E192" s="1126"/>
      <c r="F192" s="1132"/>
      <c r="G192" s="100"/>
      <c r="H192" s="824"/>
      <c r="I192" s="1126"/>
      <c r="J192" s="1135"/>
      <c r="K192" s="1135"/>
      <c r="L192" s="916"/>
    </row>
    <row r="193" spans="1:12" s="103" customFormat="1" ht="15.75" hidden="1" customHeight="1" outlineLevel="1">
      <c r="A193" s="916"/>
      <c r="B193" s="1123">
        <v>61</v>
      </c>
      <c r="C193" s="1127"/>
      <c r="D193" s="1125"/>
      <c r="E193" s="1125" t="s">
        <v>18</v>
      </c>
      <c r="F193" s="1130" t="str">
        <f>VLOOKUP(E193,$N$13:$O$17,2,0)</f>
        <v>-</v>
      </c>
      <c r="G193" s="92"/>
      <c r="H193" s="823"/>
      <c r="I193" s="1125"/>
      <c r="J193" s="1133"/>
      <c r="K193" s="1133"/>
      <c r="L193" s="916"/>
    </row>
    <row r="194" spans="1:12" s="103" customFormat="1" ht="15.75" hidden="1" customHeight="1" outlineLevel="1">
      <c r="A194" s="916"/>
      <c r="B194" s="1123"/>
      <c r="C194" s="1127"/>
      <c r="D194" s="1125"/>
      <c r="E194" s="1125"/>
      <c r="F194" s="1130"/>
      <c r="G194" s="95"/>
      <c r="H194" s="823"/>
      <c r="I194" s="1125"/>
      <c r="J194" s="1134"/>
      <c r="K194" s="1134"/>
      <c r="L194" s="916"/>
    </row>
    <row r="195" spans="1:12" s="103" customFormat="1" ht="15.75" hidden="1" customHeight="1" outlineLevel="1">
      <c r="A195" s="916"/>
      <c r="B195" s="1124"/>
      <c r="C195" s="1128"/>
      <c r="D195" s="1126"/>
      <c r="E195" s="1126"/>
      <c r="F195" s="1132"/>
      <c r="G195" s="100"/>
      <c r="H195" s="824"/>
      <c r="I195" s="1126"/>
      <c r="J195" s="1135"/>
      <c r="K195" s="1135"/>
      <c r="L195" s="916"/>
    </row>
    <row r="196" spans="1:12" s="103" customFormat="1" ht="15.75" hidden="1" customHeight="1" outlineLevel="1">
      <c r="A196" s="916"/>
      <c r="B196" s="1123">
        <v>62</v>
      </c>
      <c r="C196" s="1127"/>
      <c r="D196" s="1125"/>
      <c r="E196" s="1125" t="s">
        <v>18</v>
      </c>
      <c r="F196" s="1130" t="str">
        <f>VLOOKUP(E196,$N$13:$O$17,2,0)</f>
        <v>-</v>
      </c>
      <c r="G196" s="92"/>
      <c r="H196" s="823"/>
      <c r="I196" s="1125"/>
      <c r="J196" s="1133"/>
      <c r="K196" s="1133"/>
      <c r="L196" s="916"/>
    </row>
    <row r="197" spans="1:12" s="103" customFormat="1" ht="15.75" hidden="1" customHeight="1" outlineLevel="1">
      <c r="A197" s="916"/>
      <c r="B197" s="1123"/>
      <c r="C197" s="1127"/>
      <c r="D197" s="1125"/>
      <c r="E197" s="1125"/>
      <c r="F197" s="1130"/>
      <c r="G197" s="95"/>
      <c r="H197" s="823"/>
      <c r="I197" s="1125"/>
      <c r="J197" s="1134"/>
      <c r="K197" s="1134"/>
      <c r="L197" s="916"/>
    </row>
    <row r="198" spans="1:12" s="103" customFormat="1" ht="15.75" hidden="1" customHeight="1" outlineLevel="1">
      <c r="A198" s="916"/>
      <c r="B198" s="1124"/>
      <c r="C198" s="1128"/>
      <c r="D198" s="1126"/>
      <c r="E198" s="1126"/>
      <c r="F198" s="1132"/>
      <c r="G198" s="100"/>
      <c r="H198" s="824"/>
      <c r="I198" s="1126"/>
      <c r="J198" s="1135"/>
      <c r="K198" s="1135"/>
      <c r="L198" s="916"/>
    </row>
    <row r="199" spans="1:12" s="103" customFormat="1" ht="15.75" hidden="1" customHeight="1" outlineLevel="1">
      <c r="A199" s="916"/>
      <c r="B199" s="1123">
        <v>63</v>
      </c>
      <c r="C199" s="1127"/>
      <c r="D199" s="1125"/>
      <c r="E199" s="1125" t="s">
        <v>18</v>
      </c>
      <c r="F199" s="1130" t="str">
        <f>VLOOKUP(E199,$N$13:$O$17,2,0)</f>
        <v>-</v>
      </c>
      <c r="G199" s="92"/>
      <c r="H199" s="823"/>
      <c r="I199" s="1125"/>
      <c r="J199" s="1133"/>
      <c r="K199" s="1133"/>
      <c r="L199" s="916"/>
    </row>
    <row r="200" spans="1:12" s="103" customFormat="1" ht="15.75" hidden="1" customHeight="1" outlineLevel="1">
      <c r="A200" s="916"/>
      <c r="B200" s="1123"/>
      <c r="C200" s="1127"/>
      <c r="D200" s="1125"/>
      <c r="E200" s="1125"/>
      <c r="F200" s="1130"/>
      <c r="G200" s="95"/>
      <c r="H200" s="823"/>
      <c r="I200" s="1125"/>
      <c r="J200" s="1134"/>
      <c r="K200" s="1134"/>
      <c r="L200" s="916"/>
    </row>
    <row r="201" spans="1:12" s="103" customFormat="1" ht="15.75" hidden="1" customHeight="1" outlineLevel="1">
      <c r="A201" s="916"/>
      <c r="B201" s="1124"/>
      <c r="C201" s="1128"/>
      <c r="D201" s="1126"/>
      <c r="E201" s="1126"/>
      <c r="F201" s="1132"/>
      <c r="G201" s="100"/>
      <c r="H201" s="824"/>
      <c r="I201" s="1126"/>
      <c r="J201" s="1135"/>
      <c r="K201" s="1135"/>
      <c r="L201" s="916"/>
    </row>
    <row r="202" spans="1:12" s="103" customFormat="1" ht="15.75" hidden="1" customHeight="1" outlineLevel="1">
      <c r="A202" s="916"/>
      <c r="B202" s="1123">
        <v>64</v>
      </c>
      <c r="C202" s="1127"/>
      <c r="D202" s="1125"/>
      <c r="E202" s="1125" t="s">
        <v>18</v>
      </c>
      <c r="F202" s="1130" t="str">
        <f>VLOOKUP(E202,$N$13:$O$17,2,0)</f>
        <v>-</v>
      </c>
      <c r="G202" s="92"/>
      <c r="H202" s="823"/>
      <c r="I202" s="1125"/>
      <c r="J202" s="1133"/>
      <c r="K202" s="1133"/>
      <c r="L202" s="916"/>
    </row>
    <row r="203" spans="1:12" s="103" customFormat="1" ht="15.75" hidden="1" customHeight="1" outlineLevel="1">
      <c r="A203" s="916"/>
      <c r="B203" s="1123"/>
      <c r="C203" s="1127"/>
      <c r="D203" s="1125"/>
      <c r="E203" s="1125"/>
      <c r="F203" s="1130"/>
      <c r="G203" s="95"/>
      <c r="H203" s="823"/>
      <c r="I203" s="1125"/>
      <c r="J203" s="1134"/>
      <c r="K203" s="1134"/>
      <c r="L203" s="916"/>
    </row>
    <row r="204" spans="1:12" s="103" customFormat="1" ht="15.75" hidden="1" customHeight="1" outlineLevel="1">
      <c r="A204" s="916"/>
      <c r="B204" s="1124"/>
      <c r="C204" s="1128"/>
      <c r="D204" s="1126"/>
      <c r="E204" s="1126"/>
      <c r="F204" s="1132"/>
      <c r="G204" s="100"/>
      <c r="H204" s="824"/>
      <c r="I204" s="1126"/>
      <c r="J204" s="1135"/>
      <c r="K204" s="1135"/>
      <c r="L204" s="916"/>
    </row>
    <row r="205" spans="1:12" s="103" customFormat="1" ht="15.75" hidden="1" customHeight="1" outlineLevel="1">
      <c r="A205" s="916"/>
      <c r="B205" s="1123">
        <v>65</v>
      </c>
      <c r="C205" s="1127"/>
      <c r="D205" s="1125"/>
      <c r="E205" s="1125" t="s">
        <v>18</v>
      </c>
      <c r="F205" s="1130" t="str">
        <f>VLOOKUP(E205,$N$13:$O$17,2,0)</f>
        <v>-</v>
      </c>
      <c r="G205" s="92"/>
      <c r="H205" s="823"/>
      <c r="I205" s="1125"/>
      <c r="J205" s="1133"/>
      <c r="K205" s="1133"/>
      <c r="L205" s="916"/>
    </row>
    <row r="206" spans="1:12" s="103" customFormat="1" ht="15.75" hidden="1" customHeight="1" outlineLevel="1">
      <c r="A206" s="916"/>
      <c r="B206" s="1123"/>
      <c r="C206" s="1127"/>
      <c r="D206" s="1125"/>
      <c r="E206" s="1125"/>
      <c r="F206" s="1130"/>
      <c r="G206" s="95"/>
      <c r="H206" s="823"/>
      <c r="I206" s="1125"/>
      <c r="J206" s="1134"/>
      <c r="K206" s="1134"/>
      <c r="L206" s="916"/>
    </row>
    <row r="207" spans="1:12" s="103" customFormat="1" ht="15.75" hidden="1" customHeight="1" outlineLevel="1">
      <c r="A207" s="916"/>
      <c r="B207" s="1124"/>
      <c r="C207" s="1128"/>
      <c r="D207" s="1126"/>
      <c r="E207" s="1126"/>
      <c r="F207" s="1132"/>
      <c r="G207" s="100"/>
      <c r="H207" s="824"/>
      <c r="I207" s="1126"/>
      <c r="J207" s="1135"/>
      <c r="K207" s="1135"/>
      <c r="L207" s="916"/>
    </row>
    <row r="208" spans="1:12" s="103" customFormat="1" ht="15.75" hidden="1" customHeight="1" outlineLevel="1">
      <c r="A208" s="916"/>
      <c r="B208" s="1123">
        <v>66</v>
      </c>
      <c r="C208" s="1127"/>
      <c r="D208" s="1125"/>
      <c r="E208" s="1125" t="s">
        <v>18</v>
      </c>
      <c r="F208" s="1130" t="str">
        <f>VLOOKUP(E208,$N$13:$O$17,2,0)</f>
        <v>-</v>
      </c>
      <c r="G208" s="92"/>
      <c r="H208" s="823"/>
      <c r="I208" s="1125"/>
      <c r="J208" s="1133"/>
      <c r="K208" s="1133"/>
      <c r="L208" s="916"/>
    </row>
    <row r="209" spans="1:12" s="103" customFormat="1" ht="15.75" hidden="1" customHeight="1" outlineLevel="1">
      <c r="A209" s="916"/>
      <c r="B209" s="1123"/>
      <c r="C209" s="1127"/>
      <c r="D209" s="1125"/>
      <c r="E209" s="1125"/>
      <c r="F209" s="1130"/>
      <c r="G209" s="95"/>
      <c r="H209" s="823"/>
      <c r="I209" s="1125"/>
      <c r="J209" s="1134"/>
      <c r="K209" s="1134"/>
      <c r="L209" s="916"/>
    </row>
    <row r="210" spans="1:12" s="103" customFormat="1" ht="15.75" hidden="1" customHeight="1" outlineLevel="1">
      <c r="A210" s="916"/>
      <c r="B210" s="1124"/>
      <c r="C210" s="1128"/>
      <c r="D210" s="1126"/>
      <c r="E210" s="1126"/>
      <c r="F210" s="1132"/>
      <c r="G210" s="100"/>
      <c r="H210" s="824"/>
      <c r="I210" s="1126"/>
      <c r="J210" s="1135"/>
      <c r="K210" s="1135"/>
      <c r="L210" s="916"/>
    </row>
    <row r="211" spans="1:12" s="103" customFormat="1" ht="15.75" hidden="1" customHeight="1" outlineLevel="1">
      <c r="A211" s="916"/>
      <c r="B211" s="1123">
        <v>67</v>
      </c>
      <c r="C211" s="1127"/>
      <c r="D211" s="1125"/>
      <c r="E211" s="1125" t="s">
        <v>18</v>
      </c>
      <c r="F211" s="1130" t="str">
        <f>VLOOKUP(E211,$N$13:$O$17,2,0)</f>
        <v>-</v>
      </c>
      <c r="G211" s="92"/>
      <c r="H211" s="823"/>
      <c r="I211" s="1125"/>
      <c r="J211" s="1133"/>
      <c r="K211" s="1133"/>
      <c r="L211" s="916"/>
    </row>
    <row r="212" spans="1:12" s="103" customFormat="1" ht="15.75" hidden="1" customHeight="1" outlineLevel="1">
      <c r="A212" s="916"/>
      <c r="B212" s="1123"/>
      <c r="C212" s="1127"/>
      <c r="D212" s="1125"/>
      <c r="E212" s="1125"/>
      <c r="F212" s="1130"/>
      <c r="G212" s="95"/>
      <c r="H212" s="823"/>
      <c r="I212" s="1125"/>
      <c r="J212" s="1134"/>
      <c r="K212" s="1134"/>
      <c r="L212" s="916"/>
    </row>
    <row r="213" spans="1:12" s="103" customFormat="1" ht="15.75" hidden="1" customHeight="1" outlineLevel="1">
      <c r="A213" s="916"/>
      <c r="B213" s="1124"/>
      <c r="C213" s="1128"/>
      <c r="D213" s="1126"/>
      <c r="E213" s="1126"/>
      <c r="F213" s="1132"/>
      <c r="G213" s="100"/>
      <c r="H213" s="824"/>
      <c r="I213" s="1126"/>
      <c r="J213" s="1135"/>
      <c r="K213" s="1135"/>
      <c r="L213" s="916"/>
    </row>
    <row r="214" spans="1:12" s="103" customFormat="1" ht="15.75" hidden="1" customHeight="1" outlineLevel="1">
      <c r="A214" s="916"/>
      <c r="B214" s="1123">
        <v>68</v>
      </c>
      <c r="C214" s="1127"/>
      <c r="D214" s="1125"/>
      <c r="E214" s="1125" t="s">
        <v>18</v>
      </c>
      <c r="F214" s="1130" t="str">
        <f>VLOOKUP(E214,$N$13:$O$17,2,0)</f>
        <v>-</v>
      </c>
      <c r="G214" s="92"/>
      <c r="H214" s="823"/>
      <c r="I214" s="1125"/>
      <c r="J214" s="1133"/>
      <c r="K214" s="1133"/>
      <c r="L214" s="916"/>
    </row>
    <row r="215" spans="1:12" s="103" customFormat="1" ht="15.75" hidden="1" customHeight="1" outlineLevel="1">
      <c r="A215" s="916"/>
      <c r="B215" s="1123"/>
      <c r="C215" s="1127"/>
      <c r="D215" s="1125"/>
      <c r="E215" s="1125"/>
      <c r="F215" s="1130"/>
      <c r="G215" s="95"/>
      <c r="H215" s="823"/>
      <c r="I215" s="1125"/>
      <c r="J215" s="1134"/>
      <c r="K215" s="1134"/>
      <c r="L215" s="916"/>
    </row>
    <row r="216" spans="1:12" s="103" customFormat="1" ht="15.75" hidden="1" customHeight="1" outlineLevel="1">
      <c r="A216" s="916"/>
      <c r="B216" s="1124"/>
      <c r="C216" s="1128"/>
      <c r="D216" s="1126"/>
      <c r="E216" s="1126"/>
      <c r="F216" s="1132"/>
      <c r="G216" s="100"/>
      <c r="H216" s="824"/>
      <c r="I216" s="1126"/>
      <c r="J216" s="1135"/>
      <c r="K216" s="1135"/>
      <c r="L216" s="916"/>
    </row>
    <row r="217" spans="1:12" s="103" customFormat="1" ht="15.75" hidden="1" customHeight="1" outlineLevel="1">
      <c r="A217" s="916"/>
      <c r="B217" s="1123">
        <v>69</v>
      </c>
      <c r="C217" s="1127"/>
      <c r="D217" s="1125"/>
      <c r="E217" s="1125" t="s">
        <v>18</v>
      </c>
      <c r="F217" s="1130" t="str">
        <f>VLOOKUP(E217,$N$13:$O$17,2,0)</f>
        <v>-</v>
      </c>
      <c r="G217" s="92"/>
      <c r="H217" s="823"/>
      <c r="I217" s="1125"/>
      <c r="J217" s="1133"/>
      <c r="K217" s="1133"/>
      <c r="L217" s="916"/>
    </row>
    <row r="218" spans="1:12" s="103" customFormat="1" ht="15.75" hidden="1" customHeight="1" outlineLevel="1">
      <c r="A218" s="916"/>
      <c r="B218" s="1123"/>
      <c r="C218" s="1127"/>
      <c r="D218" s="1125"/>
      <c r="E218" s="1125"/>
      <c r="F218" s="1130"/>
      <c r="G218" s="95"/>
      <c r="H218" s="823"/>
      <c r="I218" s="1125"/>
      <c r="J218" s="1134"/>
      <c r="K218" s="1134"/>
      <c r="L218" s="916"/>
    </row>
    <row r="219" spans="1:12" s="103" customFormat="1" ht="15.75" hidden="1" customHeight="1" outlineLevel="1">
      <c r="A219" s="916"/>
      <c r="B219" s="1124"/>
      <c r="C219" s="1128"/>
      <c r="D219" s="1126"/>
      <c r="E219" s="1126"/>
      <c r="F219" s="1132"/>
      <c r="G219" s="100"/>
      <c r="H219" s="824"/>
      <c r="I219" s="1126"/>
      <c r="J219" s="1135"/>
      <c r="K219" s="1135"/>
      <c r="L219" s="916"/>
    </row>
    <row r="220" spans="1:12" s="103" customFormat="1" ht="15.75" hidden="1" customHeight="1" outlineLevel="1">
      <c r="A220" s="916"/>
      <c r="B220" s="1123">
        <v>70</v>
      </c>
      <c r="C220" s="1127"/>
      <c r="D220" s="1125"/>
      <c r="E220" s="1125" t="s">
        <v>18</v>
      </c>
      <c r="F220" s="1130" t="str">
        <f>VLOOKUP(E220,$N$13:$O$17,2,0)</f>
        <v>-</v>
      </c>
      <c r="G220" s="92"/>
      <c r="H220" s="823"/>
      <c r="I220" s="1125"/>
      <c r="J220" s="1133"/>
      <c r="K220" s="1133"/>
      <c r="L220" s="916"/>
    </row>
    <row r="221" spans="1:12" s="103" customFormat="1" ht="15.75" hidden="1" customHeight="1" outlineLevel="1">
      <c r="A221" s="916"/>
      <c r="B221" s="1123"/>
      <c r="C221" s="1127"/>
      <c r="D221" s="1125"/>
      <c r="E221" s="1125"/>
      <c r="F221" s="1130"/>
      <c r="G221" s="95"/>
      <c r="H221" s="823"/>
      <c r="I221" s="1125"/>
      <c r="J221" s="1134"/>
      <c r="K221" s="1134"/>
      <c r="L221" s="916"/>
    </row>
    <row r="222" spans="1:12" s="103" customFormat="1" ht="15.75" hidden="1" customHeight="1" outlineLevel="1">
      <c r="A222" s="916"/>
      <c r="B222" s="1124"/>
      <c r="C222" s="1128"/>
      <c r="D222" s="1126"/>
      <c r="E222" s="1126"/>
      <c r="F222" s="1132"/>
      <c r="G222" s="100"/>
      <c r="H222" s="824"/>
      <c r="I222" s="1126"/>
      <c r="J222" s="1135"/>
      <c r="K222" s="1135"/>
      <c r="L222" s="916"/>
    </row>
    <row r="223" spans="1:12" s="103" customFormat="1" ht="15.75" hidden="1" customHeight="1" outlineLevel="1">
      <c r="A223" s="916"/>
      <c r="B223" s="1123">
        <v>71</v>
      </c>
      <c r="C223" s="1127"/>
      <c r="D223" s="1125"/>
      <c r="E223" s="1125" t="s">
        <v>18</v>
      </c>
      <c r="F223" s="1130" t="str">
        <f>VLOOKUP(E223,$N$13:$O$17,2,0)</f>
        <v>-</v>
      </c>
      <c r="G223" s="92"/>
      <c r="H223" s="823"/>
      <c r="I223" s="1125"/>
      <c r="J223" s="1133"/>
      <c r="K223" s="1133"/>
      <c r="L223" s="916"/>
    </row>
    <row r="224" spans="1:12" s="103" customFormat="1" ht="15.75" hidden="1" customHeight="1" outlineLevel="1">
      <c r="A224" s="916"/>
      <c r="B224" s="1123"/>
      <c r="C224" s="1127"/>
      <c r="D224" s="1125"/>
      <c r="E224" s="1125"/>
      <c r="F224" s="1130"/>
      <c r="G224" s="95"/>
      <c r="H224" s="823"/>
      <c r="I224" s="1125"/>
      <c r="J224" s="1134"/>
      <c r="K224" s="1134"/>
      <c r="L224" s="916"/>
    </row>
    <row r="225" spans="1:12" s="103" customFormat="1" ht="15.75" hidden="1" customHeight="1" outlineLevel="1">
      <c r="A225" s="916"/>
      <c r="B225" s="1124"/>
      <c r="C225" s="1128"/>
      <c r="D225" s="1126"/>
      <c r="E225" s="1126"/>
      <c r="F225" s="1132"/>
      <c r="G225" s="100"/>
      <c r="H225" s="824"/>
      <c r="I225" s="1126"/>
      <c r="J225" s="1135"/>
      <c r="K225" s="1135"/>
      <c r="L225" s="916"/>
    </row>
    <row r="226" spans="1:12" s="103" customFormat="1" ht="15.75" hidden="1" customHeight="1" outlineLevel="1">
      <c r="A226" s="916"/>
      <c r="B226" s="1123">
        <v>72</v>
      </c>
      <c r="C226" s="1127"/>
      <c r="D226" s="1125"/>
      <c r="E226" s="1125" t="s">
        <v>18</v>
      </c>
      <c r="F226" s="1130" t="str">
        <f>VLOOKUP(E226,$N$13:$O$17,2,0)</f>
        <v>-</v>
      </c>
      <c r="G226" s="92"/>
      <c r="H226" s="823"/>
      <c r="I226" s="1125"/>
      <c r="J226" s="1133"/>
      <c r="K226" s="1133"/>
      <c r="L226" s="916"/>
    </row>
    <row r="227" spans="1:12" s="103" customFormat="1" ht="15.75" hidden="1" customHeight="1" outlineLevel="1">
      <c r="A227" s="916"/>
      <c r="B227" s="1123"/>
      <c r="C227" s="1127"/>
      <c r="D227" s="1125"/>
      <c r="E227" s="1125"/>
      <c r="F227" s="1130"/>
      <c r="G227" s="95"/>
      <c r="H227" s="823"/>
      <c r="I227" s="1125"/>
      <c r="J227" s="1134"/>
      <c r="K227" s="1134"/>
      <c r="L227" s="916"/>
    </row>
    <row r="228" spans="1:12" s="103" customFormat="1" ht="15.75" hidden="1" customHeight="1" outlineLevel="1">
      <c r="A228" s="916"/>
      <c r="B228" s="1124"/>
      <c r="C228" s="1128"/>
      <c r="D228" s="1126"/>
      <c r="E228" s="1126"/>
      <c r="F228" s="1132"/>
      <c r="G228" s="100"/>
      <c r="H228" s="824"/>
      <c r="I228" s="1126"/>
      <c r="J228" s="1135"/>
      <c r="K228" s="1135"/>
      <c r="L228" s="916"/>
    </row>
    <row r="229" spans="1:12" s="103" customFormat="1" ht="15.75" hidden="1" customHeight="1" outlineLevel="1">
      <c r="A229" s="916"/>
      <c r="B229" s="1123">
        <v>73</v>
      </c>
      <c r="C229" s="1127"/>
      <c r="D229" s="1125"/>
      <c r="E229" s="1125" t="s">
        <v>18</v>
      </c>
      <c r="F229" s="1130" t="str">
        <f>VLOOKUP(E229,$N$13:$O$17,2,0)</f>
        <v>-</v>
      </c>
      <c r="G229" s="92"/>
      <c r="H229" s="823"/>
      <c r="I229" s="1125"/>
      <c r="J229" s="1133"/>
      <c r="K229" s="1133"/>
      <c r="L229" s="916"/>
    </row>
    <row r="230" spans="1:12" s="103" customFormat="1" ht="15.75" hidden="1" customHeight="1" outlineLevel="1">
      <c r="A230" s="916"/>
      <c r="B230" s="1123"/>
      <c r="C230" s="1127"/>
      <c r="D230" s="1125"/>
      <c r="E230" s="1125"/>
      <c r="F230" s="1130"/>
      <c r="G230" s="95"/>
      <c r="H230" s="823"/>
      <c r="I230" s="1125"/>
      <c r="J230" s="1134"/>
      <c r="K230" s="1134"/>
      <c r="L230" s="916"/>
    </row>
    <row r="231" spans="1:12" s="103" customFormat="1" ht="15.75" hidden="1" customHeight="1" outlineLevel="1">
      <c r="A231" s="916"/>
      <c r="B231" s="1124"/>
      <c r="C231" s="1128"/>
      <c r="D231" s="1126"/>
      <c r="E231" s="1126"/>
      <c r="F231" s="1132"/>
      <c r="G231" s="100"/>
      <c r="H231" s="824"/>
      <c r="I231" s="1126"/>
      <c r="J231" s="1135"/>
      <c r="K231" s="1135"/>
      <c r="L231" s="916"/>
    </row>
    <row r="232" spans="1:12" s="103" customFormat="1" ht="15.75" hidden="1" customHeight="1" outlineLevel="1">
      <c r="A232" s="916"/>
      <c r="B232" s="1123">
        <v>74</v>
      </c>
      <c r="C232" s="1127"/>
      <c r="D232" s="1125"/>
      <c r="E232" s="1125" t="s">
        <v>18</v>
      </c>
      <c r="F232" s="1130" t="str">
        <f>VLOOKUP(E232,$N$13:$O$17,2,0)</f>
        <v>-</v>
      </c>
      <c r="G232" s="92"/>
      <c r="H232" s="823"/>
      <c r="I232" s="1125"/>
      <c r="J232" s="1133"/>
      <c r="K232" s="1133"/>
      <c r="L232" s="916"/>
    </row>
    <row r="233" spans="1:12" s="103" customFormat="1" ht="15.75" hidden="1" customHeight="1" outlineLevel="1">
      <c r="A233" s="916"/>
      <c r="B233" s="1123"/>
      <c r="C233" s="1127"/>
      <c r="D233" s="1125"/>
      <c r="E233" s="1125"/>
      <c r="F233" s="1130"/>
      <c r="G233" s="95"/>
      <c r="H233" s="823"/>
      <c r="I233" s="1125"/>
      <c r="J233" s="1134"/>
      <c r="K233" s="1134"/>
      <c r="L233" s="916"/>
    </row>
    <row r="234" spans="1:12" s="103" customFormat="1" ht="15.75" hidden="1" customHeight="1" outlineLevel="1">
      <c r="A234" s="916"/>
      <c r="B234" s="1124"/>
      <c r="C234" s="1128"/>
      <c r="D234" s="1126"/>
      <c r="E234" s="1126"/>
      <c r="F234" s="1132"/>
      <c r="G234" s="100"/>
      <c r="H234" s="824"/>
      <c r="I234" s="1126"/>
      <c r="J234" s="1135"/>
      <c r="K234" s="1135"/>
      <c r="L234" s="916"/>
    </row>
    <row r="235" spans="1:12" s="103" customFormat="1" ht="15.75" hidden="1" customHeight="1" outlineLevel="1">
      <c r="A235" s="916"/>
      <c r="B235" s="1123">
        <v>75</v>
      </c>
      <c r="C235" s="1127"/>
      <c r="D235" s="1125"/>
      <c r="E235" s="1125" t="s">
        <v>18</v>
      </c>
      <c r="F235" s="1130" t="str">
        <f>VLOOKUP(E235,$N$13:$O$17,2,0)</f>
        <v>-</v>
      </c>
      <c r="G235" s="92"/>
      <c r="H235" s="823"/>
      <c r="I235" s="1125"/>
      <c r="J235" s="1133"/>
      <c r="K235" s="1133"/>
      <c r="L235" s="916"/>
    </row>
    <row r="236" spans="1:12" s="103" customFormat="1" ht="15.75" hidden="1" customHeight="1" outlineLevel="1">
      <c r="A236" s="916"/>
      <c r="B236" s="1123"/>
      <c r="C236" s="1127"/>
      <c r="D236" s="1125"/>
      <c r="E236" s="1125"/>
      <c r="F236" s="1130"/>
      <c r="G236" s="95"/>
      <c r="H236" s="823"/>
      <c r="I236" s="1125"/>
      <c r="J236" s="1134"/>
      <c r="K236" s="1134"/>
      <c r="L236" s="916"/>
    </row>
    <row r="237" spans="1:12" s="103" customFormat="1" ht="15.75" hidden="1" customHeight="1" outlineLevel="1">
      <c r="A237" s="916"/>
      <c r="B237" s="1124"/>
      <c r="C237" s="1128"/>
      <c r="D237" s="1126"/>
      <c r="E237" s="1126"/>
      <c r="F237" s="1132"/>
      <c r="G237" s="100"/>
      <c r="H237" s="824"/>
      <c r="I237" s="1126"/>
      <c r="J237" s="1135"/>
      <c r="K237" s="1135"/>
      <c r="L237" s="916"/>
    </row>
    <row r="238" spans="1:12" s="103" customFormat="1" ht="15.75" hidden="1" customHeight="1" outlineLevel="1">
      <c r="A238" s="916"/>
      <c r="B238" s="1123">
        <v>76</v>
      </c>
      <c r="C238" s="1127"/>
      <c r="D238" s="1125"/>
      <c r="E238" s="1125" t="s">
        <v>18</v>
      </c>
      <c r="F238" s="1130" t="str">
        <f>VLOOKUP(E238,$N$13:$O$17,2,0)</f>
        <v>-</v>
      </c>
      <c r="G238" s="92"/>
      <c r="H238" s="823"/>
      <c r="I238" s="1125"/>
      <c r="J238" s="1133"/>
      <c r="K238" s="1133"/>
      <c r="L238" s="916"/>
    </row>
    <row r="239" spans="1:12" s="103" customFormat="1" ht="15.75" hidden="1" customHeight="1" outlineLevel="1">
      <c r="A239" s="916"/>
      <c r="B239" s="1123"/>
      <c r="C239" s="1127"/>
      <c r="D239" s="1125"/>
      <c r="E239" s="1125"/>
      <c r="F239" s="1130"/>
      <c r="G239" s="95"/>
      <c r="H239" s="823"/>
      <c r="I239" s="1125"/>
      <c r="J239" s="1134"/>
      <c r="K239" s="1134"/>
      <c r="L239" s="916"/>
    </row>
    <row r="240" spans="1:12" s="103" customFormat="1" ht="15.75" hidden="1" customHeight="1" outlineLevel="1">
      <c r="A240" s="916"/>
      <c r="B240" s="1124"/>
      <c r="C240" s="1128"/>
      <c r="D240" s="1126"/>
      <c r="E240" s="1126"/>
      <c r="F240" s="1132"/>
      <c r="G240" s="100"/>
      <c r="H240" s="824"/>
      <c r="I240" s="1126"/>
      <c r="J240" s="1135"/>
      <c r="K240" s="1135"/>
      <c r="L240" s="916"/>
    </row>
    <row r="241" spans="1:12" s="103" customFormat="1" ht="15.75" hidden="1" customHeight="1" outlineLevel="1">
      <c r="A241" s="916"/>
      <c r="B241" s="1123">
        <v>77</v>
      </c>
      <c r="C241" s="1127"/>
      <c r="D241" s="1125"/>
      <c r="E241" s="1125" t="s">
        <v>18</v>
      </c>
      <c r="F241" s="1130" t="str">
        <f>VLOOKUP(E241,$N$13:$O$17,2,0)</f>
        <v>-</v>
      </c>
      <c r="G241" s="92"/>
      <c r="H241" s="823"/>
      <c r="I241" s="1125"/>
      <c r="J241" s="1133"/>
      <c r="K241" s="1133"/>
      <c r="L241" s="916"/>
    </row>
    <row r="242" spans="1:12" s="103" customFormat="1" ht="15.75" hidden="1" customHeight="1" outlineLevel="1">
      <c r="A242" s="916"/>
      <c r="B242" s="1123"/>
      <c r="C242" s="1127"/>
      <c r="D242" s="1125"/>
      <c r="E242" s="1125"/>
      <c r="F242" s="1130"/>
      <c r="G242" s="95"/>
      <c r="H242" s="823"/>
      <c r="I242" s="1125"/>
      <c r="J242" s="1134"/>
      <c r="K242" s="1134"/>
      <c r="L242" s="916"/>
    </row>
    <row r="243" spans="1:12" s="103" customFormat="1" ht="15.75" hidden="1" customHeight="1" outlineLevel="1">
      <c r="A243" s="916"/>
      <c r="B243" s="1124"/>
      <c r="C243" s="1128"/>
      <c r="D243" s="1126"/>
      <c r="E243" s="1126"/>
      <c r="F243" s="1132"/>
      <c r="G243" s="100"/>
      <c r="H243" s="824"/>
      <c r="I243" s="1126"/>
      <c r="J243" s="1135"/>
      <c r="K243" s="1135"/>
      <c r="L243" s="916"/>
    </row>
    <row r="244" spans="1:12" s="103" customFormat="1" ht="15.75" hidden="1" customHeight="1" outlineLevel="1">
      <c r="A244" s="916"/>
      <c r="B244" s="1123">
        <v>78</v>
      </c>
      <c r="C244" s="1127"/>
      <c r="D244" s="1125"/>
      <c r="E244" s="1125" t="s">
        <v>18</v>
      </c>
      <c r="F244" s="1130" t="str">
        <f>VLOOKUP(E244,$N$13:$O$17,2,0)</f>
        <v>-</v>
      </c>
      <c r="G244" s="92"/>
      <c r="H244" s="823"/>
      <c r="I244" s="1125"/>
      <c r="J244" s="1133"/>
      <c r="K244" s="1133"/>
      <c r="L244" s="916"/>
    </row>
    <row r="245" spans="1:12" s="103" customFormat="1" ht="15.75" hidden="1" customHeight="1" outlineLevel="1">
      <c r="A245" s="916"/>
      <c r="B245" s="1123"/>
      <c r="C245" s="1127"/>
      <c r="D245" s="1125"/>
      <c r="E245" s="1125"/>
      <c r="F245" s="1130"/>
      <c r="G245" s="95"/>
      <c r="H245" s="823"/>
      <c r="I245" s="1125"/>
      <c r="J245" s="1134"/>
      <c r="K245" s="1134"/>
      <c r="L245" s="916"/>
    </row>
    <row r="246" spans="1:12" s="103" customFormat="1" ht="15.75" hidden="1" customHeight="1" outlineLevel="1">
      <c r="A246" s="916"/>
      <c r="B246" s="1124"/>
      <c r="C246" s="1128"/>
      <c r="D246" s="1126"/>
      <c r="E246" s="1126"/>
      <c r="F246" s="1132"/>
      <c r="G246" s="100"/>
      <c r="H246" s="824"/>
      <c r="I246" s="1126"/>
      <c r="J246" s="1135"/>
      <c r="K246" s="1135"/>
      <c r="L246" s="916"/>
    </row>
    <row r="247" spans="1:12" s="103" customFormat="1" ht="15.75" hidden="1" customHeight="1" outlineLevel="1">
      <c r="A247" s="916"/>
      <c r="B247" s="1123">
        <v>79</v>
      </c>
      <c r="C247" s="1127"/>
      <c r="D247" s="1125"/>
      <c r="E247" s="1125" t="s">
        <v>18</v>
      </c>
      <c r="F247" s="1130" t="str">
        <f>VLOOKUP(E247,$N$13:$O$17,2,0)</f>
        <v>-</v>
      </c>
      <c r="G247" s="92"/>
      <c r="H247" s="823"/>
      <c r="I247" s="1125"/>
      <c r="J247" s="1133"/>
      <c r="K247" s="1133"/>
      <c r="L247" s="916"/>
    </row>
    <row r="248" spans="1:12" s="103" customFormat="1" ht="15.75" hidden="1" customHeight="1" outlineLevel="1">
      <c r="A248" s="916"/>
      <c r="B248" s="1123"/>
      <c r="C248" s="1127"/>
      <c r="D248" s="1125"/>
      <c r="E248" s="1125"/>
      <c r="F248" s="1130"/>
      <c r="G248" s="95"/>
      <c r="H248" s="823"/>
      <c r="I248" s="1125"/>
      <c r="J248" s="1134"/>
      <c r="K248" s="1134"/>
      <c r="L248" s="916"/>
    </row>
    <row r="249" spans="1:12" s="103" customFormat="1" ht="15.75" hidden="1" customHeight="1" outlineLevel="1">
      <c r="A249" s="916"/>
      <c r="B249" s="1124"/>
      <c r="C249" s="1128"/>
      <c r="D249" s="1126"/>
      <c r="E249" s="1126"/>
      <c r="F249" s="1132"/>
      <c r="G249" s="100"/>
      <c r="H249" s="824"/>
      <c r="I249" s="1126"/>
      <c r="J249" s="1135"/>
      <c r="K249" s="1135"/>
      <c r="L249" s="916"/>
    </row>
    <row r="250" spans="1:12" s="103" customFormat="1" ht="15.75" hidden="1" customHeight="1" outlineLevel="1">
      <c r="A250" s="916"/>
      <c r="B250" s="1123">
        <v>80</v>
      </c>
      <c r="C250" s="1127"/>
      <c r="D250" s="1125"/>
      <c r="E250" s="1125" t="s">
        <v>18</v>
      </c>
      <c r="F250" s="1130" t="str">
        <f>VLOOKUP(E250,$N$13:$O$17,2,0)</f>
        <v>-</v>
      </c>
      <c r="G250" s="92"/>
      <c r="H250" s="823"/>
      <c r="I250" s="1125"/>
      <c r="J250" s="1133"/>
      <c r="K250" s="1133"/>
      <c r="L250" s="916"/>
    </row>
    <row r="251" spans="1:12" s="103" customFormat="1" ht="15.75" hidden="1" customHeight="1" outlineLevel="1">
      <c r="A251" s="916"/>
      <c r="B251" s="1123"/>
      <c r="C251" s="1127"/>
      <c r="D251" s="1125"/>
      <c r="E251" s="1125"/>
      <c r="F251" s="1130"/>
      <c r="G251" s="95"/>
      <c r="H251" s="823"/>
      <c r="I251" s="1125"/>
      <c r="J251" s="1134"/>
      <c r="K251" s="1134"/>
      <c r="L251" s="916"/>
    </row>
    <row r="252" spans="1:12" s="103" customFormat="1" ht="15.75" hidden="1" customHeight="1" outlineLevel="1">
      <c r="A252" s="916"/>
      <c r="B252" s="1124"/>
      <c r="C252" s="1128"/>
      <c r="D252" s="1126"/>
      <c r="E252" s="1126"/>
      <c r="F252" s="1132"/>
      <c r="G252" s="100"/>
      <c r="H252" s="824"/>
      <c r="I252" s="1126"/>
      <c r="J252" s="1135"/>
      <c r="K252" s="1135"/>
      <c r="L252" s="916"/>
    </row>
    <row r="253" spans="1:12" s="103" customFormat="1" ht="15.75" hidden="1" customHeight="1" outlineLevel="1">
      <c r="A253" s="916"/>
      <c r="B253" s="1123">
        <v>81</v>
      </c>
      <c r="C253" s="1127"/>
      <c r="D253" s="1125"/>
      <c r="E253" s="1125" t="s">
        <v>18</v>
      </c>
      <c r="F253" s="1130" t="str">
        <f>VLOOKUP(E253,$N$13:$O$17,2,0)</f>
        <v>-</v>
      </c>
      <c r="G253" s="92"/>
      <c r="H253" s="823"/>
      <c r="I253" s="1125"/>
      <c r="J253" s="1133"/>
      <c r="K253" s="1133"/>
      <c r="L253" s="916"/>
    </row>
    <row r="254" spans="1:12" s="103" customFormat="1" ht="15.75" hidden="1" customHeight="1" outlineLevel="1">
      <c r="A254" s="916"/>
      <c r="B254" s="1123"/>
      <c r="C254" s="1127"/>
      <c r="D254" s="1125"/>
      <c r="E254" s="1125"/>
      <c r="F254" s="1130"/>
      <c r="G254" s="95"/>
      <c r="H254" s="823"/>
      <c r="I254" s="1125"/>
      <c r="J254" s="1134"/>
      <c r="K254" s="1134"/>
      <c r="L254" s="916"/>
    </row>
    <row r="255" spans="1:12" s="103" customFormat="1" ht="15.75" hidden="1" customHeight="1" outlineLevel="1">
      <c r="A255" s="916"/>
      <c r="B255" s="1124"/>
      <c r="C255" s="1128"/>
      <c r="D255" s="1126"/>
      <c r="E255" s="1126"/>
      <c r="F255" s="1132"/>
      <c r="G255" s="100"/>
      <c r="H255" s="824"/>
      <c r="I255" s="1126"/>
      <c r="J255" s="1135"/>
      <c r="K255" s="1135"/>
      <c r="L255" s="916"/>
    </row>
    <row r="256" spans="1:12" s="103" customFormat="1" ht="15.75" hidden="1" customHeight="1" outlineLevel="1">
      <c r="A256" s="916"/>
      <c r="B256" s="1123">
        <v>82</v>
      </c>
      <c r="C256" s="1127"/>
      <c r="D256" s="1125"/>
      <c r="E256" s="1125" t="s">
        <v>18</v>
      </c>
      <c r="F256" s="1130" t="str">
        <f>VLOOKUP(E256,$N$13:$O$17,2,0)</f>
        <v>-</v>
      </c>
      <c r="G256" s="92"/>
      <c r="H256" s="823"/>
      <c r="I256" s="1125"/>
      <c r="J256" s="1133"/>
      <c r="K256" s="1133"/>
      <c r="L256" s="916"/>
    </row>
    <row r="257" spans="1:12" s="103" customFormat="1" ht="15.75" hidden="1" customHeight="1" outlineLevel="1">
      <c r="A257" s="916"/>
      <c r="B257" s="1123"/>
      <c r="C257" s="1127"/>
      <c r="D257" s="1125"/>
      <c r="E257" s="1125"/>
      <c r="F257" s="1130"/>
      <c r="G257" s="95"/>
      <c r="H257" s="823"/>
      <c r="I257" s="1125"/>
      <c r="J257" s="1134"/>
      <c r="K257" s="1134"/>
      <c r="L257" s="916"/>
    </row>
    <row r="258" spans="1:12" s="103" customFormat="1" ht="15.75" hidden="1" customHeight="1" outlineLevel="1">
      <c r="A258" s="916"/>
      <c r="B258" s="1124"/>
      <c r="C258" s="1128"/>
      <c r="D258" s="1126"/>
      <c r="E258" s="1126"/>
      <c r="F258" s="1132"/>
      <c r="G258" s="100"/>
      <c r="H258" s="824"/>
      <c r="I258" s="1126"/>
      <c r="J258" s="1135"/>
      <c r="K258" s="1135"/>
      <c r="L258" s="916"/>
    </row>
    <row r="259" spans="1:12" s="103" customFormat="1" ht="15.75" hidden="1" customHeight="1" outlineLevel="1">
      <c r="A259" s="916"/>
      <c r="B259" s="1123">
        <v>83</v>
      </c>
      <c r="C259" s="1127"/>
      <c r="D259" s="1125"/>
      <c r="E259" s="1125" t="s">
        <v>18</v>
      </c>
      <c r="F259" s="1130" t="str">
        <f>VLOOKUP(E259,$N$13:$O$17,2,0)</f>
        <v>-</v>
      </c>
      <c r="G259" s="92"/>
      <c r="H259" s="823"/>
      <c r="I259" s="1125"/>
      <c r="J259" s="1133"/>
      <c r="K259" s="1133"/>
      <c r="L259" s="916"/>
    </row>
    <row r="260" spans="1:12" s="103" customFormat="1" ht="15.75" hidden="1" customHeight="1" outlineLevel="1">
      <c r="A260" s="916"/>
      <c r="B260" s="1123"/>
      <c r="C260" s="1127"/>
      <c r="D260" s="1125"/>
      <c r="E260" s="1125"/>
      <c r="F260" s="1130"/>
      <c r="G260" s="95"/>
      <c r="H260" s="823"/>
      <c r="I260" s="1125"/>
      <c r="J260" s="1134"/>
      <c r="K260" s="1134"/>
      <c r="L260" s="916"/>
    </row>
    <row r="261" spans="1:12" s="103" customFormat="1" ht="15.75" hidden="1" customHeight="1" outlineLevel="1">
      <c r="A261" s="916"/>
      <c r="B261" s="1124"/>
      <c r="C261" s="1128"/>
      <c r="D261" s="1126"/>
      <c r="E261" s="1126"/>
      <c r="F261" s="1132"/>
      <c r="G261" s="100"/>
      <c r="H261" s="824"/>
      <c r="I261" s="1126"/>
      <c r="J261" s="1135"/>
      <c r="K261" s="1135"/>
      <c r="L261" s="916"/>
    </row>
    <row r="262" spans="1:12" s="103" customFormat="1" ht="15.75" hidden="1" customHeight="1" outlineLevel="1">
      <c r="A262" s="916"/>
      <c r="B262" s="1123">
        <v>84</v>
      </c>
      <c r="C262" s="1127"/>
      <c r="D262" s="1125"/>
      <c r="E262" s="1125" t="s">
        <v>18</v>
      </c>
      <c r="F262" s="1130" t="str">
        <f>VLOOKUP(E262,$N$13:$O$17,2,0)</f>
        <v>-</v>
      </c>
      <c r="G262" s="92"/>
      <c r="H262" s="823"/>
      <c r="I262" s="1125"/>
      <c r="J262" s="1133"/>
      <c r="K262" s="1133"/>
      <c r="L262" s="916"/>
    </row>
    <row r="263" spans="1:12" s="103" customFormat="1" ht="15.75" hidden="1" customHeight="1" outlineLevel="1">
      <c r="A263" s="916"/>
      <c r="B263" s="1123"/>
      <c r="C263" s="1127"/>
      <c r="D263" s="1125"/>
      <c r="E263" s="1125"/>
      <c r="F263" s="1130"/>
      <c r="G263" s="95"/>
      <c r="H263" s="823"/>
      <c r="I263" s="1125"/>
      <c r="J263" s="1134"/>
      <c r="K263" s="1134"/>
      <c r="L263" s="916"/>
    </row>
    <row r="264" spans="1:12" s="103" customFormat="1" ht="15.75" hidden="1" customHeight="1" outlineLevel="1">
      <c r="A264" s="916"/>
      <c r="B264" s="1124"/>
      <c r="C264" s="1128"/>
      <c r="D264" s="1126"/>
      <c r="E264" s="1126"/>
      <c r="F264" s="1132"/>
      <c r="G264" s="100"/>
      <c r="H264" s="824"/>
      <c r="I264" s="1126"/>
      <c r="J264" s="1135"/>
      <c r="K264" s="1135"/>
      <c r="L264" s="916"/>
    </row>
    <row r="265" spans="1:12" s="103" customFormat="1" ht="15.75" hidden="1" customHeight="1" outlineLevel="1">
      <c r="A265" s="916"/>
      <c r="B265" s="1123">
        <v>85</v>
      </c>
      <c r="C265" s="1127"/>
      <c r="D265" s="1125"/>
      <c r="E265" s="1125" t="s">
        <v>18</v>
      </c>
      <c r="F265" s="1130" t="str">
        <f>VLOOKUP(E265,$N$13:$O$17,2,0)</f>
        <v>-</v>
      </c>
      <c r="G265" s="92"/>
      <c r="H265" s="823"/>
      <c r="I265" s="1125"/>
      <c r="J265" s="1133"/>
      <c r="K265" s="1133"/>
      <c r="L265" s="916"/>
    </row>
    <row r="266" spans="1:12" s="103" customFormat="1" ht="15.75" hidden="1" customHeight="1" outlineLevel="1">
      <c r="A266" s="916"/>
      <c r="B266" s="1123"/>
      <c r="C266" s="1127"/>
      <c r="D266" s="1125"/>
      <c r="E266" s="1125"/>
      <c r="F266" s="1130"/>
      <c r="G266" s="95"/>
      <c r="H266" s="823"/>
      <c r="I266" s="1125"/>
      <c r="J266" s="1134"/>
      <c r="K266" s="1134"/>
      <c r="L266" s="916"/>
    </row>
    <row r="267" spans="1:12" s="103" customFormat="1" ht="15.75" hidden="1" customHeight="1" outlineLevel="1">
      <c r="A267" s="916"/>
      <c r="B267" s="1124"/>
      <c r="C267" s="1128"/>
      <c r="D267" s="1126"/>
      <c r="E267" s="1126"/>
      <c r="F267" s="1132"/>
      <c r="G267" s="100"/>
      <c r="H267" s="824"/>
      <c r="I267" s="1126"/>
      <c r="J267" s="1135"/>
      <c r="K267" s="1135"/>
      <c r="L267" s="916"/>
    </row>
    <row r="268" spans="1:12" s="103" customFormat="1" ht="15.75" hidden="1" customHeight="1" outlineLevel="1">
      <c r="A268" s="916"/>
      <c r="B268" s="1123">
        <v>86</v>
      </c>
      <c r="C268" s="1127"/>
      <c r="D268" s="1125"/>
      <c r="E268" s="1125" t="s">
        <v>18</v>
      </c>
      <c r="F268" s="1130" t="str">
        <f>VLOOKUP(E268,$N$13:$O$17,2,0)</f>
        <v>-</v>
      </c>
      <c r="G268" s="92"/>
      <c r="H268" s="823"/>
      <c r="I268" s="1125"/>
      <c r="J268" s="1133"/>
      <c r="K268" s="1133"/>
      <c r="L268" s="916"/>
    </row>
    <row r="269" spans="1:12" s="103" customFormat="1" ht="15.75" hidden="1" customHeight="1" outlineLevel="1">
      <c r="A269" s="916"/>
      <c r="B269" s="1123"/>
      <c r="C269" s="1127"/>
      <c r="D269" s="1125"/>
      <c r="E269" s="1125"/>
      <c r="F269" s="1130"/>
      <c r="G269" s="95"/>
      <c r="H269" s="823"/>
      <c r="I269" s="1125"/>
      <c r="J269" s="1134"/>
      <c r="K269" s="1134"/>
      <c r="L269" s="916"/>
    </row>
    <row r="270" spans="1:12" s="103" customFormat="1" ht="15.75" hidden="1" customHeight="1" outlineLevel="1">
      <c r="A270" s="916"/>
      <c r="B270" s="1124"/>
      <c r="C270" s="1128"/>
      <c r="D270" s="1126"/>
      <c r="E270" s="1126"/>
      <c r="F270" s="1132"/>
      <c r="G270" s="100"/>
      <c r="H270" s="824"/>
      <c r="I270" s="1126"/>
      <c r="J270" s="1135"/>
      <c r="K270" s="1135"/>
      <c r="L270" s="916"/>
    </row>
    <row r="271" spans="1:12" s="103" customFormat="1" ht="15.75" hidden="1" customHeight="1" outlineLevel="1">
      <c r="A271" s="916"/>
      <c r="B271" s="1123">
        <v>87</v>
      </c>
      <c r="C271" s="1127"/>
      <c r="D271" s="1125"/>
      <c r="E271" s="1125" t="s">
        <v>18</v>
      </c>
      <c r="F271" s="1130" t="str">
        <f>VLOOKUP(E271,$N$13:$O$17,2,0)</f>
        <v>-</v>
      </c>
      <c r="G271" s="92"/>
      <c r="H271" s="823"/>
      <c r="I271" s="1125"/>
      <c r="J271" s="1133"/>
      <c r="K271" s="1133"/>
      <c r="L271" s="916"/>
    </row>
    <row r="272" spans="1:12" s="103" customFormat="1" ht="15.75" hidden="1" customHeight="1" outlineLevel="1">
      <c r="A272" s="916"/>
      <c r="B272" s="1123"/>
      <c r="C272" s="1127"/>
      <c r="D272" s="1125"/>
      <c r="E272" s="1125"/>
      <c r="F272" s="1130"/>
      <c r="G272" s="95"/>
      <c r="H272" s="823"/>
      <c r="I272" s="1125"/>
      <c r="J272" s="1134"/>
      <c r="K272" s="1134"/>
      <c r="L272" s="916"/>
    </row>
    <row r="273" spans="1:12" s="103" customFormat="1" ht="15.75" hidden="1" customHeight="1" outlineLevel="1">
      <c r="A273" s="916"/>
      <c r="B273" s="1124"/>
      <c r="C273" s="1128"/>
      <c r="D273" s="1126"/>
      <c r="E273" s="1126"/>
      <c r="F273" s="1132"/>
      <c r="G273" s="100"/>
      <c r="H273" s="824"/>
      <c r="I273" s="1126"/>
      <c r="J273" s="1135"/>
      <c r="K273" s="1135"/>
      <c r="L273" s="916"/>
    </row>
    <row r="274" spans="1:12" s="103" customFormat="1" ht="15.75" hidden="1" customHeight="1" outlineLevel="1">
      <c r="A274" s="916"/>
      <c r="B274" s="1123">
        <v>88</v>
      </c>
      <c r="C274" s="1127"/>
      <c r="D274" s="1125"/>
      <c r="E274" s="1125" t="s">
        <v>18</v>
      </c>
      <c r="F274" s="1130" t="str">
        <f>VLOOKUP(E274,$N$13:$O$17,2,0)</f>
        <v>-</v>
      </c>
      <c r="G274" s="92"/>
      <c r="H274" s="823"/>
      <c r="I274" s="1125"/>
      <c r="J274" s="1133"/>
      <c r="K274" s="1133"/>
      <c r="L274" s="916"/>
    </row>
    <row r="275" spans="1:12" s="103" customFormat="1" ht="15.75" hidden="1" customHeight="1" outlineLevel="1">
      <c r="A275" s="916"/>
      <c r="B275" s="1123"/>
      <c r="C275" s="1127"/>
      <c r="D275" s="1125"/>
      <c r="E275" s="1125"/>
      <c r="F275" s="1130"/>
      <c r="G275" s="95"/>
      <c r="H275" s="823"/>
      <c r="I275" s="1125"/>
      <c r="J275" s="1134"/>
      <c r="K275" s="1134"/>
      <c r="L275" s="916"/>
    </row>
    <row r="276" spans="1:12" s="103" customFormat="1" ht="15.75" hidden="1" customHeight="1" outlineLevel="1">
      <c r="A276" s="916"/>
      <c r="B276" s="1124"/>
      <c r="C276" s="1128"/>
      <c r="D276" s="1126"/>
      <c r="E276" s="1126"/>
      <c r="F276" s="1132"/>
      <c r="G276" s="100"/>
      <c r="H276" s="824"/>
      <c r="I276" s="1126"/>
      <c r="J276" s="1135"/>
      <c r="K276" s="1135"/>
      <c r="L276" s="916"/>
    </row>
    <row r="277" spans="1:12" s="103" customFormat="1" ht="15.75" hidden="1" customHeight="1" outlineLevel="1">
      <c r="A277" s="916"/>
      <c r="B277" s="1123">
        <v>89</v>
      </c>
      <c r="C277" s="1127"/>
      <c r="D277" s="1125"/>
      <c r="E277" s="1125" t="s">
        <v>18</v>
      </c>
      <c r="F277" s="1130" t="str">
        <f>VLOOKUP(E277,$N$13:$O$17,2,0)</f>
        <v>-</v>
      </c>
      <c r="G277" s="92"/>
      <c r="H277" s="823"/>
      <c r="I277" s="1125"/>
      <c r="J277" s="1133"/>
      <c r="K277" s="1133"/>
      <c r="L277" s="916"/>
    </row>
    <row r="278" spans="1:12" s="103" customFormat="1" ht="15.75" hidden="1" customHeight="1" outlineLevel="1">
      <c r="A278" s="916"/>
      <c r="B278" s="1123"/>
      <c r="C278" s="1127"/>
      <c r="D278" s="1125"/>
      <c r="E278" s="1125"/>
      <c r="F278" s="1130"/>
      <c r="G278" s="95"/>
      <c r="H278" s="823"/>
      <c r="I278" s="1125"/>
      <c r="J278" s="1134"/>
      <c r="K278" s="1134"/>
      <c r="L278" s="916"/>
    </row>
    <row r="279" spans="1:12" s="103" customFormat="1" ht="15.75" hidden="1" customHeight="1" outlineLevel="1">
      <c r="A279" s="916"/>
      <c r="B279" s="1124"/>
      <c r="C279" s="1128"/>
      <c r="D279" s="1126"/>
      <c r="E279" s="1126"/>
      <c r="F279" s="1132"/>
      <c r="G279" s="100"/>
      <c r="H279" s="824"/>
      <c r="I279" s="1126"/>
      <c r="J279" s="1135"/>
      <c r="K279" s="1135"/>
      <c r="L279" s="916"/>
    </row>
    <row r="280" spans="1:12" s="103" customFormat="1" ht="15.75" hidden="1" customHeight="1" outlineLevel="1">
      <c r="A280" s="916"/>
      <c r="B280" s="1123">
        <v>90</v>
      </c>
      <c r="C280" s="1127"/>
      <c r="D280" s="1125"/>
      <c r="E280" s="1125" t="s">
        <v>18</v>
      </c>
      <c r="F280" s="1130" t="str">
        <f>VLOOKUP(E280,$N$13:$O$17,2,0)</f>
        <v>-</v>
      </c>
      <c r="G280" s="92"/>
      <c r="H280" s="823"/>
      <c r="I280" s="1125"/>
      <c r="J280" s="1133"/>
      <c r="K280" s="1133"/>
      <c r="L280" s="916"/>
    </row>
    <row r="281" spans="1:12" s="103" customFormat="1" ht="15.75" hidden="1" customHeight="1" outlineLevel="1">
      <c r="A281" s="916"/>
      <c r="B281" s="1123"/>
      <c r="C281" s="1127"/>
      <c r="D281" s="1125"/>
      <c r="E281" s="1125"/>
      <c r="F281" s="1130"/>
      <c r="G281" s="95"/>
      <c r="H281" s="823"/>
      <c r="I281" s="1125"/>
      <c r="J281" s="1134"/>
      <c r="K281" s="1134"/>
      <c r="L281" s="916"/>
    </row>
    <row r="282" spans="1:12" s="103" customFormat="1" ht="15.75" hidden="1" customHeight="1" outlineLevel="1">
      <c r="A282" s="916"/>
      <c r="B282" s="1124"/>
      <c r="C282" s="1128"/>
      <c r="D282" s="1126"/>
      <c r="E282" s="1126"/>
      <c r="F282" s="1132"/>
      <c r="G282" s="100"/>
      <c r="H282" s="824"/>
      <c r="I282" s="1126"/>
      <c r="J282" s="1135"/>
      <c r="K282" s="1135"/>
      <c r="L282" s="916"/>
    </row>
    <row r="283" spans="1:12" s="103" customFormat="1" ht="15.75" hidden="1" customHeight="1" outlineLevel="1">
      <c r="A283" s="916"/>
      <c r="B283" s="1123">
        <v>91</v>
      </c>
      <c r="C283" s="1127"/>
      <c r="D283" s="1125"/>
      <c r="E283" s="1125" t="s">
        <v>18</v>
      </c>
      <c r="F283" s="1130" t="str">
        <f>VLOOKUP(E283,$N$13:$O$17,2,0)</f>
        <v>-</v>
      </c>
      <c r="G283" s="92"/>
      <c r="H283" s="823"/>
      <c r="I283" s="1125"/>
      <c r="J283" s="1133"/>
      <c r="K283" s="1133"/>
      <c r="L283" s="916"/>
    </row>
    <row r="284" spans="1:12" s="103" customFormat="1" ht="15.75" hidden="1" customHeight="1" outlineLevel="1">
      <c r="A284" s="916"/>
      <c r="B284" s="1123"/>
      <c r="C284" s="1127"/>
      <c r="D284" s="1125"/>
      <c r="E284" s="1125"/>
      <c r="F284" s="1130"/>
      <c r="G284" s="95"/>
      <c r="H284" s="823"/>
      <c r="I284" s="1125"/>
      <c r="J284" s="1134"/>
      <c r="K284" s="1134"/>
      <c r="L284" s="916"/>
    </row>
    <row r="285" spans="1:12" s="103" customFormat="1" ht="15.75" hidden="1" customHeight="1" outlineLevel="1">
      <c r="A285" s="916"/>
      <c r="B285" s="1124"/>
      <c r="C285" s="1128"/>
      <c r="D285" s="1126"/>
      <c r="E285" s="1126"/>
      <c r="F285" s="1132"/>
      <c r="G285" s="100"/>
      <c r="H285" s="824"/>
      <c r="I285" s="1126"/>
      <c r="J285" s="1135"/>
      <c r="K285" s="1135"/>
      <c r="L285" s="916"/>
    </row>
    <row r="286" spans="1:12" s="103" customFormat="1" ht="15.75" hidden="1" customHeight="1" outlineLevel="1">
      <c r="A286" s="916"/>
      <c r="B286" s="1123">
        <v>92</v>
      </c>
      <c r="C286" s="1127"/>
      <c r="D286" s="1125"/>
      <c r="E286" s="1125" t="s">
        <v>18</v>
      </c>
      <c r="F286" s="1130" t="str">
        <f>VLOOKUP(E286,$N$13:$O$17,2,0)</f>
        <v>-</v>
      </c>
      <c r="G286" s="92"/>
      <c r="H286" s="823"/>
      <c r="I286" s="1125"/>
      <c r="J286" s="1133"/>
      <c r="K286" s="1133"/>
      <c r="L286" s="916"/>
    </row>
    <row r="287" spans="1:12" s="103" customFormat="1" ht="15.75" hidden="1" customHeight="1" outlineLevel="1">
      <c r="A287" s="916"/>
      <c r="B287" s="1123"/>
      <c r="C287" s="1127"/>
      <c r="D287" s="1125"/>
      <c r="E287" s="1125"/>
      <c r="F287" s="1130"/>
      <c r="G287" s="95"/>
      <c r="H287" s="823"/>
      <c r="I287" s="1125"/>
      <c r="J287" s="1134"/>
      <c r="K287" s="1134"/>
      <c r="L287" s="916"/>
    </row>
    <row r="288" spans="1:12" s="103" customFormat="1" ht="15.75" hidden="1" customHeight="1" outlineLevel="1">
      <c r="A288" s="916"/>
      <c r="B288" s="1124"/>
      <c r="C288" s="1128"/>
      <c r="D288" s="1126"/>
      <c r="E288" s="1126"/>
      <c r="F288" s="1132"/>
      <c r="G288" s="100"/>
      <c r="H288" s="824"/>
      <c r="I288" s="1126"/>
      <c r="J288" s="1135"/>
      <c r="K288" s="1135"/>
      <c r="L288" s="916"/>
    </row>
    <row r="289" spans="1:12" s="103" customFormat="1" ht="15.75" hidden="1" customHeight="1" outlineLevel="1">
      <c r="A289" s="916"/>
      <c r="B289" s="1123">
        <v>93</v>
      </c>
      <c r="C289" s="1127"/>
      <c r="D289" s="1125"/>
      <c r="E289" s="1125" t="s">
        <v>18</v>
      </c>
      <c r="F289" s="1130" t="str">
        <f>VLOOKUP(E289,$N$13:$O$17,2,0)</f>
        <v>-</v>
      </c>
      <c r="G289" s="92"/>
      <c r="H289" s="823"/>
      <c r="I289" s="1125"/>
      <c r="J289" s="1133"/>
      <c r="K289" s="1133"/>
      <c r="L289" s="916"/>
    </row>
    <row r="290" spans="1:12" s="103" customFormat="1" ht="15.75" hidden="1" customHeight="1" outlineLevel="1">
      <c r="A290" s="916"/>
      <c r="B290" s="1123"/>
      <c r="C290" s="1127"/>
      <c r="D290" s="1125"/>
      <c r="E290" s="1125"/>
      <c r="F290" s="1130"/>
      <c r="G290" s="95"/>
      <c r="H290" s="823"/>
      <c r="I290" s="1125"/>
      <c r="J290" s="1134"/>
      <c r="K290" s="1134"/>
      <c r="L290" s="916"/>
    </row>
    <row r="291" spans="1:12" s="103" customFormat="1" ht="15.75" hidden="1" customHeight="1" outlineLevel="1">
      <c r="A291" s="916"/>
      <c r="B291" s="1124"/>
      <c r="C291" s="1128"/>
      <c r="D291" s="1126"/>
      <c r="E291" s="1126"/>
      <c r="F291" s="1132"/>
      <c r="G291" s="100"/>
      <c r="H291" s="824"/>
      <c r="I291" s="1126"/>
      <c r="J291" s="1135"/>
      <c r="K291" s="1135"/>
      <c r="L291" s="916"/>
    </row>
    <row r="292" spans="1:12" s="103" customFormat="1" ht="15.75" hidden="1" customHeight="1" outlineLevel="1">
      <c r="A292" s="916"/>
      <c r="B292" s="1123">
        <v>94</v>
      </c>
      <c r="C292" s="1127"/>
      <c r="D292" s="1125"/>
      <c r="E292" s="1125" t="s">
        <v>18</v>
      </c>
      <c r="F292" s="1130" t="str">
        <f>VLOOKUP(E292,$N$13:$O$17,2,0)</f>
        <v>-</v>
      </c>
      <c r="G292" s="92"/>
      <c r="H292" s="823"/>
      <c r="I292" s="1125"/>
      <c r="J292" s="1133"/>
      <c r="K292" s="1133"/>
      <c r="L292" s="916"/>
    </row>
    <row r="293" spans="1:12" s="103" customFormat="1" ht="15.75" hidden="1" customHeight="1" outlineLevel="1">
      <c r="A293" s="916"/>
      <c r="B293" s="1123"/>
      <c r="C293" s="1127"/>
      <c r="D293" s="1125"/>
      <c r="E293" s="1125"/>
      <c r="F293" s="1130"/>
      <c r="G293" s="95"/>
      <c r="H293" s="823"/>
      <c r="I293" s="1125"/>
      <c r="J293" s="1134"/>
      <c r="K293" s="1134"/>
      <c r="L293" s="916"/>
    </row>
    <row r="294" spans="1:12" s="103" customFormat="1" ht="15.75" hidden="1" customHeight="1" outlineLevel="1">
      <c r="A294" s="916"/>
      <c r="B294" s="1124"/>
      <c r="C294" s="1128"/>
      <c r="D294" s="1126"/>
      <c r="E294" s="1126"/>
      <c r="F294" s="1132"/>
      <c r="G294" s="100"/>
      <c r="H294" s="824"/>
      <c r="I294" s="1126"/>
      <c r="J294" s="1135"/>
      <c r="K294" s="1135"/>
      <c r="L294" s="916"/>
    </row>
    <row r="295" spans="1:12" s="103" customFormat="1" ht="15.75" hidden="1" customHeight="1" outlineLevel="1">
      <c r="A295" s="916"/>
      <c r="B295" s="1123">
        <v>95</v>
      </c>
      <c r="C295" s="1127"/>
      <c r="D295" s="1125"/>
      <c r="E295" s="1125" t="s">
        <v>18</v>
      </c>
      <c r="F295" s="1130" t="str">
        <f>VLOOKUP(E295,$N$13:$O$17,2,0)</f>
        <v>-</v>
      </c>
      <c r="G295" s="92"/>
      <c r="H295" s="823"/>
      <c r="I295" s="1125"/>
      <c r="J295" s="1133"/>
      <c r="K295" s="1133"/>
      <c r="L295" s="916"/>
    </row>
    <row r="296" spans="1:12" s="103" customFormat="1" ht="15.75" hidden="1" customHeight="1" outlineLevel="1">
      <c r="A296" s="916"/>
      <c r="B296" s="1123"/>
      <c r="C296" s="1127"/>
      <c r="D296" s="1125"/>
      <c r="E296" s="1125"/>
      <c r="F296" s="1130"/>
      <c r="G296" s="95"/>
      <c r="H296" s="823"/>
      <c r="I296" s="1125"/>
      <c r="J296" s="1134"/>
      <c r="K296" s="1134"/>
      <c r="L296" s="916"/>
    </row>
    <row r="297" spans="1:12" s="103" customFormat="1" ht="15.75" hidden="1" customHeight="1" outlineLevel="1">
      <c r="A297" s="916"/>
      <c r="B297" s="1124"/>
      <c r="C297" s="1128"/>
      <c r="D297" s="1126"/>
      <c r="E297" s="1126"/>
      <c r="F297" s="1132"/>
      <c r="G297" s="100"/>
      <c r="H297" s="824"/>
      <c r="I297" s="1126"/>
      <c r="J297" s="1135"/>
      <c r="K297" s="1135"/>
      <c r="L297" s="916"/>
    </row>
    <row r="298" spans="1:12" s="103" customFormat="1" ht="15.75" hidden="1" customHeight="1" outlineLevel="1">
      <c r="A298" s="916"/>
      <c r="B298" s="1123">
        <v>96</v>
      </c>
      <c r="C298" s="1127"/>
      <c r="D298" s="1125"/>
      <c r="E298" s="1125" t="s">
        <v>18</v>
      </c>
      <c r="F298" s="1130" t="str">
        <f>VLOOKUP(E298,$N$13:$O$17,2,0)</f>
        <v>-</v>
      </c>
      <c r="G298" s="92"/>
      <c r="H298" s="823"/>
      <c r="I298" s="1125"/>
      <c r="J298" s="1133"/>
      <c r="K298" s="1133"/>
      <c r="L298" s="916"/>
    </row>
    <row r="299" spans="1:12" s="103" customFormat="1" ht="15.75" hidden="1" customHeight="1" outlineLevel="1">
      <c r="A299" s="916"/>
      <c r="B299" s="1123"/>
      <c r="C299" s="1127"/>
      <c r="D299" s="1125"/>
      <c r="E299" s="1125"/>
      <c r="F299" s="1130"/>
      <c r="G299" s="95"/>
      <c r="H299" s="823"/>
      <c r="I299" s="1125"/>
      <c r="J299" s="1134"/>
      <c r="K299" s="1134"/>
      <c r="L299" s="916"/>
    </row>
    <row r="300" spans="1:12" s="103" customFormat="1" ht="15.75" hidden="1" customHeight="1" outlineLevel="1">
      <c r="A300" s="916"/>
      <c r="B300" s="1124"/>
      <c r="C300" s="1128"/>
      <c r="D300" s="1126"/>
      <c r="E300" s="1126"/>
      <c r="F300" s="1132"/>
      <c r="G300" s="100"/>
      <c r="H300" s="824"/>
      <c r="I300" s="1126"/>
      <c r="J300" s="1135"/>
      <c r="K300" s="1135"/>
      <c r="L300" s="916"/>
    </row>
    <row r="301" spans="1:12" s="103" customFormat="1" ht="15.75" hidden="1" customHeight="1" outlineLevel="1">
      <c r="A301" s="916"/>
      <c r="B301" s="1123">
        <v>97</v>
      </c>
      <c r="C301" s="1127"/>
      <c r="D301" s="1125"/>
      <c r="E301" s="1125" t="s">
        <v>18</v>
      </c>
      <c r="F301" s="1130" t="str">
        <f>VLOOKUP(E301,$N$13:$O$17,2,0)</f>
        <v>-</v>
      </c>
      <c r="G301" s="92"/>
      <c r="H301" s="823"/>
      <c r="I301" s="1125"/>
      <c r="J301" s="1133"/>
      <c r="K301" s="1133"/>
      <c r="L301" s="916"/>
    </row>
    <row r="302" spans="1:12" s="103" customFormat="1" ht="15.75" hidden="1" customHeight="1" outlineLevel="1">
      <c r="A302" s="916"/>
      <c r="B302" s="1123"/>
      <c r="C302" s="1127"/>
      <c r="D302" s="1125"/>
      <c r="E302" s="1125"/>
      <c r="F302" s="1130"/>
      <c r="G302" s="95"/>
      <c r="H302" s="823"/>
      <c r="I302" s="1125"/>
      <c r="J302" s="1134"/>
      <c r="K302" s="1134"/>
      <c r="L302" s="916"/>
    </row>
    <row r="303" spans="1:12" s="103" customFormat="1" ht="15.75" hidden="1" customHeight="1" outlineLevel="1">
      <c r="A303" s="916"/>
      <c r="B303" s="1124"/>
      <c r="C303" s="1128"/>
      <c r="D303" s="1126"/>
      <c r="E303" s="1126"/>
      <c r="F303" s="1132"/>
      <c r="G303" s="100"/>
      <c r="H303" s="824"/>
      <c r="I303" s="1126"/>
      <c r="J303" s="1135"/>
      <c r="K303" s="1135"/>
      <c r="L303" s="916"/>
    </row>
    <row r="304" spans="1:12" s="103" customFormat="1" ht="15.75" hidden="1" customHeight="1" outlineLevel="1">
      <c r="A304" s="916"/>
      <c r="B304" s="1123">
        <v>98</v>
      </c>
      <c r="C304" s="1127"/>
      <c r="D304" s="1125"/>
      <c r="E304" s="1125" t="s">
        <v>18</v>
      </c>
      <c r="F304" s="1130" t="str">
        <f>VLOOKUP(E304,$N$13:$O$17,2,0)</f>
        <v>-</v>
      </c>
      <c r="G304" s="92"/>
      <c r="H304" s="823"/>
      <c r="I304" s="1125"/>
      <c r="J304" s="1133"/>
      <c r="K304" s="1133"/>
      <c r="L304" s="916"/>
    </row>
    <row r="305" spans="1:12" s="103" customFormat="1" ht="15.75" hidden="1" customHeight="1" outlineLevel="1">
      <c r="A305" s="916"/>
      <c r="B305" s="1123"/>
      <c r="C305" s="1127"/>
      <c r="D305" s="1125"/>
      <c r="E305" s="1125"/>
      <c r="F305" s="1130"/>
      <c r="G305" s="95"/>
      <c r="H305" s="823"/>
      <c r="I305" s="1125"/>
      <c r="J305" s="1134"/>
      <c r="K305" s="1134"/>
      <c r="L305" s="916"/>
    </row>
    <row r="306" spans="1:12" s="103" customFormat="1" ht="15.75" hidden="1" customHeight="1" outlineLevel="1">
      <c r="A306" s="916"/>
      <c r="B306" s="1124"/>
      <c r="C306" s="1128"/>
      <c r="D306" s="1126"/>
      <c r="E306" s="1126"/>
      <c r="F306" s="1132"/>
      <c r="G306" s="100"/>
      <c r="H306" s="824"/>
      <c r="I306" s="1126"/>
      <c r="J306" s="1135"/>
      <c r="K306" s="1135"/>
      <c r="L306" s="916"/>
    </row>
    <row r="307" spans="1:12" s="103" customFormat="1" ht="15.75" hidden="1" customHeight="1" outlineLevel="1">
      <c r="A307" s="916"/>
      <c r="B307" s="1123">
        <v>99</v>
      </c>
      <c r="C307" s="1127"/>
      <c r="D307" s="1125"/>
      <c r="E307" s="1125" t="s">
        <v>18</v>
      </c>
      <c r="F307" s="1130" t="str">
        <f>VLOOKUP(E307,$N$13:$O$17,2,0)</f>
        <v>-</v>
      </c>
      <c r="G307" s="92"/>
      <c r="H307" s="823"/>
      <c r="I307" s="1125"/>
      <c r="J307" s="1133"/>
      <c r="K307" s="1133"/>
      <c r="L307" s="916"/>
    </row>
    <row r="308" spans="1:12" s="103" customFormat="1" ht="15.75" hidden="1" customHeight="1" outlineLevel="1">
      <c r="A308" s="916"/>
      <c r="B308" s="1123"/>
      <c r="C308" s="1127"/>
      <c r="D308" s="1125"/>
      <c r="E308" s="1125"/>
      <c r="F308" s="1130"/>
      <c r="G308" s="95"/>
      <c r="H308" s="823"/>
      <c r="I308" s="1125"/>
      <c r="J308" s="1134"/>
      <c r="K308" s="1134"/>
      <c r="L308" s="916"/>
    </row>
    <row r="309" spans="1:12" s="103" customFormat="1" ht="15.75" hidden="1" customHeight="1" outlineLevel="1">
      <c r="A309" s="916"/>
      <c r="B309" s="1124"/>
      <c r="C309" s="1128"/>
      <c r="D309" s="1126"/>
      <c r="E309" s="1126"/>
      <c r="F309" s="1132"/>
      <c r="G309" s="100"/>
      <c r="H309" s="824"/>
      <c r="I309" s="1126"/>
      <c r="J309" s="1135"/>
      <c r="K309" s="1135"/>
      <c r="L309" s="916"/>
    </row>
    <row r="310" spans="1:12" s="103" customFormat="1" ht="15.75" hidden="1" customHeight="1" outlineLevel="1">
      <c r="A310" s="916"/>
      <c r="B310" s="1123">
        <v>100</v>
      </c>
      <c r="C310" s="1127"/>
      <c r="D310" s="1125"/>
      <c r="E310" s="1125" t="s">
        <v>18</v>
      </c>
      <c r="F310" s="1130" t="str">
        <f>VLOOKUP(E310,$N$13:$O$17,2,0)</f>
        <v>-</v>
      </c>
      <c r="G310" s="92"/>
      <c r="H310" s="823"/>
      <c r="I310" s="1125"/>
      <c r="J310" s="1133"/>
      <c r="K310" s="1133"/>
      <c r="L310" s="916"/>
    </row>
    <row r="311" spans="1:12" s="103" customFormat="1" ht="15.75" hidden="1" customHeight="1" outlineLevel="1">
      <c r="A311" s="916"/>
      <c r="B311" s="1123"/>
      <c r="C311" s="1127"/>
      <c r="D311" s="1125"/>
      <c r="E311" s="1125"/>
      <c r="F311" s="1130"/>
      <c r="G311" s="95"/>
      <c r="H311" s="823"/>
      <c r="I311" s="1125"/>
      <c r="J311" s="1134"/>
      <c r="K311" s="1134"/>
      <c r="L311" s="916"/>
    </row>
    <row r="312" spans="1:12" s="103" customFormat="1" ht="15.75" hidden="1" customHeight="1" outlineLevel="1">
      <c r="A312" s="916"/>
      <c r="B312" s="1124"/>
      <c r="C312" s="1128"/>
      <c r="D312" s="1126"/>
      <c r="E312" s="1126"/>
      <c r="F312" s="1132"/>
      <c r="G312" s="100"/>
      <c r="H312" s="824"/>
      <c r="I312" s="1126"/>
      <c r="J312" s="1135"/>
      <c r="K312" s="1135"/>
      <c r="L312" s="916"/>
    </row>
    <row r="313" spans="1:12" s="103" customFormat="1" ht="15.75" hidden="1" customHeight="1" outlineLevel="1">
      <c r="A313" s="916"/>
      <c r="B313" s="1123">
        <v>101</v>
      </c>
      <c r="C313" s="1127"/>
      <c r="D313" s="1125"/>
      <c r="E313" s="1125" t="s">
        <v>18</v>
      </c>
      <c r="F313" s="1130" t="str">
        <f>VLOOKUP(E313,$N$13:$O$17,2,0)</f>
        <v>-</v>
      </c>
      <c r="G313" s="92"/>
      <c r="H313" s="823"/>
      <c r="I313" s="1125"/>
      <c r="J313" s="1133"/>
      <c r="K313" s="1133"/>
      <c r="L313" s="916"/>
    </row>
    <row r="314" spans="1:12" s="103" customFormat="1" ht="15.75" hidden="1" customHeight="1" outlineLevel="1">
      <c r="A314" s="916"/>
      <c r="B314" s="1123"/>
      <c r="C314" s="1127"/>
      <c r="D314" s="1125"/>
      <c r="E314" s="1125"/>
      <c r="F314" s="1130"/>
      <c r="G314" s="95"/>
      <c r="H314" s="823"/>
      <c r="I314" s="1125"/>
      <c r="J314" s="1134"/>
      <c r="K314" s="1134"/>
      <c r="L314" s="916"/>
    </row>
    <row r="315" spans="1:12" s="103" customFormat="1" ht="15.75" hidden="1" customHeight="1" outlineLevel="1">
      <c r="A315" s="916"/>
      <c r="B315" s="1124"/>
      <c r="C315" s="1128"/>
      <c r="D315" s="1126"/>
      <c r="E315" s="1126"/>
      <c r="F315" s="1132"/>
      <c r="G315" s="100"/>
      <c r="H315" s="824"/>
      <c r="I315" s="1126"/>
      <c r="J315" s="1135"/>
      <c r="K315" s="1135"/>
      <c r="L315" s="916"/>
    </row>
    <row r="316" spans="1:12" s="103" customFormat="1" ht="15.75" hidden="1" customHeight="1" outlineLevel="1">
      <c r="A316" s="916"/>
      <c r="B316" s="1123">
        <v>102</v>
      </c>
      <c r="C316" s="1127"/>
      <c r="D316" s="1125"/>
      <c r="E316" s="1125" t="s">
        <v>18</v>
      </c>
      <c r="F316" s="1130" t="str">
        <f>VLOOKUP(E316,$N$13:$O$17,2,0)</f>
        <v>-</v>
      </c>
      <c r="G316" s="92"/>
      <c r="H316" s="823"/>
      <c r="I316" s="1125"/>
      <c r="J316" s="1133"/>
      <c r="K316" s="1133"/>
      <c r="L316" s="916"/>
    </row>
    <row r="317" spans="1:12" s="103" customFormat="1" ht="15.75" hidden="1" customHeight="1" outlineLevel="1">
      <c r="A317" s="916"/>
      <c r="B317" s="1123"/>
      <c r="C317" s="1127"/>
      <c r="D317" s="1125"/>
      <c r="E317" s="1125"/>
      <c r="F317" s="1130"/>
      <c r="G317" s="95"/>
      <c r="H317" s="823"/>
      <c r="I317" s="1125"/>
      <c r="J317" s="1134"/>
      <c r="K317" s="1134"/>
      <c r="L317" s="916"/>
    </row>
    <row r="318" spans="1:12" s="103" customFormat="1" ht="15.75" hidden="1" customHeight="1" outlineLevel="1">
      <c r="A318" s="916"/>
      <c r="B318" s="1124"/>
      <c r="C318" s="1128"/>
      <c r="D318" s="1126"/>
      <c r="E318" s="1126"/>
      <c r="F318" s="1132"/>
      <c r="G318" s="100"/>
      <c r="H318" s="824"/>
      <c r="I318" s="1126"/>
      <c r="J318" s="1135"/>
      <c r="K318" s="1135"/>
      <c r="L318" s="916"/>
    </row>
    <row r="319" spans="1:12" s="103" customFormat="1" ht="15.75" hidden="1" customHeight="1" outlineLevel="1">
      <c r="A319" s="916"/>
      <c r="B319" s="1123">
        <v>103</v>
      </c>
      <c r="C319" s="1127"/>
      <c r="D319" s="1125"/>
      <c r="E319" s="1125" t="s">
        <v>18</v>
      </c>
      <c r="F319" s="1130" t="str">
        <f>VLOOKUP(E319,$N$13:$O$17,2,0)</f>
        <v>-</v>
      </c>
      <c r="G319" s="92"/>
      <c r="H319" s="823"/>
      <c r="I319" s="1125"/>
      <c r="J319" s="1133"/>
      <c r="K319" s="1133"/>
      <c r="L319" s="916"/>
    </row>
    <row r="320" spans="1:12" s="103" customFormat="1" ht="15.75" hidden="1" customHeight="1" outlineLevel="1">
      <c r="A320" s="916"/>
      <c r="B320" s="1123"/>
      <c r="C320" s="1127"/>
      <c r="D320" s="1125"/>
      <c r="E320" s="1125"/>
      <c r="F320" s="1130"/>
      <c r="G320" s="95"/>
      <c r="H320" s="823"/>
      <c r="I320" s="1125"/>
      <c r="J320" s="1134"/>
      <c r="K320" s="1134"/>
      <c r="L320" s="916"/>
    </row>
    <row r="321" spans="1:12" s="103" customFormat="1" ht="15.75" hidden="1" customHeight="1" outlineLevel="1">
      <c r="A321" s="916"/>
      <c r="B321" s="1124"/>
      <c r="C321" s="1128"/>
      <c r="D321" s="1126"/>
      <c r="E321" s="1126"/>
      <c r="F321" s="1132"/>
      <c r="G321" s="100"/>
      <c r="H321" s="824"/>
      <c r="I321" s="1126"/>
      <c r="J321" s="1135"/>
      <c r="K321" s="1135"/>
      <c r="L321" s="916"/>
    </row>
    <row r="322" spans="1:12" s="103" customFormat="1" ht="15.75" hidden="1" customHeight="1" outlineLevel="1">
      <c r="A322" s="916"/>
      <c r="B322" s="1123">
        <v>104</v>
      </c>
      <c r="C322" s="1127"/>
      <c r="D322" s="1125"/>
      <c r="E322" s="1125" t="s">
        <v>18</v>
      </c>
      <c r="F322" s="1130" t="str">
        <f>VLOOKUP(E322,$N$13:$O$17,2,0)</f>
        <v>-</v>
      </c>
      <c r="G322" s="92"/>
      <c r="H322" s="823"/>
      <c r="I322" s="1125"/>
      <c r="J322" s="1133"/>
      <c r="K322" s="1133"/>
      <c r="L322" s="916"/>
    </row>
    <row r="323" spans="1:12" s="103" customFormat="1" ht="15.75" hidden="1" customHeight="1" outlineLevel="1">
      <c r="A323" s="916"/>
      <c r="B323" s="1123"/>
      <c r="C323" s="1127"/>
      <c r="D323" s="1125"/>
      <c r="E323" s="1125"/>
      <c r="F323" s="1130"/>
      <c r="G323" s="95"/>
      <c r="H323" s="823"/>
      <c r="I323" s="1125"/>
      <c r="J323" s="1134"/>
      <c r="K323" s="1134"/>
      <c r="L323" s="916"/>
    </row>
    <row r="324" spans="1:12" s="103" customFormat="1" ht="15.75" hidden="1" customHeight="1" outlineLevel="1">
      <c r="A324" s="916"/>
      <c r="B324" s="1124"/>
      <c r="C324" s="1128"/>
      <c r="D324" s="1126"/>
      <c r="E324" s="1126"/>
      <c r="F324" s="1132"/>
      <c r="G324" s="100"/>
      <c r="H324" s="824"/>
      <c r="I324" s="1126"/>
      <c r="J324" s="1135"/>
      <c r="K324" s="1135"/>
      <c r="L324" s="916"/>
    </row>
    <row r="325" spans="1:12" s="103" customFormat="1" ht="15.75" hidden="1" customHeight="1" outlineLevel="1">
      <c r="A325" s="916"/>
      <c r="B325" s="1123">
        <v>105</v>
      </c>
      <c r="C325" s="1127"/>
      <c r="D325" s="1125"/>
      <c r="E325" s="1125" t="s">
        <v>18</v>
      </c>
      <c r="F325" s="1130" t="str">
        <f>VLOOKUP(E325,$N$13:$O$17,2,0)</f>
        <v>-</v>
      </c>
      <c r="G325" s="92"/>
      <c r="H325" s="823"/>
      <c r="I325" s="1125"/>
      <c r="J325" s="1133"/>
      <c r="K325" s="1133"/>
      <c r="L325" s="916"/>
    </row>
    <row r="326" spans="1:12" s="103" customFormat="1" ht="15.75" hidden="1" customHeight="1" outlineLevel="1">
      <c r="A326" s="916"/>
      <c r="B326" s="1123"/>
      <c r="C326" s="1127"/>
      <c r="D326" s="1125"/>
      <c r="E326" s="1125"/>
      <c r="F326" s="1130"/>
      <c r="G326" s="95"/>
      <c r="H326" s="823"/>
      <c r="I326" s="1125"/>
      <c r="J326" s="1134"/>
      <c r="K326" s="1134"/>
      <c r="L326" s="916"/>
    </row>
    <row r="327" spans="1:12" s="103" customFormat="1" ht="15.75" hidden="1" customHeight="1" outlineLevel="1">
      <c r="A327" s="916"/>
      <c r="B327" s="1124"/>
      <c r="C327" s="1128"/>
      <c r="D327" s="1126"/>
      <c r="E327" s="1126"/>
      <c r="F327" s="1132"/>
      <c r="G327" s="100"/>
      <c r="H327" s="824"/>
      <c r="I327" s="1126"/>
      <c r="J327" s="1135"/>
      <c r="K327" s="1135"/>
      <c r="L327" s="916"/>
    </row>
    <row r="328" spans="1:12" s="103" customFormat="1" ht="15.75" hidden="1" customHeight="1" outlineLevel="1">
      <c r="A328" s="916"/>
      <c r="B328" s="1123">
        <v>106</v>
      </c>
      <c r="C328" s="1127"/>
      <c r="D328" s="1125"/>
      <c r="E328" s="1125" t="s">
        <v>18</v>
      </c>
      <c r="F328" s="1130" t="str">
        <f>VLOOKUP(E328,$N$13:$O$17,2,0)</f>
        <v>-</v>
      </c>
      <c r="G328" s="92"/>
      <c r="H328" s="823"/>
      <c r="I328" s="1125"/>
      <c r="J328" s="1133"/>
      <c r="K328" s="1133"/>
      <c r="L328" s="916"/>
    </row>
    <row r="329" spans="1:12" s="103" customFormat="1" ht="15.75" hidden="1" customHeight="1" outlineLevel="1">
      <c r="A329" s="916"/>
      <c r="B329" s="1123"/>
      <c r="C329" s="1127"/>
      <c r="D329" s="1125"/>
      <c r="E329" s="1125"/>
      <c r="F329" s="1130"/>
      <c r="G329" s="95"/>
      <c r="H329" s="823"/>
      <c r="I329" s="1125"/>
      <c r="J329" s="1134"/>
      <c r="K329" s="1134"/>
      <c r="L329" s="916"/>
    </row>
    <row r="330" spans="1:12" s="103" customFormat="1" ht="15.75" hidden="1" customHeight="1" outlineLevel="1">
      <c r="A330" s="916"/>
      <c r="B330" s="1124"/>
      <c r="C330" s="1128"/>
      <c r="D330" s="1126"/>
      <c r="E330" s="1126"/>
      <c r="F330" s="1132"/>
      <c r="G330" s="100"/>
      <c r="H330" s="824"/>
      <c r="I330" s="1126"/>
      <c r="J330" s="1135"/>
      <c r="K330" s="1135"/>
      <c r="L330" s="916"/>
    </row>
    <row r="331" spans="1:12" s="103" customFormat="1" ht="15.75" hidden="1" customHeight="1" outlineLevel="1">
      <c r="A331" s="916"/>
      <c r="B331" s="1123">
        <v>107</v>
      </c>
      <c r="C331" s="1127"/>
      <c r="D331" s="1125"/>
      <c r="E331" s="1125" t="s">
        <v>18</v>
      </c>
      <c r="F331" s="1130" t="str">
        <f>VLOOKUP(E331,$N$13:$O$17,2,0)</f>
        <v>-</v>
      </c>
      <c r="G331" s="92"/>
      <c r="H331" s="823"/>
      <c r="I331" s="1125"/>
      <c r="J331" s="1133"/>
      <c r="K331" s="1133"/>
      <c r="L331" s="916"/>
    </row>
    <row r="332" spans="1:12" s="103" customFormat="1" ht="15.75" hidden="1" customHeight="1" outlineLevel="1">
      <c r="A332" s="916"/>
      <c r="B332" s="1123"/>
      <c r="C332" s="1127"/>
      <c r="D332" s="1125"/>
      <c r="E332" s="1125"/>
      <c r="F332" s="1130"/>
      <c r="G332" s="95"/>
      <c r="H332" s="823"/>
      <c r="I332" s="1125"/>
      <c r="J332" s="1134"/>
      <c r="K332" s="1134"/>
      <c r="L332" s="916"/>
    </row>
    <row r="333" spans="1:12" s="103" customFormat="1" ht="15.75" hidden="1" customHeight="1" outlineLevel="1">
      <c r="A333" s="916"/>
      <c r="B333" s="1124"/>
      <c r="C333" s="1128"/>
      <c r="D333" s="1126"/>
      <c r="E333" s="1126"/>
      <c r="F333" s="1132"/>
      <c r="G333" s="100"/>
      <c r="H333" s="824"/>
      <c r="I333" s="1126"/>
      <c r="J333" s="1135"/>
      <c r="K333" s="1135"/>
      <c r="L333" s="916"/>
    </row>
    <row r="334" spans="1:12" s="103" customFormat="1" ht="15.75" hidden="1" customHeight="1" outlineLevel="1">
      <c r="A334" s="916"/>
      <c r="B334" s="1123">
        <v>108</v>
      </c>
      <c r="C334" s="1127"/>
      <c r="D334" s="1125"/>
      <c r="E334" s="1125" t="s">
        <v>18</v>
      </c>
      <c r="F334" s="1130" t="str">
        <f>VLOOKUP(E334,$N$13:$O$17,2,0)</f>
        <v>-</v>
      </c>
      <c r="G334" s="92"/>
      <c r="H334" s="823"/>
      <c r="I334" s="1125"/>
      <c r="J334" s="1133"/>
      <c r="K334" s="1133"/>
      <c r="L334" s="916"/>
    </row>
    <row r="335" spans="1:12" s="103" customFormat="1" ht="15.75" hidden="1" customHeight="1" outlineLevel="1">
      <c r="A335" s="916"/>
      <c r="B335" s="1123"/>
      <c r="C335" s="1127"/>
      <c r="D335" s="1125"/>
      <c r="E335" s="1125"/>
      <c r="F335" s="1130"/>
      <c r="G335" s="95"/>
      <c r="H335" s="823"/>
      <c r="I335" s="1125"/>
      <c r="J335" s="1134"/>
      <c r="K335" s="1134"/>
      <c r="L335" s="916"/>
    </row>
    <row r="336" spans="1:12" s="103" customFormat="1" ht="15.75" hidden="1" customHeight="1" outlineLevel="1">
      <c r="A336" s="916"/>
      <c r="B336" s="1124"/>
      <c r="C336" s="1128"/>
      <c r="D336" s="1126"/>
      <c r="E336" s="1126"/>
      <c r="F336" s="1132"/>
      <c r="G336" s="100"/>
      <c r="H336" s="824"/>
      <c r="I336" s="1126"/>
      <c r="J336" s="1135"/>
      <c r="K336" s="1135"/>
      <c r="L336" s="916"/>
    </row>
    <row r="337" spans="1:12" s="103" customFormat="1" ht="15.75" hidden="1" customHeight="1" outlineLevel="1">
      <c r="A337" s="916"/>
      <c r="B337" s="1123">
        <v>109</v>
      </c>
      <c r="C337" s="1127"/>
      <c r="D337" s="1125"/>
      <c r="E337" s="1125" t="s">
        <v>18</v>
      </c>
      <c r="F337" s="1130" t="str">
        <f>VLOOKUP(E337,$N$13:$O$17,2,0)</f>
        <v>-</v>
      </c>
      <c r="G337" s="92"/>
      <c r="H337" s="823"/>
      <c r="I337" s="1125"/>
      <c r="J337" s="1133"/>
      <c r="K337" s="1133"/>
      <c r="L337" s="916"/>
    </row>
    <row r="338" spans="1:12" s="103" customFormat="1" ht="15.75" hidden="1" customHeight="1" outlineLevel="1">
      <c r="A338" s="916"/>
      <c r="B338" s="1123"/>
      <c r="C338" s="1127"/>
      <c r="D338" s="1125"/>
      <c r="E338" s="1125"/>
      <c r="F338" s="1130"/>
      <c r="G338" s="95"/>
      <c r="H338" s="823"/>
      <c r="I338" s="1125"/>
      <c r="J338" s="1134"/>
      <c r="K338" s="1134"/>
      <c r="L338" s="916"/>
    </row>
    <row r="339" spans="1:12" s="103" customFormat="1" ht="15.75" hidden="1" customHeight="1" outlineLevel="1">
      <c r="A339" s="916"/>
      <c r="B339" s="1124"/>
      <c r="C339" s="1128"/>
      <c r="D339" s="1126"/>
      <c r="E339" s="1126"/>
      <c r="F339" s="1132"/>
      <c r="G339" s="100"/>
      <c r="H339" s="824"/>
      <c r="I339" s="1126"/>
      <c r="J339" s="1135"/>
      <c r="K339" s="1135"/>
      <c r="L339" s="916"/>
    </row>
    <row r="340" spans="1:12" s="103" customFormat="1" ht="15.75" hidden="1" customHeight="1" outlineLevel="1">
      <c r="A340" s="916"/>
      <c r="B340" s="1123">
        <v>110</v>
      </c>
      <c r="C340" s="1127"/>
      <c r="D340" s="1125"/>
      <c r="E340" s="1125" t="s">
        <v>18</v>
      </c>
      <c r="F340" s="1130" t="str">
        <f>VLOOKUP(E340,$N$13:$O$17,2,0)</f>
        <v>-</v>
      </c>
      <c r="G340" s="92"/>
      <c r="H340" s="823"/>
      <c r="I340" s="1125"/>
      <c r="J340" s="1133"/>
      <c r="K340" s="1133"/>
      <c r="L340" s="916"/>
    </row>
    <row r="341" spans="1:12" s="103" customFormat="1" ht="15.75" hidden="1" customHeight="1" outlineLevel="1">
      <c r="A341" s="916"/>
      <c r="B341" s="1123"/>
      <c r="C341" s="1127"/>
      <c r="D341" s="1125"/>
      <c r="E341" s="1125"/>
      <c r="F341" s="1130"/>
      <c r="G341" s="95"/>
      <c r="H341" s="823"/>
      <c r="I341" s="1125"/>
      <c r="J341" s="1134"/>
      <c r="K341" s="1134"/>
      <c r="L341" s="916"/>
    </row>
    <row r="342" spans="1:12" s="103" customFormat="1" ht="15.75" hidden="1" customHeight="1" outlineLevel="1">
      <c r="A342" s="916"/>
      <c r="B342" s="1124"/>
      <c r="C342" s="1128"/>
      <c r="D342" s="1126"/>
      <c r="E342" s="1126"/>
      <c r="F342" s="1132"/>
      <c r="G342" s="100"/>
      <c r="H342" s="824"/>
      <c r="I342" s="1126"/>
      <c r="J342" s="1135"/>
      <c r="K342" s="1135"/>
      <c r="L342" s="916"/>
    </row>
    <row r="343" spans="1:12" s="103" customFormat="1" ht="15.75" hidden="1" customHeight="1" outlineLevel="1">
      <c r="A343" s="916"/>
      <c r="B343" s="1123">
        <v>111</v>
      </c>
      <c r="C343" s="1127"/>
      <c r="D343" s="1125"/>
      <c r="E343" s="1125" t="s">
        <v>18</v>
      </c>
      <c r="F343" s="1130" t="str">
        <f>VLOOKUP(E343,$N$13:$O$17,2,0)</f>
        <v>-</v>
      </c>
      <c r="G343" s="92"/>
      <c r="H343" s="823"/>
      <c r="I343" s="1125"/>
      <c r="J343" s="1133"/>
      <c r="K343" s="1133"/>
      <c r="L343" s="916"/>
    </row>
    <row r="344" spans="1:12" s="103" customFormat="1" ht="15.75" hidden="1" customHeight="1" outlineLevel="1">
      <c r="A344" s="916"/>
      <c r="B344" s="1123"/>
      <c r="C344" s="1127"/>
      <c r="D344" s="1125"/>
      <c r="E344" s="1125"/>
      <c r="F344" s="1130"/>
      <c r="G344" s="95"/>
      <c r="H344" s="823"/>
      <c r="I344" s="1125"/>
      <c r="J344" s="1134"/>
      <c r="K344" s="1134"/>
      <c r="L344" s="916"/>
    </row>
    <row r="345" spans="1:12" s="103" customFormat="1" ht="15.75" hidden="1" customHeight="1" outlineLevel="1">
      <c r="A345" s="916"/>
      <c r="B345" s="1124"/>
      <c r="C345" s="1128"/>
      <c r="D345" s="1126"/>
      <c r="E345" s="1126"/>
      <c r="F345" s="1132"/>
      <c r="G345" s="100"/>
      <c r="H345" s="824"/>
      <c r="I345" s="1126"/>
      <c r="J345" s="1135"/>
      <c r="K345" s="1135"/>
      <c r="L345" s="916"/>
    </row>
    <row r="346" spans="1:12" s="103" customFormat="1" ht="15.75" hidden="1" customHeight="1" outlineLevel="1">
      <c r="A346" s="916"/>
      <c r="B346" s="1123">
        <v>112</v>
      </c>
      <c r="C346" s="1127"/>
      <c r="D346" s="1125"/>
      <c r="E346" s="1125" t="s">
        <v>18</v>
      </c>
      <c r="F346" s="1130" t="str">
        <f>VLOOKUP(E346,$N$13:$O$17,2,0)</f>
        <v>-</v>
      </c>
      <c r="G346" s="92"/>
      <c r="H346" s="823"/>
      <c r="I346" s="1125"/>
      <c r="J346" s="1133"/>
      <c r="K346" s="1133"/>
      <c r="L346" s="916"/>
    </row>
    <row r="347" spans="1:12" s="103" customFormat="1" ht="15.75" hidden="1" customHeight="1" outlineLevel="1">
      <c r="A347" s="916"/>
      <c r="B347" s="1123"/>
      <c r="C347" s="1127"/>
      <c r="D347" s="1125"/>
      <c r="E347" s="1125"/>
      <c r="F347" s="1130"/>
      <c r="G347" s="95"/>
      <c r="H347" s="823"/>
      <c r="I347" s="1125"/>
      <c r="J347" s="1134"/>
      <c r="K347" s="1134"/>
      <c r="L347" s="916"/>
    </row>
    <row r="348" spans="1:12" s="103" customFormat="1" ht="15.75" hidden="1" customHeight="1" outlineLevel="1">
      <c r="A348" s="916"/>
      <c r="B348" s="1124"/>
      <c r="C348" s="1128"/>
      <c r="D348" s="1126"/>
      <c r="E348" s="1126"/>
      <c r="F348" s="1132"/>
      <c r="G348" s="100"/>
      <c r="H348" s="824"/>
      <c r="I348" s="1126"/>
      <c r="J348" s="1135"/>
      <c r="K348" s="1135"/>
      <c r="L348" s="916"/>
    </row>
    <row r="349" spans="1:12" s="103" customFormat="1" ht="15.75" hidden="1" customHeight="1" outlineLevel="1">
      <c r="A349" s="916"/>
      <c r="B349" s="1123">
        <v>113</v>
      </c>
      <c r="C349" s="1127"/>
      <c r="D349" s="1125"/>
      <c r="E349" s="1125" t="s">
        <v>18</v>
      </c>
      <c r="F349" s="1130" t="str">
        <f>VLOOKUP(E349,$N$13:$O$17,2,0)</f>
        <v>-</v>
      </c>
      <c r="G349" s="92"/>
      <c r="H349" s="823"/>
      <c r="I349" s="1125"/>
      <c r="J349" s="1133"/>
      <c r="K349" s="1133"/>
      <c r="L349" s="916"/>
    </row>
    <row r="350" spans="1:12" s="103" customFormat="1" ht="15.75" hidden="1" customHeight="1" outlineLevel="1">
      <c r="A350" s="916"/>
      <c r="B350" s="1123"/>
      <c r="C350" s="1127"/>
      <c r="D350" s="1125"/>
      <c r="E350" s="1125"/>
      <c r="F350" s="1130"/>
      <c r="G350" s="95"/>
      <c r="H350" s="823"/>
      <c r="I350" s="1125"/>
      <c r="J350" s="1134"/>
      <c r="K350" s="1134"/>
      <c r="L350" s="916"/>
    </row>
    <row r="351" spans="1:12" s="103" customFormat="1" ht="15.75" hidden="1" customHeight="1" outlineLevel="1">
      <c r="A351" s="916"/>
      <c r="B351" s="1124"/>
      <c r="C351" s="1128"/>
      <c r="D351" s="1126"/>
      <c r="E351" s="1126"/>
      <c r="F351" s="1132"/>
      <c r="G351" s="100"/>
      <c r="H351" s="824"/>
      <c r="I351" s="1126"/>
      <c r="J351" s="1135"/>
      <c r="K351" s="1135"/>
      <c r="L351" s="916"/>
    </row>
    <row r="352" spans="1:12" s="103" customFormat="1" ht="15.75" hidden="1" customHeight="1" outlineLevel="1">
      <c r="A352" s="916"/>
      <c r="B352" s="1123">
        <v>114</v>
      </c>
      <c r="C352" s="1127"/>
      <c r="D352" s="1125"/>
      <c r="E352" s="1125" t="s">
        <v>18</v>
      </c>
      <c r="F352" s="1130" t="str">
        <f>VLOOKUP(E352,$N$13:$O$17,2,0)</f>
        <v>-</v>
      </c>
      <c r="G352" s="92"/>
      <c r="H352" s="823"/>
      <c r="I352" s="1125"/>
      <c r="J352" s="1133"/>
      <c r="K352" s="1133"/>
      <c r="L352" s="916"/>
    </row>
    <row r="353" spans="1:12" s="103" customFormat="1" ht="15.75" hidden="1" customHeight="1" outlineLevel="1">
      <c r="A353" s="916"/>
      <c r="B353" s="1123"/>
      <c r="C353" s="1127"/>
      <c r="D353" s="1125"/>
      <c r="E353" s="1125"/>
      <c r="F353" s="1130"/>
      <c r="G353" s="95"/>
      <c r="H353" s="823"/>
      <c r="I353" s="1125"/>
      <c r="J353" s="1134"/>
      <c r="K353" s="1134"/>
      <c r="L353" s="916"/>
    </row>
    <row r="354" spans="1:12" s="103" customFormat="1" ht="15.75" hidden="1" customHeight="1" outlineLevel="1">
      <c r="A354" s="916"/>
      <c r="B354" s="1124"/>
      <c r="C354" s="1128"/>
      <c r="D354" s="1126"/>
      <c r="E354" s="1126"/>
      <c r="F354" s="1132"/>
      <c r="G354" s="100"/>
      <c r="H354" s="824"/>
      <c r="I354" s="1126"/>
      <c r="J354" s="1135"/>
      <c r="K354" s="1135"/>
      <c r="L354" s="916"/>
    </row>
    <row r="355" spans="1:12" s="103" customFormat="1" ht="15.75" hidden="1" customHeight="1" outlineLevel="1">
      <c r="A355" s="916"/>
      <c r="B355" s="1123">
        <v>115</v>
      </c>
      <c r="C355" s="1127"/>
      <c r="D355" s="1125"/>
      <c r="E355" s="1125" t="s">
        <v>18</v>
      </c>
      <c r="F355" s="1130" t="str">
        <f>VLOOKUP(E355,$N$13:$O$17,2,0)</f>
        <v>-</v>
      </c>
      <c r="G355" s="92"/>
      <c r="H355" s="823"/>
      <c r="I355" s="1125"/>
      <c r="J355" s="1133"/>
      <c r="K355" s="1133"/>
      <c r="L355" s="916"/>
    </row>
    <row r="356" spans="1:12" s="103" customFormat="1" ht="15.75" hidden="1" customHeight="1" outlineLevel="1">
      <c r="A356" s="916"/>
      <c r="B356" s="1123"/>
      <c r="C356" s="1127"/>
      <c r="D356" s="1125"/>
      <c r="E356" s="1125"/>
      <c r="F356" s="1130"/>
      <c r="G356" s="95"/>
      <c r="H356" s="823"/>
      <c r="I356" s="1125"/>
      <c r="J356" s="1134"/>
      <c r="K356" s="1134"/>
      <c r="L356" s="916"/>
    </row>
    <row r="357" spans="1:12" s="103" customFormat="1" ht="15.75" hidden="1" customHeight="1" outlineLevel="1">
      <c r="A357" s="916"/>
      <c r="B357" s="1124"/>
      <c r="C357" s="1128"/>
      <c r="D357" s="1126"/>
      <c r="E357" s="1126"/>
      <c r="F357" s="1132"/>
      <c r="G357" s="100"/>
      <c r="H357" s="824"/>
      <c r="I357" s="1126"/>
      <c r="J357" s="1135"/>
      <c r="K357" s="1135"/>
      <c r="L357" s="916"/>
    </row>
    <row r="358" spans="1:12" s="103" customFormat="1" ht="15.75" hidden="1" customHeight="1" outlineLevel="1">
      <c r="A358" s="916"/>
      <c r="B358" s="1123">
        <v>116</v>
      </c>
      <c r="C358" s="1127"/>
      <c r="D358" s="1125"/>
      <c r="E358" s="1125" t="s">
        <v>18</v>
      </c>
      <c r="F358" s="1130" t="str">
        <f>VLOOKUP(E358,$N$13:$O$17,2,0)</f>
        <v>-</v>
      </c>
      <c r="G358" s="92"/>
      <c r="H358" s="823"/>
      <c r="I358" s="1125"/>
      <c r="J358" s="1133"/>
      <c r="K358" s="1133"/>
      <c r="L358" s="916"/>
    </row>
    <row r="359" spans="1:12" s="103" customFormat="1" ht="15.75" hidden="1" customHeight="1" outlineLevel="1">
      <c r="A359" s="916"/>
      <c r="B359" s="1123"/>
      <c r="C359" s="1127"/>
      <c r="D359" s="1125"/>
      <c r="E359" s="1125"/>
      <c r="F359" s="1130"/>
      <c r="G359" s="95"/>
      <c r="H359" s="823"/>
      <c r="I359" s="1125"/>
      <c r="J359" s="1134"/>
      <c r="K359" s="1134"/>
      <c r="L359" s="916"/>
    </row>
    <row r="360" spans="1:12" s="103" customFormat="1" ht="15.75" hidden="1" customHeight="1" outlineLevel="1">
      <c r="A360" s="916"/>
      <c r="B360" s="1124"/>
      <c r="C360" s="1128"/>
      <c r="D360" s="1126"/>
      <c r="E360" s="1126"/>
      <c r="F360" s="1132"/>
      <c r="G360" s="100"/>
      <c r="H360" s="824"/>
      <c r="I360" s="1126"/>
      <c r="J360" s="1135"/>
      <c r="K360" s="1135"/>
      <c r="L360" s="916"/>
    </row>
    <row r="361" spans="1:12" s="103" customFormat="1" ht="15.75" hidden="1" customHeight="1" outlineLevel="1">
      <c r="A361" s="916"/>
      <c r="B361" s="1123">
        <v>117</v>
      </c>
      <c r="C361" s="1127"/>
      <c r="D361" s="1125"/>
      <c r="E361" s="1125" t="s">
        <v>18</v>
      </c>
      <c r="F361" s="1130" t="str">
        <f>VLOOKUP(E361,$N$13:$O$17,2,0)</f>
        <v>-</v>
      </c>
      <c r="G361" s="92"/>
      <c r="H361" s="823"/>
      <c r="I361" s="1125"/>
      <c r="J361" s="1133"/>
      <c r="K361" s="1133"/>
      <c r="L361" s="916"/>
    </row>
    <row r="362" spans="1:12" s="103" customFormat="1" ht="15.75" hidden="1" customHeight="1" outlineLevel="1">
      <c r="A362" s="916"/>
      <c r="B362" s="1123"/>
      <c r="C362" s="1127"/>
      <c r="D362" s="1125"/>
      <c r="E362" s="1125"/>
      <c r="F362" s="1130"/>
      <c r="G362" s="95"/>
      <c r="H362" s="823"/>
      <c r="I362" s="1125"/>
      <c r="J362" s="1134"/>
      <c r="K362" s="1134"/>
      <c r="L362" s="916"/>
    </row>
    <row r="363" spans="1:12" s="103" customFormat="1" ht="15.75" hidden="1" customHeight="1" outlineLevel="1">
      <c r="A363" s="916"/>
      <c r="B363" s="1124"/>
      <c r="C363" s="1128"/>
      <c r="D363" s="1126"/>
      <c r="E363" s="1126"/>
      <c r="F363" s="1132"/>
      <c r="G363" s="100"/>
      <c r="H363" s="824"/>
      <c r="I363" s="1126"/>
      <c r="J363" s="1135"/>
      <c r="K363" s="1135"/>
      <c r="L363" s="916"/>
    </row>
    <row r="364" spans="1:12" s="103" customFormat="1" ht="15.75" hidden="1" customHeight="1" outlineLevel="1">
      <c r="A364" s="916"/>
      <c r="B364" s="1123">
        <v>118</v>
      </c>
      <c r="C364" s="1127"/>
      <c r="D364" s="1125"/>
      <c r="E364" s="1125" t="s">
        <v>18</v>
      </c>
      <c r="F364" s="1130" t="str">
        <f>VLOOKUP(E364,$N$13:$O$17,2,0)</f>
        <v>-</v>
      </c>
      <c r="G364" s="92"/>
      <c r="H364" s="823"/>
      <c r="I364" s="1125"/>
      <c r="J364" s="1133"/>
      <c r="K364" s="1133"/>
      <c r="L364" s="916"/>
    </row>
    <row r="365" spans="1:12" s="103" customFormat="1" ht="15.75" hidden="1" customHeight="1" outlineLevel="1">
      <c r="A365" s="916"/>
      <c r="B365" s="1123"/>
      <c r="C365" s="1127"/>
      <c r="D365" s="1125"/>
      <c r="E365" s="1125"/>
      <c r="F365" s="1130"/>
      <c r="G365" s="95"/>
      <c r="H365" s="823"/>
      <c r="I365" s="1125"/>
      <c r="J365" s="1134"/>
      <c r="K365" s="1134"/>
      <c r="L365" s="916"/>
    </row>
    <row r="366" spans="1:12" s="103" customFormat="1" ht="15.75" hidden="1" customHeight="1" outlineLevel="1">
      <c r="A366" s="916"/>
      <c r="B366" s="1124"/>
      <c r="C366" s="1128"/>
      <c r="D366" s="1126"/>
      <c r="E366" s="1126"/>
      <c r="F366" s="1132"/>
      <c r="G366" s="100"/>
      <c r="H366" s="824"/>
      <c r="I366" s="1126"/>
      <c r="J366" s="1135"/>
      <c r="K366" s="1135"/>
      <c r="L366" s="916"/>
    </row>
    <row r="367" spans="1:12" s="103" customFormat="1" ht="15.75" hidden="1" customHeight="1" outlineLevel="1">
      <c r="A367" s="916"/>
      <c r="B367" s="1123">
        <v>119</v>
      </c>
      <c r="C367" s="1127"/>
      <c r="D367" s="1125"/>
      <c r="E367" s="1125" t="s">
        <v>18</v>
      </c>
      <c r="F367" s="1130" t="str">
        <f>VLOOKUP(E367,$N$13:$O$17,2,0)</f>
        <v>-</v>
      </c>
      <c r="G367" s="92"/>
      <c r="H367" s="823"/>
      <c r="I367" s="1125"/>
      <c r="J367" s="1133"/>
      <c r="K367" s="1133"/>
      <c r="L367" s="916"/>
    </row>
    <row r="368" spans="1:12" s="103" customFormat="1" ht="15.75" hidden="1" customHeight="1" outlineLevel="1">
      <c r="A368" s="916"/>
      <c r="B368" s="1123"/>
      <c r="C368" s="1127"/>
      <c r="D368" s="1125"/>
      <c r="E368" s="1125"/>
      <c r="F368" s="1130"/>
      <c r="G368" s="95"/>
      <c r="H368" s="823"/>
      <c r="I368" s="1125"/>
      <c r="J368" s="1134"/>
      <c r="K368" s="1134"/>
      <c r="L368" s="916"/>
    </row>
    <row r="369" spans="1:12" s="103" customFormat="1" ht="15.75" hidden="1" customHeight="1" outlineLevel="1">
      <c r="A369" s="916"/>
      <c r="B369" s="1124"/>
      <c r="C369" s="1128"/>
      <c r="D369" s="1126"/>
      <c r="E369" s="1126"/>
      <c r="F369" s="1132"/>
      <c r="G369" s="100"/>
      <c r="H369" s="824"/>
      <c r="I369" s="1126"/>
      <c r="J369" s="1135"/>
      <c r="K369" s="1135"/>
      <c r="L369" s="916"/>
    </row>
    <row r="370" spans="1:12" s="103" customFormat="1" ht="15.75" hidden="1" customHeight="1" outlineLevel="1">
      <c r="A370" s="916"/>
      <c r="B370" s="1123">
        <v>120</v>
      </c>
      <c r="C370" s="1127"/>
      <c r="D370" s="1125"/>
      <c r="E370" s="1125" t="s">
        <v>18</v>
      </c>
      <c r="F370" s="1130" t="str">
        <f>VLOOKUP(E370,$N$13:$O$17,2,0)</f>
        <v>-</v>
      </c>
      <c r="G370" s="92"/>
      <c r="H370" s="823"/>
      <c r="I370" s="1125"/>
      <c r="J370" s="1133"/>
      <c r="K370" s="1133"/>
      <c r="L370" s="916"/>
    </row>
    <row r="371" spans="1:12" s="103" customFormat="1" ht="15.75" hidden="1" customHeight="1" outlineLevel="1">
      <c r="A371" s="916"/>
      <c r="B371" s="1123"/>
      <c r="C371" s="1127"/>
      <c r="D371" s="1125"/>
      <c r="E371" s="1125"/>
      <c r="F371" s="1130"/>
      <c r="G371" s="95"/>
      <c r="H371" s="823"/>
      <c r="I371" s="1125"/>
      <c r="J371" s="1134"/>
      <c r="K371" s="1134"/>
      <c r="L371" s="916"/>
    </row>
    <row r="372" spans="1:12" s="103" customFormat="1" ht="15.75" hidden="1" customHeight="1" outlineLevel="1">
      <c r="A372" s="916"/>
      <c r="B372" s="1124"/>
      <c r="C372" s="1128"/>
      <c r="D372" s="1126"/>
      <c r="E372" s="1126"/>
      <c r="F372" s="1132"/>
      <c r="G372" s="100"/>
      <c r="H372" s="824"/>
      <c r="I372" s="1126"/>
      <c r="J372" s="1135"/>
      <c r="K372" s="1135"/>
      <c r="L372" s="916"/>
    </row>
    <row r="373" spans="1:12" s="103" customFormat="1" ht="15.75" hidden="1" customHeight="1" outlineLevel="1">
      <c r="A373" s="916"/>
      <c r="B373" s="1123">
        <v>121</v>
      </c>
      <c r="C373" s="1127"/>
      <c r="D373" s="1125"/>
      <c r="E373" s="1125" t="s">
        <v>18</v>
      </c>
      <c r="F373" s="1130" t="str">
        <f>VLOOKUP(E373,$N$13:$O$17,2,0)</f>
        <v>-</v>
      </c>
      <c r="G373" s="92"/>
      <c r="H373" s="823"/>
      <c r="I373" s="1125"/>
      <c r="J373" s="1133"/>
      <c r="K373" s="1133"/>
      <c r="L373" s="916"/>
    </row>
    <row r="374" spans="1:12" s="103" customFormat="1" ht="15.75" hidden="1" customHeight="1" outlineLevel="1">
      <c r="A374" s="916"/>
      <c r="B374" s="1123"/>
      <c r="C374" s="1127"/>
      <c r="D374" s="1125"/>
      <c r="E374" s="1125"/>
      <c r="F374" s="1130"/>
      <c r="G374" s="95"/>
      <c r="H374" s="823"/>
      <c r="I374" s="1125"/>
      <c r="J374" s="1134"/>
      <c r="K374" s="1134"/>
      <c r="L374" s="916"/>
    </row>
    <row r="375" spans="1:12" s="103" customFormat="1" ht="15.75" hidden="1" customHeight="1" outlineLevel="1">
      <c r="A375" s="916"/>
      <c r="B375" s="1124"/>
      <c r="C375" s="1128"/>
      <c r="D375" s="1126"/>
      <c r="E375" s="1126"/>
      <c r="F375" s="1132"/>
      <c r="G375" s="100"/>
      <c r="H375" s="824"/>
      <c r="I375" s="1126"/>
      <c r="J375" s="1135"/>
      <c r="K375" s="1135"/>
      <c r="L375" s="916"/>
    </row>
    <row r="376" spans="1:12" s="103" customFormat="1" ht="15.75" hidden="1" customHeight="1" outlineLevel="1">
      <c r="A376" s="916"/>
      <c r="B376" s="1123">
        <v>122</v>
      </c>
      <c r="C376" s="1127"/>
      <c r="D376" s="1125"/>
      <c r="E376" s="1125" t="s">
        <v>18</v>
      </c>
      <c r="F376" s="1130" t="str">
        <f>VLOOKUP(E376,$N$13:$O$17,2,0)</f>
        <v>-</v>
      </c>
      <c r="G376" s="92"/>
      <c r="H376" s="823"/>
      <c r="I376" s="1125"/>
      <c r="J376" s="1133"/>
      <c r="K376" s="1133"/>
      <c r="L376" s="916"/>
    </row>
    <row r="377" spans="1:12" s="103" customFormat="1" ht="15.75" hidden="1" customHeight="1" outlineLevel="1">
      <c r="A377" s="916"/>
      <c r="B377" s="1123"/>
      <c r="C377" s="1127"/>
      <c r="D377" s="1125"/>
      <c r="E377" s="1125"/>
      <c r="F377" s="1130"/>
      <c r="G377" s="95"/>
      <c r="H377" s="823"/>
      <c r="I377" s="1125"/>
      <c r="J377" s="1134"/>
      <c r="K377" s="1134"/>
      <c r="L377" s="916"/>
    </row>
    <row r="378" spans="1:12" s="103" customFormat="1" ht="15.75" hidden="1" customHeight="1" outlineLevel="1">
      <c r="A378" s="916"/>
      <c r="B378" s="1124"/>
      <c r="C378" s="1128"/>
      <c r="D378" s="1126"/>
      <c r="E378" s="1126"/>
      <c r="F378" s="1132"/>
      <c r="G378" s="100"/>
      <c r="H378" s="824"/>
      <c r="I378" s="1126"/>
      <c r="J378" s="1135"/>
      <c r="K378" s="1135"/>
      <c r="L378" s="916"/>
    </row>
    <row r="379" spans="1:12" s="103" customFormat="1" ht="15.75" hidden="1" customHeight="1" outlineLevel="1">
      <c r="A379" s="916"/>
      <c r="B379" s="1123">
        <v>123</v>
      </c>
      <c r="C379" s="1127"/>
      <c r="D379" s="1125"/>
      <c r="E379" s="1125" t="s">
        <v>18</v>
      </c>
      <c r="F379" s="1130" t="str">
        <f>VLOOKUP(E379,$N$13:$O$17,2,0)</f>
        <v>-</v>
      </c>
      <c r="G379" s="92"/>
      <c r="H379" s="823"/>
      <c r="I379" s="1125"/>
      <c r="J379" s="1133"/>
      <c r="K379" s="1133"/>
      <c r="L379" s="916"/>
    </row>
    <row r="380" spans="1:12" s="103" customFormat="1" ht="15.75" hidden="1" customHeight="1" outlineLevel="1">
      <c r="A380" s="916"/>
      <c r="B380" s="1123"/>
      <c r="C380" s="1127"/>
      <c r="D380" s="1125"/>
      <c r="E380" s="1125"/>
      <c r="F380" s="1130"/>
      <c r="G380" s="95"/>
      <c r="H380" s="823"/>
      <c r="I380" s="1125"/>
      <c r="J380" s="1134"/>
      <c r="K380" s="1134"/>
      <c r="L380" s="916"/>
    </row>
    <row r="381" spans="1:12" s="103" customFormat="1" ht="15.75" hidden="1" customHeight="1" outlineLevel="1">
      <c r="A381" s="916"/>
      <c r="B381" s="1124"/>
      <c r="C381" s="1128"/>
      <c r="D381" s="1126"/>
      <c r="E381" s="1126"/>
      <c r="F381" s="1132"/>
      <c r="G381" s="100"/>
      <c r="H381" s="824"/>
      <c r="I381" s="1126"/>
      <c r="J381" s="1135"/>
      <c r="K381" s="1135"/>
      <c r="L381" s="916"/>
    </row>
    <row r="382" spans="1:12" s="103" customFormat="1" ht="15.75" hidden="1" customHeight="1" outlineLevel="1">
      <c r="A382" s="916"/>
      <c r="B382" s="1123">
        <v>124</v>
      </c>
      <c r="C382" s="1127"/>
      <c r="D382" s="1125"/>
      <c r="E382" s="1125" t="s">
        <v>18</v>
      </c>
      <c r="F382" s="1130" t="str">
        <f>VLOOKUP(E382,$N$13:$O$17,2,0)</f>
        <v>-</v>
      </c>
      <c r="G382" s="92"/>
      <c r="H382" s="823"/>
      <c r="I382" s="1125"/>
      <c r="J382" s="1133"/>
      <c r="K382" s="1133"/>
      <c r="L382" s="916"/>
    </row>
    <row r="383" spans="1:12" s="103" customFormat="1" ht="15.75" hidden="1" customHeight="1" outlineLevel="1">
      <c r="A383" s="916"/>
      <c r="B383" s="1123"/>
      <c r="C383" s="1127"/>
      <c r="D383" s="1125"/>
      <c r="E383" s="1125"/>
      <c r="F383" s="1130"/>
      <c r="G383" s="95"/>
      <c r="H383" s="823"/>
      <c r="I383" s="1125"/>
      <c r="J383" s="1134"/>
      <c r="K383" s="1134"/>
      <c r="L383" s="916"/>
    </row>
    <row r="384" spans="1:12" s="103" customFormat="1" ht="15.75" hidden="1" customHeight="1" outlineLevel="1">
      <c r="A384" s="916"/>
      <c r="B384" s="1124"/>
      <c r="C384" s="1128"/>
      <c r="D384" s="1126"/>
      <c r="E384" s="1126"/>
      <c r="F384" s="1132"/>
      <c r="G384" s="100"/>
      <c r="H384" s="824"/>
      <c r="I384" s="1126"/>
      <c r="J384" s="1135"/>
      <c r="K384" s="1135"/>
      <c r="L384" s="916"/>
    </row>
    <row r="385" spans="1:12" s="103" customFormat="1" ht="15.75" hidden="1" customHeight="1" outlineLevel="1">
      <c r="A385" s="916"/>
      <c r="B385" s="1123">
        <v>125</v>
      </c>
      <c r="C385" s="1127"/>
      <c r="D385" s="1125"/>
      <c r="E385" s="1125" t="s">
        <v>18</v>
      </c>
      <c r="F385" s="1130" t="str">
        <f>VLOOKUP(E385,$N$13:$O$17,2,0)</f>
        <v>-</v>
      </c>
      <c r="G385" s="92"/>
      <c r="H385" s="823"/>
      <c r="I385" s="1125"/>
      <c r="J385" s="1133"/>
      <c r="K385" s="1133"/>
      <c r="L385" s="916"/>
    </row>
    <row r="386" spans="1:12" s="103" customFormat="1" ht="15.75" hidden="1" customHeight="1" outlineLevel="1">
      <c r="A386" s="916"/>
      <c r="B386" s="1123"/>
      <c r="C386" s="1127"/>
      <c r="D386" s="1125"/>
      <c r="E386" s="1125"/>
      <c r="F386" s="1130"/>
      <c r="G386" s="95"/>
      <c r="H386" s="823"/>
      <c r="I386" s="1125"/>
      <c r="J386" s="1134"/>
      <c r="K386" s="1134"/>
      <c r="L386" s="916"/>
    </row>
    <row r="387" spans="1:12" s="103" customFormat="1" ht="15.75" hidden="1" customHeight="1" outlineLevel="1">
      <c r="A387" s="916"/>
      <c r="B387" s="1124"/>
      <c r="C387" s="1128"/>
      <c r="D387" s="1126"/>
      <c r="E387" s="1126"/>
      <c r="F387" s="1132"/>
      <c r="G387" s="100"/>
      <c r="H387" s="824"/>
      <c r="I387" s="1126"/>
      <c r="J387" s="1135"/>
      <c r="K387" s="1135"/>
      <c r="L387" s="916"/>
    </row>
    <row r="388" spans="1:12" s="103" customFormat="1" ht="15.75" hidden="1" customHeight="1" outlineLevel="1">
      <c r="A388" s="916"/>
      <c r="B388" s="1123">
        <v>126</v>
      </c>
      <c r="C388" s="1127"/>
      <c r="D388" s="1125"/>
      <c r="E388" s="1125" t="s">
        <v>18</v>
      </c>
      <c r="F388" s="1130" t="str">
        <f>VLOOKUP(E388,$N$13:$O$17,2,0)</f>
        <v>-</v>
      </c>
      <c r="G388" s="92"/>
      <c r="H388" s="823"/>
      <c r="I388" s="1125"/>
      <c r="J388" s="1133"/>
      <c r="K388" s="1133"/>
      <c r="L388" s="916"/>
    </row>
    <row r="389" spans="1:12" s="103" customFormat="1" ht="15.75" hidden="1" customHeight="1" outlineLevel="1">
      <c r="A389" s="916"/>
      <c r="B389" s="1123"/>
      <c r="C389" s="1127"/>
      <c r="D389" s="1125"/>
      <c r="E389" s="1125"/>
      <c r="F389" s="1130"/>
      <c r="G389" s="95"/>
      <c r="H389" s="823"/>
      <c r="I389" s="1125"/>
      <c r="J389" s="1134"/>
      <c r="K389" s="1134"/>
      <c r="L389" s="916"/>
    </row>
    <row r="390" spans="1:12" s="103" customFormat="1" ht="15.75" hidden="1" customHeight="1" outlineLevel="1">
      <c r="A390" s="916"/>
      <c r="B390" s="1124"/>
      <c r="C390" s="1128"/>
      <c r="D390" s="1126"/>
      <c r="E390" s="1126"/>
      <c r="F390" s="1132"/>
      <c r="G390" s="100"/>
      <c r="H390" s="824"/>
      <c r="I390" s="1126"/>
      <c r="J390" s="1135"/>
      <c r="K390" s="1135"/>
      <c r="L390" s="916"/>
    </row>
    <row r="391" spans="1:12" s="103" customFormat="1" ht="15.75" hidden="1" customHeight="1" outlineLevel="1">
      <c r="A391" s="916"/>
      <c r="B391" s="1123">
        <v>127</v>
      </c>
      <c r="C391" s="1127"/>
      <c r="D391" s="1125"/>
      <c r="E391" s="1125" t="s">
        <v>18</v>
      </c>
      <c r="F391" s="1130" t="str">
        <f>VLOOKUP(E391,$N$13:$O$17,2,0)</f>
        <v>-</v>
      </c>
      <c r="G391" s="92"/>
      <c r="H391" s="823"/>
      <c r="I391" s="1125"/>
      <c r="J391" s="1133"/>
      <c r="K391" s="1133"/>
      <c r="L391" s="916"/>
    </row>
    <row r="392" spans="1:12" s="103" customFormat="1" ht="15.75" hidden="1" customHeight="1" outlineLevel="1">
      <c r="A392" s="916"/>
      <c r="B392" s="1123"/>
      <c r="C392" s="1127"/>
      <c r="D392" s="1125"/>
      <c r="E392" s="1125"/>
      <c r="F392" s="1130"/>
      <c r="G392" s="95"/>
      <c r="H392" s="823"/>
      <c r="I392" s="1125"/>
      <c r="J392" s="1134"/>
      <c r="K392" s="1134"/>
      <c r="L392" s="916"/>
    </row>
    <row r="393" spans="1:12" s="103" customFormat="1" ht="15.75" hidden="1" customHeight="1" outlineLevel="1">
      <c r="A393" s="916"/>
      <c r="B393" s="1124"/>
      <c r="C393" s="1128"/>
      <c r="D393" s="1126"/>
      <c r="E393" s="1126"/>
      <c r="F393" s="1132"/>
      <c r="G393" s="100"/>
      <c r="H393" s="824"/>
      <c r="I393" s="1126"/>
      <c r="J393" s="1135"/>
      <c r="K393" s="1135"/>
      <c r="L393" s="916"/>
    </row>
    <row r="394" spans="1:12" s="103" customFormat="1" ht="15.75" hidden="1" customHeight="1" outlineLevel="1">
      <c r="A394" s="916"/>
      <c r="B394" s="1123">
        <v>128</v>
      </c>
      <c r="C394" s="1127"/>
      <c r="D394" s="1125"/>
      <c r="E394" s="1125" t="s">
        <v>18</v>
      </c>
      <c r="F394" s="1130" t="str">
        <f>VLOOKUP(E394,$N$13:$O$17,2,0)</f>
        <v>-</v>
      </c>
      <c r="G394" s="92"/>
      <c r="H394" s="823"/>
      <c r="I394" s="1125"/>
      <c r="J394" s="1133"/>
      <c r="K394" s="1133"/>
      <c r="L394" s="916"/>
    </row>
    <row r="395" spans="1:12" s="103" customFormat="1" ht="15.75" hidden="1" customHeight="1" outlineLevel="1">
      <c r="A395" s="916"/>
      <c r="B395" s="1123"/>
      <c r="C395" s="1127"/>
      <c r="D395" s="1125"/>
      <c r="E395" s="1125"/>
      <c r="F395" s="1130"/>
      <c r="G395" s="95"/>
      <c r="H395" s="823"/>
      <c r="I395" s="1125"/>
      <c r="J395" s="1134"/>
      <c r="K395" s="1134"/>
      <c r="L395" s="916"/>
    </row>
    <row r="396" spans="1:12" s="103" customFormat="1" ht="15.75" hidden="1" customHeight="1" outlineLevel="1">
      <c r="A396" s="916"/>
      <c r="B396" s="1124"/>
      <c r="C396" s="1128"/>
      <c r="D396" s="1126"/>
      <c r="E396" s="1126"/>
      <c r="F396" s="1132"/>
      <c r="G396" s="100"/>
      <c r="H396" s="824"/>
      <c r="I396" s="1126"/>
      <c r="J396" s="1135"/>
      <c r="K396" s="1135"/>
      <c r="L396" s="916"/>
    </row>
    <row r="397" spans="1:12" s="103" customFormat="1" ht="15.75" hidden="1" customHeight="1" outlineLevel="1">
      <c r="A397" s="916"/>
      <c r="B397" s="1123">
        <v>129</v>
      </c>
      <c r="C397" s="1127"/>
      <c r="D397" s="1125"/>
      <c r="E397" s="1125" t="s">
        <v>18</v>
      </c>
      <c r="F397" s="1130" t="str">
        <f>VLOOKUP(E397,$N$13:$O$17,2,0)</f>
        <v>-</v>
      </c>
      <c r="G397" s="92"/>
      <c r="H397" s="823"/>
      <c r="I397" s="1125"/>
      <c r="J397" s="1133"/>
      <c r="K397" s="1133"/>
      <c r="L397" s="916"/>
    </row>
    <row r="398" spans="1:12" s="103" customFormat="1" ht="15.75" hidden="1" customHeight="1" outlineLevel="1">
      <c r="A398" s="916"/>
      <c r="B398" s="1123"/>
      <c r="C398" s="1127"/>
      <c r="D398" s="1125"/>
      <c r="E398" s="1125"/>
      <c r="F398" s="1130"/>
      <c r="G398" s="95"/>
      <c r="H398" s="823"/>
      <c r="I398" s="1125"/>
      <c r="J398" s="1134"/>
      <c r="K398" s="1134"/>
      <c r="L398" s="916"/>
    </row>
    <row r="399" spans="1:12" s="103" customFormat="1" ht="15.75" hidden="1" customHeight="1" outlineLevel="1">
      <c r="A399" s="916"/>
      <c r="B399" s="1124"/>
      <c r="C399" s="1128"/>
      <c r="D399" s="1126"/>
      <c r="E399" s="1126"/>
      <c r="F399" s="1132"/>
      <c r="G399" s="100"/>
      <c r="H399" s="824"/>
      <c r="I399" s="1126"/>
      <c r="J399" s="1135"/>
      <c r="K399" s="1135"/>
      <c r="L399" s="916"/>
    </row>
    <row r="400" spans="1:12" s="103" customFormat="1" ht="15.75" hidden="1" customHeight="1" outlineLevel="1">
      <c r="A400" s="916"/>
      <c r="B400" s="1123">
        <v>130</v>
      </c>
      <c r="C400" s="1127"/>
      <c r="D400" s="1125"/>
      <c r="E400" s="1125" t="s">
        <v>18</v>
      </c>
      <c r="F400" s="1130" t="str">
        <f>VLOOKUP(E400,$N$13:$O$17,2,0)</f>
        <v>-</v>
      </c>
      <c r="G400" s="92"/>
      <c r="H400" s="823"/>
      <c r="I400" s="1125"/>
      <c r="J400" s="1133"/>
      <c r="K400" s="1133"/>
      <c r="L400" s="916"/>
    </row>
    <row r="401" spans="1:12" s="103" customFormat="1" ht="15.75" hidden="1" customHeight="1" outlineLevel="1">
      <c r="A401" s="916"/>
      <c r="B401" s="1123"/>
      <c r="C401" s="1127"/>
      <c r="D401" s="1125"/>
      <c r="E401" s="1125"/>
      <c r="F401" s="1130"/>
      <c r="G401" s="95"/>
      <c r="H401" s="823"/>
      <c r="I401" s="1125"/>
      <c r="J401" s="1134"/>
      <c r="K401" s="1134"/>
      <c r="L401" s="916"/>
    </row>
    <row r="402" spans="1:12" s="103" customFormat="1" ht="15.75" hidden="1" customHeight="1" outlineLevel="1">
      <c r="A402" s="916"/>
      <c r="B402" s="1124"/>
      <c r="C402" s="1128"/>
      <c r="D402" s="1126"/>
      <c r="E402" s="1126"/>
      <c r="F402" s="1132"/>
      <c r="G402" s="100"/>
      <c r="H402" s="824"/>
      <c r="I402" s="1126"/>
      <c r="J402" s="1135"/>
      <c r="K402" s="1135"/>
      <c r="L402" s="916"/>
    </row>
    <row r="403" spans="1:12" s="103" customFormat="1" ht="15.75" hidden="1" customHeight="1" outlineLevel="1">
      <c r="A403" s="916"/>
      <c r="B403" s="1123">
        <v>131</v>
      </c>
      <c r="C403" s="1127"/>
      <c r="D403" s="1125"/>
      <c r="E403" s="1125" t="s">
        <v>18</v>
      </c>
      <c r="F403" s="1130" t="str">
        <f>VLOOKUP(E403,$N$13:$O$17,2,0)</f>
        <v>-</v>
      </c>
      <c r="G403" s="92"/>
      <c r="H403" s="823"/>
      <c r="I403" s="1125"/>
      <c r="J403" s="1133"/>
      <c r="K403" s="1133"/>
      <c r="L403" s="916"/>
    </row>
    <row r="404" spans="1:12" s="103" customFormat="1" ht="15.75" hidden="1" customHeight="1" outlineLevel="1">
      <c r="A404" s="916"/>
      <c r="B404" s="1123"/>
      <c r="C404" s="1127"/>
      <c r="D404" s="1125"/>
      <c r="E404" s="1125"/>
      <c r="F404" s="1130"/>
      <c r="G404" s="95"/>
      <c r="H404" s="823"/>
      <c r="I404" s="1125"/>
      <c r="J404" s="1134"/>
      <c r="K404" s="1134"/>
      <c r="L404" s="916"/>
    </row>
    <row r="405" spans="1:12" s="103" customFormat="1" ht="15.75" hidden="1" customHeight="1" outlineLevel="1">
      <c r="A405" s="916"/>
      <c r="B405" s="1124"/>
      <c r="C405" s="1128"/>
      <c r="D405" s="1126"/>
      <c r="E405" s="1126"/>
      <c r="F405" s="1132"/>
      <c r="G405" s="100"/>
      <c r="H405" s="824"/>
      <c r="I405" s="1126"/>
      <c r="J405" s="1135"/>
      <c r="K405" s="1135"/>
      <c r="L405" s="916"/>
    </row>
    <row r="406" spans="1:12" s="103" customFormat="1" ht="15.75" hidden="1" customHeight="1" outlineLevel="1">
      <c r="A406" s="916"/>
      <c r="B406" s="1123">
        <v>132</v>
      </c>
      <c r="C406" s="1127"/>
      <c r="D406" s="1125"/>
      <c r="E406" s="1125" t="s">
        <v>18</v>
      </c>
      <c r="F406" s="1130" t="str">
        <f>VLOOKUP(E406,$N$13:$O$17,2,0)</f>
        <v>-</v>
      </c>
      <c r="G406" s="92"/>
      <c r="H406" s="823"/>
      <c r="I406" s="1125"/>
      <c r="J406" s="1133"/>
      <c r="K406" s="1133"/>
      <c r="L406" s="916"/>
    </row>
    <row r="407" spans="1:12" s="103" customFormat="1" ht="15.75" hidden="1" customHeight="1" outlineLevel="1">
      <c r="A407" s="916"/>
      <c r="B407" s="1123"/>
      <c r="C407" s="1127"/>
      <c r="D407" s="1125"/>
      <c r="E407" s="1125"/>
      <c r="F407" s="1130"/>
      <c r="G407" s="95"/>
      <c r="H407" s="823"/>
      <c r="I407" s="1125"/>
      <c r="J407" s="1134"/>
      <c r="K407" s="1134"/>
      <c r="L407" s="916"/>
    </row>
    <row r="408" spans="1:12" s="103" customFormat="1" ht="15.75" hidden="1" customHeight="1" outlineLevel="1">
      <c r="A408" s="916"/>
      <c r="B408" s="1124"/>
      <c r="C408" s="1128"/>
      <c r="D408" s="1126"/>
      <c r="E408" s="1126"/>
      <c r="F408" s="1132"/>
      <c r="G408" s="100"/>
      <c r="H408" s="824"/>
      <c r="I408" s="1126"/>
      <c r="J408" s="1135"/>
      <c r="K408" s="1135"/>
      <c r="L408" s="916"/>
    </row>
    <row r="409" spans="1:12" s="103" customFormat="1" ht="15.75" hidden="1" customHeight="1" outlineLevel="1">
      <c r="A409" s="916"/>
      <c r="B409" s="1123">
        <v>133</v>
      </c>
      <c r="C409" s="1127"/>
      <c r="D409" s="1125"/>
      <c r="E409" s="1125" t="s">
        <v>18</v>
      </c>
      <c r="F409" s="1130" t="str">
        <f>VLOOKUP(E409,$N$13:$O$17,2,0)</f>
        <v>-</v>
      </c>
      <c r="G409" s="92"/>
      <c r="H409" s="823"/>
      <c r="I409" s="1125"/>
      <c r="J409" s="1133"/>
      <c r="K409" s="1133"/>
      <c r="L409" s="916"/>
    </row>
    <row r="410" spans="1:12" s="103" customFormat="1" ht="15.75" hidden="1" customHeight="1" outlineLevel="1">
      <c r="A410" s="916"/>
      <c r="B410" s="1123"/>
      <c r="C410" s="1127"/>
      <c r="D410" s="1125"/>
      <c r="E410" s="1125"/>
      <c r="F410" s="1130"/>
      <c r="G410" s="95"/>
      <c r="H410" s="823"/>
      <c r="I410" s="1125"/>
      <c r="J410" s="1134"/>
      <c r="K410" s="1134"/>
      <c r="L410" s="916"/>
    </row>
    <row r="411" spans="1:12" s="103" customFormat="1" ht="15.75" hidden="1" customHeight="1" outlineLevel="1">
      <c r="A411" s="916"/>
      <c r="B411" s="1124"/>
      <c r="C411" s="1128"/>
      <c r="D411" s="1126"/>
      <c r="E411" s="1126"/>
      <c r="F411" s="1132"/>
      <c r="G411" s="100"/>
      <c r="H411" s="824"/>
      <c r="I411" s="1126"/>
      <c r="J411" s="1135"/>
      <c r="K411" s="1135"/>
      <c r="L411" s="916"/>
    </row>
    <row r="412" spans="1:12" s="103" customFormat="1" ht="15.75" hidden="1" customHeight="1" outlineLevel="1">
      <c r="A412" s="916"/>
      <c r="B412" s="1123">
        <v>134</v>
      </c>
      <c r="C412" s="1127"/>
      <c r="D412" s="1125"/>
      <c r="E412" s="1125" t="s">
        <v>18</v>
      </c>
      <c r="F412" s="1130" t="str">
        <f>VLOOKUP(E412,$N$13:$O$17,2,0)</f>
        <v>-</v>
      </c>
      <c r="G412" s="92"/>
      <c r="H412" s="823"/>
      <c r="I412" s="1125"/>
      <c r="J412" s="1133"/>
      <c r="K412" s="1133"/>
      <c r="L412" s="916"/>
    </row>
    <row r="413" spans="1:12" s="103" customFormat="1" ht="15.75" hidden="1" customHeight="1" outlineLevel="1">
      <c r="A413" s="916"/>
      <c r="B413" s="1123"/>
      <c r="C413" s="1127"/>
      <c r="D413" s="1125"/>
      <c r="E413" s="1125"/>
      <c r="F413" s="1130"/>
      <c r="G413" s="95"/>
      <c r="H413" s="823"/>
      <c r="I413" s="1125"/>
      <c r="J413" s="1134"/>
      <c r="K413" s="1134"/>
      <c r="L413" s="916"/>
    </row>
    <row r="414" spans="1:12" s="103" customFormat="1" ht="15.75" hidden="1" customHeight="1" outlineLevel="1">
      <c r="A414" s="916"/>
      <c r="B414" s="1124"/>
      <c r="C414" s="1128"/>
      <c r="D414" s="1126"/>
      <c r="E414" s="1126"/>
      <c r="F414" s="1132"/>
      <c r="G414" s="100"/>
      <c r="H414" s="824"/>
      <c r="I414" s="1126"/>
      <c r="J414" s="1135"/>
      <c r="K414" s="1135"/>
      <c r="L414" s="916"/>
    </row>
    <row r="415" spans="1:12" s="103" customFormat="1" ht="15.75" hidden="1" customHeight="1" outlineLevel="1">
      <c r="A415" s="916"/>
      <c r="B415" s="1123">
        <v>135</v>
      </c>
      <c r="C415" s="1127"/>
      <c r="D415" s="1125"/>
      <c r="E415" s="1125" t="s">
        <v>18</v>
      </c>
      <c r="F415" s="1130" t="str">
        <f>VLOOKUP(E415,$N$13:$O$17,2,0)</f>
        <v>-</v>
      </c>
      <c r="G415" s="92"/>
      <c r="H415" s="823"/>
      <c r="I415" s="1125"/>
      <c r="J415" s="1133"/>
      <c r="K415" s="1133"/>
      <c r="L415" s="916"/>
    </row>
    <row r="416" spans="1:12" s="103" customFormat="1" ht="15.75" hidden="1" customHeight="1" outlineLevel="1">
      <c r="A416" s="916"/>
      <c r="B416" s="1123"/>
      <c r="C416" s="1127"/>
      <c r="D416" s="1125"/>
      <c r="E416" s="1125"/>
      <c r="F416" s="1130"/>
      <c r="G416" s="95"/>
      <c r="H416" s="823"/>
      <c r="I416" s="1125"/>
      <c r="J416" s="1134"/>
      <c r="K416" s="1134"/>
      <c r="L416" s="916"/>
    </row>
    <row r="417" spans="1:12" s="103" customFormat="1" ht="15.75" hidden="1" customHeight="1" outlineLevel="1">
      <c r="A417" s="916"/>
      <c r="B417" s="1124"/>
      <c r="C417" s="1128"/>
      <c r="D417" s="1126"/>
      <c r="E417" s="1126"/>
      <c r="F417" s="1132"/>
      <c r="G417" s="100"/>
      <c r="H417" s="824"/>
      <c r="I417" s="1126"/>
      <c r="J417" s="1135"/>
      <c r="K417" s="1135"/>
      <c r="L417" s="916"/>
    </row>
    <row r="418" spans="1:12" s="103" customFormat="1" ht="15.75" hidden="1" customHeight="1" outlineLevel="1">
      <c r="A418" s="916"/>
      <c r="B418" s="1123">
        <v>136</v>
      </c>
      <c r="C418" s="1127"/>
      <c r="D418" s="1125"/>
      <c r="E418" s="1125" t="s">
        <v>18</v>
      </c>
      <c r="F418" s="1130" t="str">
        <f>VLOOKUP(E418,$N$13:$O$17,2,0)</f>
        <v>-</v>
      </c>
      <c r="G418" s="92"/>
      <c r="H418" s="823"/>
      <c r="I418" s="1125"/>
      <c r="J418" s="1133"/>
      <c r="K418" s="1133"/>
      <c r="L418" s="916"/>
    </row>
    <row r="419" spans="1:12" s="103" customFormat="1" ht="15.75" hidden="1" customHeight="1" outlineLevel="1">
      <c r="A419" s="916"/>
      <c r="B419" s="1123"/>
      <c r="C419" s="1127"/>
      <c r="D419" s="1125"/>
      <c r="E419" s="1125"/>
      <c r="F419" s="1130"/>
      <c r="G419" s="95"/>
      <c r="H419" s="823"/>
      <c r="I419" s="1125"/>
      <c r="J419" s="1134"/>
      <c r="K419" s="1134"/>
      <c r="L419" s="916"/>
    </row>
    <row r="420" spans="1:12" s="103" customFormat="1" ht="15.75" hidden="1" customHeight="1" outlineLevel="1">
      <c r="A420" s="916"/>
      <c r="B420" s="1124"/>
      <c r="C420" s="1128"/>
      <c r="D420" s="1126"/>
      <c r="E420" s="1126"/>
      <c r="F420" s="1132"/>
      <c r="G420" s="100"/>
      <c r="H420" s="824"/>
      <c r="I420" s="1126"/>
      <c r="J420" s="1135"/>
      <c r="K420" s="1135"/>
      <c r="L420" s="916"/>
    </row>
    <row r="421" spans="1:12" s="103" customFormat="1" ht="15.75" hidden="1" customHeight="1" outlineLevel="1">
      <c r="A421" s="916"/>
      <c r="B421" s="1123">
        <v>137</v>
      </c>
      <c r="C421" s="1127"/>
      <c r="D421" s="1125"/>
      <c r="E421" s="1125" t="s">
        <v>18</v>
      </c>
      <c r="F421" s="1130" t="str">
        <f>VLOOKUP(E421,$N$13:$O$17,2,0)</f>
        <v>-</v>
      </c>
      <c r="G421" s="92"/>
      <c r="H421" s="823"/>
      <c r="I421" s="1125"/>
      <c r="J421" s="1133"/>
      <c r="K421" s="1133"/>
      <c r="L421" s="916"/>
    </row>
    <row r="422" spans="1:12" s="103" customFormat="1" ht="15.75" hidden="1" customHeight="1" outlineLevel="1">
      <c r="A422" s="916"/>
      <c r="B422" s="1123"/>
      <c r="C422" s="1127"/>
      <c r="D422" s="1125"/>
      <c r="E422" s="1125"/>
      <c r="F422" s="1130"/>
      <c r="G422" s="95"/>
      <c r="H422" s="823"/>
      <c r="I422" s="1125"/>
      <c r="J422" s="1134"/>
      <c r="K422" s="1134"/>
      <c r="L422" s="916"/>
    </row>
    <row r="423" spans="1:12" s="103" customFormat="1" ht="15.75" hidden="1" customHeight="1" outlineLevel="1">
      <c r="A423" s="916"/>
      <c r="B423" s="1124"/>
      <c r="C423" s="1128"/>
      <c r="D423" s="1126"/>
      <c r="E423" s="1126"/>
      <c r="F423" s="1132"/>
      <c r="G423" s="100"/>
      <c r="H423" s="824"/>
      <c r="I423" s="1126"/>
      <c r="J423" s="1135"/>
      <c r="K423" s="1135"/>
      <c r="L423" s="916"/>
    </row>
    <row r="424" spans="1:12" s="103" customFormat="1" ht="15.75" hidden="1" customHeight="1" outlineLevel="1">
      <c r="A424" s="916"/>
      <c r="B424" s="1123">
        <v>138</v>
      </c>
      <c r="C424" s="1127"/>
      <c r="D424" s="1125"/>
      <c r="E424" s="1125" t="s">
        <v>18</v>
      </c>
      <c r="F424" s="1130" t="str">
        <f>VLOOKUP(E424,$N$13:$O$17,2,0)</f>
        <v>-</v>
      </c>
      <c r="G424" s="92"/>
      <c r="H424" s="823"/>
      <c r="I424" s="1125"/>
      <c r="J424" s="1133"/>
      <c r="K424" s="1133"/>
      <c r="L424" s="916"/>
    </row>
    <row r="425" spans="1:12" s="103" customFormat="1" ht="15.75" hidden="1" customHeight="1" outlineLevel="1">
      <c r="A425" s="916"/>
      <c r="B425" s="1123"/>
      <c r="C425" s="1127"/>
      <c r="D425" s="1125"/>
      <c r="E425" s="1125"/>
      <c r="F425" s="1130"/>
      <c r="G425" s="95"/>
      <c r="H425" s="823"/>
      <c r="I425" s="1125"/>
      <c r="J425" s="1134"/>
      <c r="K425" s="1134"/>
      <c r="L425" s="916"/>
    </row>
    <row r="426" spans="1:12" s="103" customFormat="1" ht="15.75" hidden="1" customHeight="1" outlineLevel="1">
      <c r="A426" s="916"/>
      <c r="B426" s="1124"/>
      <c r="C426" s="1128"/>
      <c r="D426" s="1126"/>
      <c r="E426" s="1126"/>
      <c r="F426" s="1132"/>
      <c r="G426" s="100"/>
      <c r="H426" s="824"/>
      <c r="I426" s="1126"/>
      <c r="J426" s="1135"/>
      <c r="K426" s="1135"/>
      <c r="L426" s="916"/>
    </row>
    <row r="427" spans="1:12" s="103" customFormat="1" ht="15.75" hidden="1" customHeight="1" outlineLevel="1">
      <c r="A427" s="916"/>
      <c r="B427" s="1123">
        <v>139</v>
      </c>
      <c r="C427" s="1127"/>
      <c r="D427" s="1125"/>
      <c r="E427" s="1125" t="s">
        <v>18</v>
      </c>
      <c r="F427" s="1130" t="str">
        <f>VLOOKUP(E427,$N$13:$O$17,2,0)</f>
        <v>-</v>
      </c>
      <c r="G427" s="92"/>
      <c r="H427" s="823"/>
      <c r="I427" s="1125"/>
      <c r="J427" s="1133"/>
      <c r="K427" s="1133"/>
      <c r="L427" s="916"/>
    </row>
    <row r="428" spans="1:12" s="103" customFormat="1" ht="15.75" hidden="1" customHeight="1" outlineLevel="1">
      <c r="A428" s="916"/>
      <c r="B428" s="1123"/>
      <c r="C428" s="1127"/>
      <c r="D428" s="1125"/>
      <c r="E428" s="1125"/>
      <c r="F428" s="1130"/>
      <c r="G428" s="95"/>
      <c r="H428" s="823"/>
      <c r="I428" s="1125"/>
      <c r="J428" s="1134"/>
      <c r="K428" s="1134"/>
      <c r="L428" s="916"/>
    </row>
    <row r="429" spans="1:12" s="103" customFormat="1" ht="15.75" hidden="1" customHeight="1" outlineLevel="1">
      <c r="A429" s="916"/>
      <c r="B429" s="1124"/>
      <c r="C429" s="1128"/>
      <c r="D429" s="1126"/>
      <c r="E429" s="1126"/>
      <c r="F429" s="1132"/>
      <c r="G429" s="100"/>
      <c r="H429" s="824"/>
      <c r="I429" s="1126"/>
      <c r="J429" s="1135"/>
      <c r="K429" s="1135"/>
      <c r="L429" s="916"/>
    </row>
    <row r="430" spans="1:12" s="103" customFormat="1" ht="15.75" hidden="1" customHeight="1" outlineLevel="1">
      <c r="A430" s="916"/>
      <c r="B430" s="1123">
        <v>140</v>
      </c>
      <c r="C430" s="1127"/>
      <c r="D430" s="1125"/>
      <c r="E430" s="1125" t="s">
        <v>18</v>
      </c>
      <c r="F430" s="1130" t="str">
        <f>VLOOKUP(E430,$N$13:$O$17,2,0)</f>
        <v>-</v>
      </c>
      <c r="G430" s="92"/>
      <c r="H430" s="823"/>
      <c r="I430" s="1125"/>
      <c r="J430" s="1133"/>
      <c r="K430" s="1133"/>
      <c r="L430" s="916"/>
    </row>
    <row r="431" spans="1:12" s="103" customFormat="1" ht="15.75" hidden="1" customHeight="1" outlineLevel="1">
      <c r="A431" s="916"/>
      <c r="B431" s="1123"/>
      <c r="C431" s="1127"/>
      <c r="D431" s="1125"/>
      <c r="E431" s="1125"/>
      <c r="F431" s="1130"/>
      <c r="G431" s="95"/>
      <c r="H431" s="823"/>
      <c r="I431" s="1125"/>
      <c r="J431" s="1134"/>
      <c r="K431" s="1134"/>
      <c r="L431" s="916"/>
    </row>
    <row r="432" spans="1:12" s="103" customFormat="1" ht="15.75" hidden="1" customHeight="1" outlineLevel="1">
      <c r="A432" s="916"/>
      <c r="B432" s="1124"/>
      <c r="C432" s="1128"/>
      <c r="D432" s="1126"/>
      <c r="E432" s="1126"/>
      <c r="F432" s="1132"/>
      <c r="G432" s="100"/>
      <c r="H432" s="824"/>
      <c r="I432" s="1126"/>
      <c r="J432" s="1135"/>
      <c r="K432" s="1135"/>
      <c r="L432" s="916"/>
    </row>
    <row r="433" spans="1:12" s="103" customFormat="1" ht="15.75" hidden="1" customHeight="1" outlineLevel="1">
      <c r="A433" s="916"/>
      <c r="B433" s="1123">
        <v>141</v>
      </c>
      <c r="C433" s="1127"/>
      <c r="D433" s="1125"/>
      <c r="E433" s="1125" t="s">
        <v>18</v>
      </c>
      <c r="F433" s="1130" t="str">
        <f>VLOOKUP(E433,$N$13:$O$17,2,0)</f>
        <v>-</v>
      </c>
      <c r="G433" s="92"/>
      <c r="H433" s="823"/>
      <c r="I433" s="1125"/>
      <c r="J433" s="1133"/>
      <c r="K433" s="1133"/>
      <c r="L433" s="916"/>
    </row>
    <row r="434" spans="1:12" s="103" customFormat="1" ht="15.75" hidden="1" customHeight="1" outlineLevel="1">
      <c r="A434" s="916"/>
      <c r="B434" s="1123"/>
      <c r="C434" s="1127"/>
      <c r="D434" s="1125"/>
      <c r="E434" s="1125"/>
      <c r="F434" s="1130"/>
      <c r="G434" s="95"/>
      <c r="H434" s="823"/>
      <c r="I434" s="1125"/>
      <c r="J434" s="1134"/>
      <c r="K434" s="1134"/>
      <c r="L434" s="916"/>
    </row>
    <row r="435" spans="1:12" s="103" customFormat="1" ht="15.75" hidden="1" customHeight="1" outlineLevel="1">
      <c r="A435" s="916"/>
      <c r="B435" s="1124"/>
      <c r="C435" s="1128"/>
      <c r="D435" s="1126"/>
      <c r="E435" s="1126"/>
      <c r="F435" s="1132"/>
      <c r="G435" s="100"/>
      <c r="H435" s="824"/>
      <c r="I435" s="1126"/>
      <c r="J435" s="1135"/>
      <c r="K435" s="1135"/>
      <c r="L435" s="916"/>
    </row>
    <row r="436" spans="1:12" s="103" customFormat="1" ht="15.75" hidden="1" customHeight="1" outlineLevel="1">
      <c r="A436" s="916"/>
      <c r="B436" s="1123">
        <v>142</v>
      </c>
      <c r="C436" s="1127"/>
      <c r="D436" s="1125"/>
      <c r="E436" s="1125" t="s">
        <v>18</v>
      </c>
      <c r="F436" s="1130" t="str">
        <f>VLOOKUP(E436,$N$13:$O$17,2,0)</f>
        <v>-</v>
      </c>
      <c r="G436" s="92"/>
      <c r="H436" s="823"/>
      <c r="I436" s="1125"/>
      <c r="J436" s="1133"/>
      <c r="K436" s="1133"/>
      <c r="L436" s="916"/>
    </row>
    <row r="437" spans="1:12" s="103" customFormat="1" ht="15.75" hidden="1" customHeight="1" outlineLevel="1">
      <c r="A437" s="916"/>
      <c r="B437" s="1123"/>
      <c r="C437" s="1127"/>
      <c r="D437" s="1125"/>
      <c r="E437" s="1125"/>
      <c r="F437" s="1130"/>
      <c r="G437" s="95"/>
      <c r="H437" s="823"/>
      <c r="I437" s="1125"/>
      <c r="J437" s="1134"/>
      <c r="K437" s="1134"/>
      <c r="L437" s="916"/>
    </row>
    <row r="438" spans="1:12" s="103" customFormat="1" ht="15.75" hidden="1" customHeight="1" outlineLevel="1">
      <c r="A438" s="916"/>
      <c r="B438" s="1124"/>
      <c r="C438" s="1128"/>
      <c r="D438" s="1126"/>
      <c r="E438" s="1126"/>
      <c r="F438" s="1132"/>
      <c r="G438" s="100"/>
      <c r="H438" s="824"/>
      <c r="I438" s="1126"/>
      <c r="J438" s="1135"/>
      <c r="K438" s="1135"/>
      <c r="L438" s="916"/>
    </row>
    <row r="439" spans="1:12" s="103" customFormat="1" ht="15.75" hidden="1" customHeight="1" outlineLevel="1">
      <c r="A439" s="916"/>
      <c r="B439" s="1123">
        <v>143</v>
      </c>
      <c r="C439" s="1127"/>
      <c r="D439" s="1125"/>
      <c r="E439" s="1125" t="s">
        <v>18</v>
      </c>
      <c r="F439" s="1130" t="str">
        <f>VLOOKUP(E439,$N$13:$O$17,2,0)</f>
        <v>-</v>
      </c>
      <c r="G439" s="92"/>
      <c r="H439" s="823"/>
      <c r="I439" s="1125"/>
      <c r="J439" s="1133"/>
      <c r="K439" s="1133"/>
      <c r="L439" s="916"/>
    </row>
    <row r="440" spans="1:12" s="103" customFormat="1" ht="15.75" hidden="1" customHeight="1" outlineLevel="1">
      <c r="A440" s="916"/>
      <c r="B440" s="1123"/>
      <c r="C440" s="1127"/>
      <c r="D440" s="1125"/>
      <c r="E440" s="1125"/>
      <c r="F440" s="1130"/>
      <c r="G440" s="95"/>
      <c r="H440" s="823"/>
      <c r="I440" s="1125"/>
      <c r="J440" s="1134"/>
      <c r="K440" s="1134"/>
      <c r="L440" s="916"/>
    </row>
    <row r="441" spans="1:12" s="103" customFormat="1" ht="15.75" hidden="1" customHeight="1" outlineLevel="1">
      <c r="A441" s="916"/>
      <c r="B441" s="1124"/>
      <c r="C441" s="1128"/>
      <c r="D441" s="1126"/>
      <c r="E441" s="1126"/>
      <c r="F441" s="1132"/>
      <c r="G441" s="100"/>
      <c r="H441" s="824"/>
      <c r="I441" s="1126"/>
      <c r="J441" s="1135"/>
      <c r="K441" s="1135"/>
      <c r="L441" s="916"/>
    </row>
    <row r="442" spans="1:12" s="103" customFormat="1" ht="15.75" hidden="1" customHeight="1" outlineLevel="1">
      <c r="A442" s="916"/>
      <c r="B442" s="1123">
        <v>144</v>
      </c>
      <c r="C442" s="1127"/>
      <c r="D442" s="1125"/>
      <c r="E442" s="1125" t="s">
        <v>18</v>
      </c>
      <c r="F442" s="1130" t="str">
        <f>VLOOKUP(E442,$N$13:$O$17,2,0)</f>
        <v>-</v>
      </c>
      <c r="G442" s="92"/>
      <c r="H442" s="823"/>
      <c r="I442" s="1125"/>
      <c r="J442" s="1133"/>
      <c r="K442" s="1133"/>
      <c r="L442" s="916"/>
    </row>
    <row r="443" spans="1:12" s="103" customFormat="1" ht="15.75" hidden="1" customHeight="1" outlineLevel="1">
      <c r="A443" s="916"/>
      <c r="B443" s="1123"/>
      <c r="C443" s="1127"/>
      <c r="D443" s="1125"/>
      <c r="E443" s="1125"/>
      <c r="F443" s="1130"/>
      <c r="G443" s="95"/>
      <c r="H443" s="823"/>
      <c r="I443" s="1125"/>
      <c r="J443" s="1134"/>
      <c r="K443" s="1134"/>
      <c r="L443" s="916"/>
    </row>
    <row r="444" spans="1:12" s="103" customFormat="1" ht="15.75" hidden="1" customHeight="1" outlineLevel="1">
      <c r="A444" s="916"/>
      <c r="B444" s="1124"/>
      <c r="C444" s="1128"/>
      <c r="D444" s="1126"/>
      <c r="E444" s="1126"/>
      <c r="F444" s="1132"/>
      <c r="G444" s="100"/>
      <c r="H444" s="824"/>
      <c r="I444" s="1126"/>
      <c r="J444" s="1135"/>
      <c r="K444" s="1135"/>
      <c r="L444" s="916"/>
    </row>
    <row r="445" spans="1:12" s="103" customFormat="1" ht="15.75" hidden="1" customHeight="1" outlineLevel="1">
      <c r="A445" s="916"/>
      <c r="B445" s="1123">
        <v>145</v>
      </c>
      <c r="C445" s="1127"/>
      <c r="D445" s="1125"/>
      <c r="E445" s="1125" t="s">
        <v>18</v>
      </c>
      <c r="F445" s="1130" t="str">
        <f>VLOOKUP(E445,$N$13:$O$17,2,0)</f>
        <v>-</v>
      </c>
      <c r="G445" s="92"/>
      <c r="H445" s="823"/>
      <c r="I445" s="1125"/>
      <c r="J445" s="1133"/>
      <c r="K445" s="1133"/>
      <c r="L445" s="916"/>
    </row>
    <row r="446" spans="1:12" s="103" customFormat="1" ht="15.75" hidden="1" customHeight="1" outlineLevel="1">
      <c r="A446" s="916"/>
      <c r="B446" s="1123"/>
      <c r="C446" s="1127"/>
      <c r="D446" s="1125"/>
      <c r="E446" s="1125"/>
      <c r="F446" s="1130"/>
      <c r="G446" s="95"/>
      <c r="H446" s="823"/>
      <c r="I446" s="1125"/>
      <c r="J446" s="1134"/>
      <c r="K446" s="1134"/>
      <c r="L446" s="916"/>
    </row>
    <row r="447" spans="1:12" s="103" customFormat="1" ht="15.75" hidden="1" customHeight="1" outlineLevel="1">
      <c r="A447" s="916"/>
      <c r="B447" s="1124"/>
      <c r="C447" s="1128"/>
      <c r="D447" s="1126"/>
      <c r="E447" s="1126"/>
      <c r="F447" s="1132"/>
      <c r="G447" s="100"/>
      <c r="H447" s="824"/>
      <c r="I447" s="1126"/>
      <c r="J447" s="1135"/>
      <c r="K447" s="1135"/>
      <c r="L447" s="916"/>
    </row>
    <row r="448" spans="1:12" s="103" customFormat="1" ht="15.75" hidden="1" customHeight="1" outlineLevel="1">
      <c r="A448" s="916"/>
      <c r="B448" s="1123">
        <v>146</v>
      </c>
      <c r="C448" s="1127"/>
      <c r="D448" s="1125"/>
      <c r="E448" s="1125" t="s">
        <v>18</v>
      </c>
      <c r="F448" s="1130" t="str">
        <f>VLOOKUP(E448,$N$13:$O$17,2,0)</f>
        <v>-</v>
      </c>
      <c r="G448" s="92"/>
      <c r="H448" s="823"/>
      <c r="I448" s="1125"/>
      <c r="J448" s="1133"/>
      <c r="K448" s="1133"/>
      <c r="L448" s="916"/>
    </row>
    <row r="449" spans="1:12" s="103" customFormat="1" ht="15.75" hidden="1" customHeight="1" outlineLevel="1">
      <c r="A449" s="916"/>
      <c r="B449" s="1123"/>
      <c r="C449" s="1127"/>
      <c r="D449" s="1125"/>
      <c r="E449" s="1125"/>
      <c r="F449" s="1130"/>
      <c r="G449" s="95"/>
      <c r="H449" s="823"/>
      <c r="I449" s="1125"/>
      <c r="J449" s="1134"/>
      <c r="K449" s="1134"/>
      <c r="L449" s="916"/>
    </row>
    <row r="450" spans="1:12" s="103" customFormat="1" ht="15.75" hidden="1" customHeight="1" outlineLevel="1">
      <c r="A450" s="916"/>
      <c r="B450" s="1124"/>
      <c r="C450" s="1128"/>
      <c r="D450" s="1126"/>
      <c r="E450" s="1126"/>
      <c r="F450" s="1132"/>
      <c r="G450" s="100"/>
      <c r="H450" s="824"/>
      <c r="I450" s="1126"/>
      <c r="J450" s="1135"/>
      <c r="K450" s="1135"/>
      <c r="L450" s="916"/>
    </row>
    <row r="451" spans="1:12" s="103" customFormat="1" ht="15.75" hidden="1" customHeight="1" outlineLevel="1">
      <c r="A451" s="916"/>
      <c r="B451" s="1123">
        <v>147</v>
      </c>
      <c r="C451" s="1127"/>
      <c r="D451" s="1125"/>
      <c r="E451" s="1125" t="s">
        <v>18</v>
      </c>
      <c r="F451" s="1130" t="str">
        <f>VLOOKUP(E451,$N$13:$O$17,2,0)</f>
        <v>-</v>
      </c>
      <c r="G451" s="92"/>
      <c r="H451" s="823"/>
      <c r="I451" s="1125"/>
      <c r="J451" s="1133"/>
      <c r="K451" s="1133"/>
      <c r="L451" s="916"/>
    </row>
    <row r="452" spans="1:12" s="103" customFormat="1" ht="15.75" hidden="1" customHeight="1" outlineLevel="1">
      <c r="A452" s="916"/>
      <c r="B452" s="1123"/>
      <c r="C452" s="1127"/>
      <c r="D452" s="1125"/>
      <c r="E452" s="1125"/>
      <c r="F452" s="1130"/>
      <c r="G452" s="95"/>
      <c r="H452" s="823"/>
      <c r="I452" s="1125"/>
      <c r="J452" s="1134"/>
      <c r="K452" s="1134"/>
      <c r="L452" s="916"/>
    </row>
    <row r="453" spans="1:12" s="103" customFormat="1" ht="15.75" hidden="1" customHeight="1" outlineLevel="1">
      <c r="A453" s="916"/>
      <c r="B453" s="1124"/>
      <c r="C453" s="1128"/>
      <c r="D453" s="1126"/>
      <c r="E453" s="1126"/>
      <c r="F453" s="1132"/>
      <c r="G453" s="100"/>
      <c r="H453" s="824"/>
      <c r="I453" s="1126"/>
      <c r="J453" s="1135"/>
      <c r="K453" s="1135"/>
      <c r="L453" s="916"/>
    </row>
    <row r="454" spans="1:12" s="103" customFormat="1" ht="15.75" hidden="1" customHeight="1" outlineLevel="1">
      <c r="A454" s="916"/>
      <c r="B454" s="1123">
        <v>148</v>
      </c>
      <c r="C454" s="1127"/>
      <c r="D454" s="1125"/>
      <c r="E454" s="1125" t="s">
        <v>18</v>
      </c>
      <c r="F454" s="1130" t="str">
        <f>VLOOKUP(E454,$N$13:$O$17,2,0)</f>
        <v>-</v>
      </c>
      <c r="G454" s="92"/>
      <c r="H454" s="823"/>
      <c r="I454" s="1125"/>
      <c r="J454" s="1133"/>
      <c r="K454" s="1133"/>
      <c r="L454" s="916"/>
    </row>
    <row r="455" spans="1:12" s="103" customFormat="1" ht="15.75" hidden="1" customHeight="1" outlineLevel="1">
      <c r="A455" s="916"/>
      <c r="B455" s="1123"/>
      <c r="C455" s="1127"/>
      <c r="D455" s="1125"/>
      <c r="E455" s="1125"/>
      <c r="F455" s="1130"/>
      <c r="G455" s="95"/>
      <c r="H455" s="823"/>
      <c r="I455" s="1125"/>
      <c r="J455" s="1134"/>
      <c r="K455" s="1134"/>
      <c r="L455" s="916"/>
    </row>
    <row r="456" spans="1:12" s="103" customFormat="1" ht="15.75" hidden="1" customHeight="1" outlineLevel="1">
      <c r="A456" s="916"/>
      <c r="B456" s="1124"/>
      <c r="C456" s="1128"/>
      <c r="D456" s="1126"/>
      <c r="E456" s="1126"/>
      <c r="F456" s="1132"/>
      <c r="G456" s="100"/>
      <c r="H456" s="824"/>
      <c r="I456" s="1126"/>
      <c r="J456" s="1135"/>
      <c r="K456" s="1135"/>
      <c r="L456" s="916"/>
    </row>
    <row r="457" spans="1:12" s="103" customFormat="1" ht="15.75" hidden="1" customHeight="1" outlineLevel="1">
      <c r="A457" s="916"/>
      <c r="B457" s="1123">
        <v>149</v>
      </c>
      <c r="C457" s="1127"/>
      <c r="D457" s="1125"/>
      <c r="E457" s="1125" t="s">
        <v>18</v>
      </c>
      <c r="F457" s="1130" t="str">
        <f>VLOOKUP(E457,$N$13:$O$17,2,0)</f>
        <v>-</v>
      </c>
      <c r="G457" s="92"/>
      <c r="H457" s="823"/>
      <c r="I457" s="1125"/>
      <c r="J457" s="1133"/>
      <c r="K457" s="1133"/>
      <c r="L457" s="916"/>
    </row>
    <row r="458" spans="1:12" s="103" customFormat="1" ht="15.75" hidden="1" customHeight="1" outlineLevel="1">
      <c r="A458" s="916"/>
      <c r="B458" s="1123"/>
      <c r="C458" s="1127"/>
      <c r="D458" s="1125"/>
      <c r="E458" s="1125"/>
      <c r="F458" s="1130"/>
      <c r="G458" s="95"/>
      <c r="H458" s="823"/>
      <c r="I458" s="1125"/>
      <c r="J458" s="1134"/>
      <c r="K458" s="1134"/>
      <c r="L458" s="916"/>
    </row>
    <row r="459" spans="1:12" s="103" customFormat="1" ht="15.75" hidden="1" customHeight="1" outlineLevel="1">
      <c r="A459" s="916"/>
      <c r="B459" s="1124"/>
      <c r="C459" s="1128"/>
      <c r="D459" s="1126"/>
      <c r="E459" s="1126"/>
      <c r="F459" s="1132"/>
      <c r="G459" s="100"/>
      <c r="H459" s="824"/>
      <c r="I459" s="1126"/>
      <c r="J459" s="1135"/>
      <c r="K459" s="1135"/>
      <c r="L459" s="916"/>
    </row>
    <row r="460" spans="1:12" s="103" customFormat="1" ht="15.75" hidden="1" customHeight="1" outlineLevel="1">
      <c r="A460" s="916"/>
      <c r="B460" s="1123">
        <v>150</v>
      </c>
      <c r="C460" s="1127"/>
      <c r="D460" s="1125"/>
      <c r="E460" s="1125" t="s">
        <v>18</v>
      </c>
      <c r="F460" s="1130" t="str">
        <f>VLOOKUP(E460,$N$13:$O$17,2,0)</f>
        <v>-</v>
      </c>
      <c r="G460" s="92"/>
      <c r="H460" s="823"/>
      <c r="I460" s="1125"/>
      <c r="J460" s="1133"/>
      <c r="K460" s="1133"/>
      <c r="L460" s="916"/>
    </row>
    <row r="461" spans="1:12" s="103" customFormat="1" ht="15.75" hidden="1" customHeight="1" outlineLevel="1">
      <c r="A461" s="916"/>
      <c r="B461" s="1123"/>
      <c r="C461" s="1127"/>
      <c r="D461" s="1125"/>
      <c r="E461" s="1125"/>
      <c r="F461" s="1130"/>
      <c r="G461" s="95"/>
      <c r="H461" s="823"/>
      <c r="I461" s="1125"/>
      <c r="J461" s="1134"/>
      <c r="K461" s="1134"/>
      <c r="L461" s="916"/>
    </row>
    <row r="462" spans="1:12" s="103" customFormat="1" ht="15.75" hidden="1" customHeight="1" outlineLevel="1">
      <c r="A462" s="916"/>
      <c r="B462" s="1124"/>
      <c r="C462" s="1128"/>
      <c r="D462" s="1126"/>
      <c r="E462" s="1126"/>
      <c r="F462" s="1132"/>
      <c r="G462" s="100"/>
      <c r="H462" s="824"/>
      <c r="I462" s="1126"/>
      <c r="J462" s="1135"/>
      <c r="K462" s="1135"/>
      <c r="L462" s="916"/>
    </row>
    <row r="463" spans="1:12" s="103" customFormat="1" ht="15.75" hidden="1" customHeight="1" outlineLevel="1">
      <c r="A463" s="916"/>
      <c r="B463" s="1123">
        <v>151</v>
      </c>
      <c r="C463" s="1127"/>
      <c r="D463" s="1125"/>
      <c r="E463" s="1125" t="s">
        <v>18</v>
      </c>
      <c r="F463" s="1130" t="str">
        <f>VLOOKUP(E463,$N$13:$O$17,2,0)</f>
        <v>-</v>
      </c>
      <c r="G463" s="92"/>
      <c r="H463" s="823"/>
      <c r="I463" s="1125"/>
      <c r="J463" s="1133"/>
      <c r="K463" s="1133"/>
      <c r="L463" s="916"/>
    </row>
    <row r="464" spans="1:12" s="103" customFormat="1" ht="15.75" hidden="1" customHeight="1" outlineLevel="1">
      <c r="A464" s="916"/>
      <c r="B464" s="1123"/>
      <c r="C464" s="1127"/>
      <c r="D464" s="1125"/>
      <c r="E464" s="1125"/>
      <c r="F464" s="1130"/>
      <c r="G464" s="95"/>
      <c r="H464" s="823"/>
      <c r="I464" s="1125"/>
      <c r="J464" s="1134"/>
      <c r="K464" s="1134"/>
      <c r="L464" s="916"/>
    </row>
    <row r="465" spans="1:12" s="103" customFormat="1" ht="15.75" hidden="1" customHeight="1" outlineLevel="1">
      <c r="A465" s="916"/>
      <c r="B465" s="1124"/>
      <c r="C465" s="1128"/>
      <c r="D465" s="1126"/>
      <c r="E465" s="1126"/>
      <c r="F465" s="1132"/>
      <c r="G465" s="100"/>
      <c r="H465" s="824"/>
      <c r="I465" s="1126"/>
      <c r="J465" s="1135"/>
      <c r="K465" s="1135"/>
      <c r="L465" s="916"/>
    </row>
    <row r="466" spans="1:12" s="103" customFormat="1" ht="15.75" hidden="1" customHeight="1" outlineLevel="1">
      <c r="A466" s="916"/>
      <c r="B466" s="1123">
        <v>152</v>
      </c>
      <c r="C466" s="1127"/>
      <c r="D466" s="1125"/>
      <c r="E466" s="1125" t="s">
        <v>18</v>
      </c>
      <c r="F466" s="1130" t="str">
        <f>VLOOKUP(E466,$N$13:$O$17,2,0)</f>
        <v>-</v>
      </c>
      <c r="G466" s="92"/>
      <c r="H466" s="823"/>
      <c r="I466" s="1125"/>
      <c r="J466" s="1133"/>
      <c r="K466" s="1133"/>
      <c r="L466" s="916"/>
    </row>
    <row r="467" spans="1:12" s="103" customFormat="1" ht="15.75" hidden="1" customHeight="1" outlineLevel="1">
      <c r="A467" s="916"/>
      <c r="B467" s="1123"/>
      <c r="C467" s="1127"/>
      <c r="D467" s="1125"/>
      <c r="E467" s="1125"/>
      <c r="F467" s="1130"/>
      <c r="G467" s="95"/>
      <c r="H467" s="823"/>
      <c r="I467" s="1125"/>
      <c r="J467" s="1134"/>
      <c r="K467" s="1134"/>
      <c r="L467" s="916"/>
    </row>
    <row r="468" spans="1:12" s="103" customFormat="1" ht="15.75" hidden="1" customHeight="1" outlineLevel="1">
      <c r="A468" s="916"/>
      <c r="B468" s="1124"/>
      <c r="C468" s="1128"/>
      <c r="D468" s="1126"/>
      <c r="E468" s="1126"/>
      <c r="F468" s="1132"/>
      <c r="G468" s="100"/>
      <c r="H468" s="824"/>
      <c r="I468" s="1126"/>
      <c r="J468" s="1135"/>
      <c r="K468" s="1135"/>
      <c r="L468" s="916"/>
    </row>
    <row r="469" spans="1:12" s="103" customFormat="1" ht="15.75" hidden="1" customHeight="1" outlineLevel="1">
      <c r="A469" s="916"/>
      <c r="B469" s="1123">
        <v>153</v>
      </c>
      <c r="C469" s="1127"/>
      <c r="D469" s="1125"/>
      <c r="E469" s="1125" t="s">
        <v>18</v>
      </c>
      <c r="F469" s="1130" t="str">
        <f>VLOOKUP(E469,$N$13:$O$17,2,0)</f>
        <v>-</v>
      </c>
      <c r="G469" s="92"/>
      <c r="H469" s="823"/>
      <c r="I469" s="1125"/>
      <c r="J469" s="1133"/>
      <c r="K469" s="1133"/>
      <c r="L469" s="916"/>
    </row>
    <row r="470" spans="1:12" s="103" customFormat="1" ht="15.75" hidden="1" customHeight="1" outlineLevel="1">
      <c r="A470" s="916"/>
      <c r="B470" s="1123"/>
      <c r="C470" s="1127"/>
      <c r="D470" s="1125"/>
      <c r="E470" s="1125"/>
      <c r="F470" s="1130"/>
      <c r="G470" s="95"/>
      <c r="H470" s="823"/>
      <c r="I470" s="1125"/>
      <c r="J470" s="1134"/>
      <c r="K470" s="1134"/>
      <c r="L470" s="916"/>
    </row>
    <row r="471" spans="1:12" s="103" customFormat="1" ht="15.75" hidden="1" customHeight="1" outlineLevel="1">
      <c r="A471" s="916"/>
      <c r="B471" s="1124"/>
      <c r="C471" s="1128"/>
      <c r="D471" s="1126"/>
      <c r="E471" s="1126"/>
      <c r="F471" s="1132"/>
      <c r="G471" s="100"/>
      <c r="H471" s="824"/>
      <c r="I471" s="1126"/>
      <c r="J471" s="1135"/>
      <c r="K471" s="1135"/>
      <c r="L471" s="916"/>
    </row>
    <row r="472" spans="1:12" s="103" customFormat="1" ht="15.75" hidden="1" customHeight="1" outlineLevel="1">
      <c r="A472" s="916"/>
      <c r="B472" s="1123">
        <v>154</v>
      </c>
      <c r="C472" s="1127"/>
      <c r="D472" s="1125"/>
      <c r="E472" s="1125" t="s">
        <v>18</v>
      </c>
      <c r="F472" s="1130" t="str">
        <f>VLOOKUP(E472,$N$13:$O$17,2,0)</f>
        <v>-</v>
      </c>
      <c r="G472" s="92"/>
      <c r="H472" s="823"/>
      <c r="I472" s="1125"/>
      <c r="J472" s="1133"/>
      <c r="K472" s="1133"/>
      <c r="L472" s="916"/>
    </row>
    <row r="473" spans="1:12" s="103" customFormat="1" ht="15.75" hidden="1" customHeight="1" outlineLevel="1">
      <c r="A473" s="916"/>
      <c r="B473" s="1123"/>
      <c r="C473" s="1127"/>
      <c r="D473" s="1125"/>
      <c r="E473" s="1125"/>
      <c r="F473" s="1130"/>
      <c r="G473" s="95"/>
      <c r="H473" s="823"/>
      <c r="I473" s="1125"/>
      <c r="J473" s="1134"/>
      <c r="K473" s="1134"/>
      <c r="L473" s="916"/>
    </row>
    <row r="474" spans="1:12" s="103" customFormat="1" ht="15.75" hidden="1" customHeight="1" outlineLevel="1">
      <c r="A474" s="916"/>
      <c r="B474" s="1124"/>
      <c r="C474" s="1128"/>
      <c r="D474" s="1126"/>
      <c r="E474" s="1126"/>
      <c r="F474" s="1132"/>
      <c r="G474" s="100"/>
      <c r="H474" s="824"/>
      <c r="I474" s="1126"/>
      <c r="J474" s="1135"/>
      <c r="K474" s="1135"/>
      <c r="L474" s="916"/>
    </row>
    <row r="475" spans="1:12" s="103" customFormat="1" ht="15.75" hidden="1" customHeight="1" outlineLevel="1">
      <c r="A475" s="916"/>
      <c r="B475" s="1123">
        <v>155</v>
      </c>
      <c r="C475" s="1127"/>
      <c r="D475" s="1125"/>
      <c r="E475" s="1125" t="s">
        <v>18</v>
      </c>
      <c r="F475" s="1130" t="str">
        <f>VLOOKUP(E475,$N$13:$O$17,2,0)</f>
        <v>-</v>
      </c>
      <c r="G475" s="92"/>
      <c r="H475" s="823"/>
      <c r="I475" s="1125"/>
      <c r="J475" s="1133"/>
      <c r="K475" s="1133"/>
      <c r="L475" s="916"/>
    </row>
    <row r="476" spans="1:12" s="103" customFormat="1" ht="15.75" hidden="1" customHeight="1" outlineLevel="1">
      <c r="A476" s="916"/>
      <c r="B476" s="1123"/>
      <c r="C476" s="1127"/>
      <c r="D476" s="1125"/>
      <c r="E476" s="1125"/>
      <c r="F476" s="1130"/>
      <c r="G476" s="95"/>
      <c r="H476" s="823"/>
      <c r="I476" s="1125"/>
      <c r="J476" s="1134"/>
      <c r="K476" s="1134"/>
      <c r="L476" s="916"/>
    </row>
    <row r="477" spans="1:12" s="103" customFormat="1" ht="15.75" hidden="1" customHeight="1" outlineLevel="1">
      <c r="A477" s="916"/>
      <c r="B477" s="1124"/>
      <c r="C477" s="1128"/>
      <c r="D477" s="1126"/>
      <c r="E477" s="1126"/>
      <c r="F477" s="1132"/>
      <c r="G477" s="100"/>
      <c r="H477" s="824"/>
      <c r="I477" s="1126"/>
      <c r="J477" s="1135"/>
      <c r="K477" s="1135"/>
      <c r="L477" s="916"/>
    </row>
    <row r="478" spans="1:12" s="103" customFormat="1" ht="15.75" hidden="1" customHeight="1" outlineLevel="1">
      <c r="A478" s="916"/>
      <c r="B478" s="1123">
        <v>156</v>
      </c>
      <c r="C478" s="1127"/>
      <c r="D478" s="1125"/>
      <c r="E478" s="1125" t="s">
        <v>18</v>
      </c>
      <c r="F478" s="1130" t="str">
        <f>VLOOKUP(E478,$N$13:$O$17,2,0)</f>
        <v>-</v>
      </c>
      <c r="G478" s="92"/>
      <c r="H478" s="823"/>
      <c r="I478" s="1125"/>
      <c r="J478" s="1133"/>
      <c r="K478" s="1133"/>
      <c r="L478" s="916"/>
    </row>
    <row r="479" spans="1:12" s="103" customFormat="1" ht="15.75" hidden="1" customHeight="1" outlineLevel="1">
      <c r="A479" s="916"/>
      <c r="B479" s="1123"/>
      <c r="C479" s="1127"/>
      <c r="D479" s="1125"/>
      <c r="E479" s="1125"/>
      <c r="F479" s="1130"/>
      <c r="G479" s="95"/>
      <c r="H479" s="823"/>
      <c r="I479" s="1125"/>
      <c r="J479" s="1134"/>
      <c r="K479" s="1134"/>
      <c r="L479" s="916"/>
    </row>
    <row r="480" spans="1:12" s="103" customFormat="1" ht="15.75" hidden="1" customHeight="1" outlineLevel="1">
      <c r="A480" s="916"/>
      <c r="B480" s="1124"/>
      <c r="C480" s="1128"/>
      <c r="D480" s="1126"/>
      <c r="E480" s="1126"/>
      <c r="F480" s="1132"/>
      <c r="G480" s="100"/>
      <c r="H480" s="824"/>
      <c r="I480" s="1126"/>
      <c r="J480" s="1135"/>
      <c r="K480" s="1135"/>
      <c r="L480" s="916"/>
    </row>
    <row r="481" spans="1:12" s="103" customFormat="1" ht="15.75" hidden="1" customHeight="1" outlineLevel="1">
      <c r="A481" s="916"/>
      <c r="B481" s="1123">
        <v>157</v>
      </c>
      <c r="C481" s="1127"/>
      <c r="D481" s="1125"/>
      <c r="E481" s="1125" t="s">
        <v>18</v>
      </c>
      <c r="F481" s="1130" t="str">
        <f>VLOOKUP(E481,$N$13:$O$17,2,0)</f>
        <v>-</v>
      </c>
      <c r="G481" s="92"/>
      <c r="H481" s="823"/>
      <c r="I481" s="1125"/>
      <c r="J481" s="1133"/>
      <c r="K481" s="1133"/>
      <c r="L481" s="916"/>
    </row>
    <row r="482" spans="1:12" s="103" customFormat="1" ht="15.75" hidden="1" customHeight="1" outlineLevel="1">
      <c r="A482" s="916"/>
      <c r="B482" s="1123"/>
      <c r="C482" s="1127"/>
      <c r="D482" s="1125"/>
      <c r="E482" s="1125"/>
      <c r="F482" s="1130"/>
      <c r="G482" s="95"/>
      <c r="H482" s="823"/>
      <c r="I482" s="1125"/>
      <c r="J482" s="1134"/>
      <c r="K482" s="1134"/>
      <c r="L482" s="916"/>
    </row>
    <row r="483" spans="1:12" s="103" customFormat="1" ht="15.75" hidden="1" customHeight="1" outlineLevel="1">
      <c r="A483" s="916"/>
      <c r="B483" s="1124"/>
      <c r="C483" s="1128"/>
      <c r="D483" s="1126"/>
      <c r="E483" s="1126"/>
      <c r="F483" s="1132"/>
      <c r="G483" s="100"/>
      <c r="H483" s="824"/>
      <c r="I483" s="1126"/>
      <c r="J483" s="1135"/>
      <c r="K483" s="1135"/>
      <c r="L483" s="916"/>
    </row>
    <row r="484" spans="1:12" s="103" customFormat="1" ht="15.75" hidden="1" customHeight="1" outlineLevel="1">
      <c r="A484" s="916"/>
      <c r="B484" s="1123">
        <v>158</v>
      </c>
      <c r="C484" s="1127"/>
      <c r="D484" s="1125"/>
      <c r="E484" s="1125" t="s">
        <v>18</v>
      </c>
      <c r="F484" s="1130" t="str">
        <f>VLOOKUP(E484,$N$13:$O$17,2,0)</f>
        <v>-</v>
      </c>
      <c r="G484" s="92"/>
      <c r="H484" s="823"/>
      <c r="I484" s="1125"/>
      <c r="J484" s="1133"/>
      <c r="K484" s="1133"/>
      <c r="L484" s="916"/>
    </row>
    <row r="485" spans="1:12" s="103" customFormat="1" ht="15.75" hidden="1" customHeight="1" outlineLevel="1">
      <c r="A485" s="916"/>
      <c r="B485" s="1123"/>
      <c r="C485" s="1127"/>
      <c r="D485" s="1125"/>
      <c r="E485" s="1125"/>
      <c r="F485" s="1130"/>
      <c r="G485" s="95"/>
      <c r="H485" s="823"/>
      <c r="I485" s="1125"/>
      <c r="J485" s="1134"/>
      <c r="K485" s="1134"/>
      <c r="L485" s="916"/>
    </row>
    <row r="486" spans="1:12" s="103" customFormat="1" ht="15.75" hidden="1" customHeight="1" outlineLevel="1">
      <c r="A486" s="916"/>
      <c r="B486" s="1124"/>
      <c r="C486" s="1128"/>
      <c r="D486" s="1126"/>
      <c r="E486" s="1126"/>
      <c r="F486" s="1132"/>
      <c r="G486" s="100"/>
      <c r="H486" s="824"/>
      <c r="I486" s="1126"/>
      <c r="J486" s="1135"/>
      <c r="K486" s="1135"/>
      <c r="L486" s="916"/>
    </row>
    <row r="487" spans="1:12" s="103" customFormat="1" ht="15.75" hidden="1" customHeight="1" outlineLevel="1">
      <c r="A487" s="916"/>
      <c r="B487" s="1123">
        <v>159</v>
      </c>
      <c r="C487" s="1127"/>
      <c r="D487" s="1125"/>
      <c r="E487" s="1125" t="s">
        <v>18</v>
      </c>
      <c r="F487" s="1130" t="str">
        <f>VLOOKUP(E487,$N$13:$O$17,2,0)</f>
        <v>-</v>
      </c>
      <c r="G487" s="92"/>
      <c r="H487" s="823"/>
      <c r="I487" s="1125"/>
      <c r="J487" s="1133"/>
      <c r="K487" s="1133"/>
      <c r="L487" s="916"/>
    </row>
    <row r="488" spans="1:12" s="103" customFormat="1" ht="15.75" hidden="1" customHeight="1" outlineLevel="1">
      <c r="A488" s="916"/>
      <c r="B488" s="1123"/>
      <c r="C488" s="1127"/>
      <c r="D488" s="1125"/>
      <c r="E488" s="1125"/>
      <c r="F488" s="1130"/>
      <c r="G488" s="95"/>
      <c r="H488" s="823"/>
      <c r="I488" s="1125"/>
      <c r="J488" s="1134"/>
      <c r="K488" s="1134"/>
      <c r="L488" s="916"/>
    </row>
    <row r="489" spans="1:12" s="103" customFormat="1" ht="15.75" hidden="1" customHeight="1" outlineLevel="1">
      <c r="A489" s="916"/>
      <c r="B489" s="1124"/>
      <c r="C489" s="1128"/>
      <c r="D489" s="1126"/>
      <c r="E489" s="1126"/>
      <c r="F489" s="1132"/>
      <c r="G489" s="100"/>
      <c r="H489" s="824"/>
      <c r="I489" s="1126"/>
      <c r="J489" s="1135"/>
      <c r="K489" s="1135"/>
      <c r="L489" s="916"/>
    </row>
    <row r="490" spans="1:12" s="103" customFormat="1" ht="15.75" hidden="1" customHeight="1" outlineLevel="1">
      <c r="A490" s="916"/>
      <c r="B490" s="1123">
        <v>160</v>
      </c>
      <c r="C490" s="1127"/>
      <c r="D490" s="1125"/>
      <c r="E490" s="1125" t="s">
        <v>18</v>
      </c>
      <c r="F490" s="1130" t="str">
        <f>VLOOKUP(E490,$N$13:$O$17,2,0)</f>
        <v>-</v>
      </c>
      <c r="G490" s="92"/>
      <c r="H490" s="823"/>
      <c r="I490" s="1125"/>
      <c r="J490" s="1133"/>
      <c r="K490" s="1133"/>
      <c r="L490" s="916"/>
    </row>
    <row r="491" spans="1:12" s="103" customFormat="1" ht="15.75" hidden="1" customHeight="1" outlineLevel="1">
      <c r="A491" s="916"/>
      <c r="B491" s="1123"/>
      <c r="C491" s="1127"/>
      <c r="D491" s="1125"/>
      <c r="E491" s="1125"/>
      <c r="F491" s="1130"/>
      <c r="G491" s="95"/>
      <c r="H491" s="823"/>
      <c r="I491" s="1125"/>
      <c r="J491" s="1134"/>
      <c r="K491" s="1134"/>
      <c r="L491" s="916"/>
    </row>
    <row r="492" spans="1:12" s="103" customFormat="1" ht="15.75" hidden="1" customHeight="1" outlineLevel="1">
      <c r="A492" s="916"/>
      <c r="B492" s="1124"/>
      <c r="C492" s="1128"/>
      <c r="D492" s="1126"/>
      <c r="E492" s="1126"/>
      <c r="F492" s="1132"/>
      <c r="G492" s="100"/>
      <c r="H492" s="824"/>
      <c r="I492" s="1126"/>
      <c r="J492" s="1135"/>
      <c r="K492" s="1135"/>
      <c r="L492" s="916"/>
    </row>
    <row r="493" spans="1:12" s="103" customFormat="1" ht="15.75" hidden="1" customHeight="1" outlineLevel="1">
      <c r="A493" s="916"/>
      <c r="B493" s="1123">
        <v>161</v>
      </c>
      <c r="C493" s="1127"/>
      <c r="D493" s="1125"/>
      <c r="E493" s="1125" t="s">
        <v>18</v>
      </c>
      <c r="F493" s="1130" t="str">
        <f>VLOOKUP(E493,$N$13:$O$17,2,0)</f>
        <v>-</v>
      </c>
      <c r="G493" s="92"/>
      <c r="H493" s="823"/>
      <c r="I493" s="1125"/>
      <c r="J493" s="1133"/>
      <c r="K493" s="1133"/>
      <c r="L493" s="916"/>
    </row>
    <row r="494" spans="1:12" s="103" customFormat="1" ht="15.75" hidden="1" customHeight="1" outlineLevel="1">
      <c r="A494" s="916"/>
      <c r="B494" s="1123"/>
      <c r="C494" s="1127"/>
      <c r="D494" s="1125"/>
      <c r="E494" s="1125"/>
      <c r="F494" s="1130"/>
      <c r="G494" s="95"/>
      <c r="H494" s="823"/>
      <c r="I494" s="1125"/>
      <c r="J494" s="1134"/>
      <c r="K494" s="1134"/>
      <c r="L494" s="916"/>
    </row>
    <row r="495" spans="1:12" s="103" customFormat="1" ht="15.75" hidden="1" customHeight="1" outlineLevel="1">
      <c r="A495" s="916"/>
      <c r="B495" s="1124"/>
      <c r="C495" s="1128"/>
      <c r="D495" s="1126"/>
      <c r="E495" s="1126"/>
      <c r="F495" s="1132"/>
      <c r="G495" s="100"/>
      <c r="H495" s="824"/>
      <c r="I495" s="1126"/>
      <c r="J495" s="1135"/>
      <c r="K495" s="1135"/>
      <c r="L495" s="916"/>
    </row>
    <row r="496" spans="1:12" s="103" customFormat="1" ht="15.75" hidden="1" customHeight="1" outlineLevel="1">
      <c r="A496" s="916"/>
      <c r="B496" s="1123">
        <v>162</v>
      </c>
      <c r="C496" s="1127"/>
      <c r="D496" s="1125"/>
      <c r="E496" s="1125" t="s">
        <v>18</v>
      </c>
      <c r="F496" s="1130" t="str">
        <f>VLOOKUP(E496,$N$13:$O$17,2,0)</f>
        <v>-</v>
      </c>
      <c r="G496" s="92"/>
      <c r="H496" s="823"/>
      <c r="I496" s="1125"/>
      <c r="J496" s="1133"/>
      <c r="K496" s="1133"/>
      <c r="L496" s="916"/>
    </row>
    <row r="497" spans="1:12" s="103" customFormat="1" ht="15.75" hidden="1" customHeight="1" outlineLevel="1">
      <c r="A497" s="916"/>
      <c r="B497" s="1123"/>
      <c r="C497" s="1127"/>
      <c r="D497" s="1125"/>
      <c r="E497" s="1125"/>
      <c r="F497" s="1130"/>
      <c r="G497" s="95"/>
      <c r="H497" s="823"/>
      <c r="I497" s="1125"/>
      <c r="J497" s="1134"/>
      <c r="K497" s="1134"/>
      <c r="L497" s="916"/>
    </row>
    <row r="498" spans="1:12" s="103" customFormat="1" ht="15.75" hidden="1" customHeight="1" outlineLevel="1">
      <c r="A498" s="916"/>
      <c r="B498" s="1124"/>
      <c r="C498" s="1128"/>
      <c r="D498" s="1126"/>
      <c r="E498" s="1126"/>
      <c r="F498" s="1132"/>
      <c r="G498" s="100"/>
      <c r="H498" s="824"/>
      <c r="I498" s="1126"/>
      <c r="J498" s="1135"/>
      <c r="K498" s="1135"/>
      <c r="L498" s="916"/>
    </row>
    <row r="499" spans="1:12" s="103" customFormat="1" ht="15.75" hidden="1" customHeight="1" outlineLevel="1">
      <c r="A499" s="916"/>
      <c r="B499" s="1123">
        <v>163</v>
      </c>
      <c r="C499" s="1127"/>
      <c r="D499" s="1125"/>
      <c r="E499" s="1125" t="s">
        <v>18</v>
      </c>
      <c r="F499" s="1130" t="str">
        <f>VLOOKUP(E499,$N$13:$O$17,2,0)</f>
        <v>-</v>
      </c>
      <c r="G499" s="92"/>
      <c r="H499" s="823"/>
      <c r="I499" s="1125"/>
      <c r="J499" s="1133"/>
      <c r="K499" s="1133"/>
      <c r="L499" s="916"/>
    </row>
    <row r="500" spans="1:12" s="103" customFormat="1" ht="15.75" hidden="1" customHeight="1" outlineLevel="1">
      <c r="A500" s="916"/>
      <c r="B500" s="1123"/>
      <c r="C500" s="1127"/>
      <c r="D500" s="1125"/>
      <c r="E500" s="1125"/>
      <c r="F500" s="1130"/>
      <c r="G500" s="95"/>
      <c r="H500" s="823"/>
      <c r="I500" s="1125"/>
      <c r="J500" s="1134"/>
      <c r="K500" s="1134"/>
      <c r="L500" s="916"/>
    </row>
    <row r="501" spans="1:12" s="103" customFormat="1" ht="15.75" hidden="1" customHeight="1" outlineLevel="1">
      <c r="A501" s="916"/>
      <c r="B501" s="1124"/>
      <c r="C501" s="1128"/>
      <c r="D501" s="1126"/>
      <c r="E501" s="1126"/>
      <c r="F501" s="1132"/>
      <c r="G501" s="100"/>
      <c r="H501" s="824"/>
      <c r="I501" s="1126"/>
      <c r="J501" s="1135"/>
      <c r="K501" s="1135"/>
      <c r="L501" s="916"/>
    </row>
    <row r="502" spans="1:12" s="103" customFormat="1" ht="15.75" hidden="1" customHeight="1" outlineLevel="1">
      <c r="A502" s="916"/>
      <c r="B502" s="1123">
        <v>164</v>
      </c>
      <c r="C502" s="1127"/>
      <c r="D502" s="1125"/>
      <c r="E502" s="1125" t="s">
        <v>18</v>
      </c>
      <c r="F502" s="1130" t="str">
        <f>VLOOKUP(E502,$N$13:$O$17,2,0)</f>
        <v>-</v>
      </c>
      <c r="G502" s="92"/>
      <c r="H502" s="823"/>
      <c r="I502" s="1125"/>
      <c r="J502" s="1133"/>
      <c r="K502" s="1133"/>
      <c r="L502" s="916"/>
    </row>
    <row r="503" spans="1:12" s="103" customFormat="1" ht="15.75" hidden="1" customHeight="1" outlineLevel="1">
      <c r="A503" s="916"/>
      <c r="B503" s="1123"/>
      <c r="C503" s="1127"/>
      <c r="D503" s="1125"/>
      <c r="E503" s="1125"/>
      <c r="F503" s="1130"/>
      <c r="G503" s="95"/>
      <c r="H503" s="823"/>
      <c r="I503" s="1125"/>
      <c r="J503" s="1134"/>
      <c r="K503" s="1134"/>
      <c r="L503" s="916"/>
    </row>
    <row r="504" spans="1:12" s="103" customFormat="1" ht="15.75" hidden="1" customHeight="1" outlineLevel="1">
      <c r="A504" s="916"/>
      <c r="B504" s="1124"/>
      <c r="C504" s="1128"/>
      <c r="D504" s="1126"/>
      <c r="E504" s="1126"/>
      <c r="F504" s="1132"/>
      <c r="G504" s="100"/>
      <c r="H504" s="824"/>
      <c r="I504" s="1126"/>
      <c r="J504" s="1135"/>
      <c r="K504" s="1135"/>
      <c r="L504" s="916"/>
    </row>
    <row r="505" spans="1:12" s="103" customFormat="1" ht="15.75" hidden="1" customHeight="1" outlineLevel="1">
      <c r="A505" s="916"/>
      <c r="B505" s="1123">
        <v>165</v>
      </c>
      <c r="C505" s="1127"/>
      <c r="D505" s="1125"/>
      <c r="E505" s="1125" t="s">
        <v>18</v>
      </c>
      <c r="F505" s="1130" t="str">
        <f>VLOOKUP(E505,$N$13:$O$17,2,0)</f>
        <v>-</v>
      </c>
      <c r="G505" s="92"/>
      <c r="H505" s="823"/>
      <c r="I505" s="1125"/>
      <c r="J505" s="1133"/>
      <c r="K505" s="1133"/>
      <c r="L505" s="916"/>
    </row>
    <row r="506" spans="1:12" s="103" customFormat="1" ht="15.75" hidden="1" customHeight="1" outlineLevel="1">
      <c r="A506" s="916"/>
      <c r="B506" s="1123"/>
      <c r="C506" s="1127"/>
      <c r="D506" s="1125"/>
      <c r="E506" s="1125"/>
      <c r="F506" s="1130"/>
      <c r="G506" s="95"/>
      <c r="H506" s="823"/>
      <c r="I506" s="1125"/>
      <c r="J506" s="1134"/>
      <c r="K506" s="1134"/>
      <c r="L506" s="916"/>
    </row>
    <row r="507" spans="1:12" s="103" customFormat="1" ht="15.75" hidden="1" customHeight="1" outlineLevel="1">
      <c r="A507" s="916"/>
      <c r="B507" s="1124"/>
      <c r="C507" s="1128"/>
      <c r="D507" s="1126"/>
      <c r="E507" s="1126"/>
      <c r="F507" s="1132"/>
      <c r="G507" s="100"/>
      <c r="H507" s="824"/>
      <c r="I507" s="1126"/>
      <c r="J507" s="1135"/>
      <c r="K507" s="1135"/>
      <c r="L507" s="916"/>
    </row>
    <row r="508" spans="1:12" s="103" customFormat="1" ht="15.75" hidden="1" customHeight="1" outlineLevel="1">
      <c r="A508" s="916"/>
      <c r="B508" s="1123">
        <v>166</v>
      </c>
      <c r="C508" s="1127"/>
      <c r="D508" s="1125"/>
      <c r="E508" s="1125" t="s">
        <v>18</v>
      </c>
      <c r="F508" s="1130" t="str">
        <f>VLOOKUP(E508,$N$13:$O$17,2,0)</f>
        <v>-</v>
      </c>
      <c r="G508" s="92"/>
      <c r="H508" s="823"/>
      <c r="I508" s="1125"/>
      <c r="J508" s="1133"/>
      <c r="K508" s="1133"/>
      <c r="L508" s="916"/>
    </row>
    <row r="509" spans="1:12" s="103" customFormat="1" ht="15.75" hidden="1" customHeight="1" outlineLevel="1">
      <c r="A509" s="916"/>
      <c r="B509" s="1123"/>
      <c r="C509" s="1127"/>
      <c r="D509" s="1125"/>
      <c r="E509" s="1125"/>
      <c r="F509" s="1130"/>
      <c r="G509" s="95"/>
      <c r="H509" s="823"/>
      <c r="I509" s="1125"/>
      <c r="J509" s="1134"/>
      <c r="K509" s="1134"/>
      <c r="L509" s="916"/>
    </row>
    <row r="510" spans="1:12" s="103" customFormat="1" ht="15.75" hidden="1" customHeight="1" outlineLevel="1">
      <c r="A510" s="916"/>
      <c r="B510" s="1124"/>
      <c r="C510" s="1128"/>
      <c r="D510" s="1126"/>
      <c r="E510" s="1126"/>
      <c r="F510" s="1132"/>
      <c r="G510" s="100"/>
      <c r="H510" s="824"/>
      <c r="I510" s="1126"/>
      <c r="J510" s="1135"/>
      <c r="K510" s="1135"/>
      <c r="L510" s="916"/>
    </row>
    <row r="511" spans="1:12" s="103" customFormat="1" ht="15.75" hidden="1" customHeight="1" outlineLevel="1">
      <c r="A511" s="916"/>
      <c r="B511" s="1123">
        <v>167</v>
      </c>
      <c r="C511" s="1127"/>
      <c r="D511" s="1125"/>
      <c r="E511" s="1125" t="s">
        <v>18</v>
      </c>
      <c r="F511" s="1130" t="str">
        <f>VLOOKUP(E511,$N$13:$O$17,2,0)</f>
        <v>-</v>
      </c>
      <c r="G511" s="92"/>
      <c r="H511" s="823"/>
      <c r="I511" s="1125"/>
      <c r="J511" s="1133"/>
      <c r="K511" s="1133"/>
      <c r="L511" s="916"/>
    </row>
    <row r="512" spans="1:12" s="103" customFormat="1" ht="15.75" hidden="1" customHeight="1" outlineLevel="1">
      <c r="A512" s="916"/>
      <c r="B512" s="1123"/>
      <c r="C512" s="1127"/>
      <c r="D512" s="1125"/>
      <c r="E512" s="1125"/>
      <c r="F512" s="1130"/>
      <c r="G512" s="95"/>
      <c r="H512" s="823"/>
      <c r="I512" s="1125"/>
      <c r="J512" s="1134"/>
      <c r="K512" s="1134"/>
      <c r="L512" s="916"/>
    </row>
    <row r="513" spans="1:12" s="103" customFormat="1" ht="15.75" hidden="1" customHeight="1" outlineLevel="1">
      <c r="A513" s="916"/>
      <c r="B513" s="1124"/>
      <c r="C513" s="1128"/>
      <c r="D513" s="1126"/>
      <c r="E513" s="1126"/>
      <c r="F513" s="1132"/>
      <c r="G513" s="100"/>
      <c r="H513" s="824"/>
      <c r="I513" s="1126"/>
      <c r="J513" s="1135"/>
      <c r="K513" s="1135"/>
      <c r="L513" s="916"/>
    </row>
    <row r="514" spans="1:12" s="103" customFormat="1" ht="15.75" hidden="1" customHeight="1" outlineLevel="1">
      <c r="A514" s="916"/>
      <c r="B514" s="1123">
        <v>168</v>
      </c>
      <c r="C514" s="1127"/>
      <c r="D514" s="1125"/>
      <c r="E514" s="1125" t="s">
        <v>18</v>
      </c>
      <c r="F514" s="1130" t="str">
        <f>VLOOKUP(E514,$N$13:$O$17,2,0)</f>
        <v>-</v>
      </c>
      <c r="G514" s="92"/>
      <c r="H514" s="823"/>
      <c r="I514" s="1125"/>
      <c r="J514" s="1133"/>
      <c r="K514" s="1133"/>
      <c r="L514" s="916"/>
    </row>
    <row r="515" spans="1:12" s="103" customFormat="1" ht="15.75" hidden="1" customHeight="1" outlineLevel="1">
      <c r="A515" s="916"/>
      <c r="B515" s="1123"/>
      <c r="C515" s="1127"/>
      <c r="D515" s="1125"/>
      <c r="E515" s="1125"/>
      <c r="F515" s="1130"/>
      <c r="G515" s="95"/>
      <c r="H515" s="823"/>
      <c r="I515" s="1125"/>
      <c r="J515" s="1134"/>
      <c r="K515" s="1134"/>
      <c r="L515" s="916"/>
    </row>
    <row r="516" spans="1:12" s="103" customFormat="1" ht="15.75" hidden="1" customHeight="1" outlineLevel="1">
      <c r="A516" s="916"/>
      <c r="B516" s="1124"/>
      <c r="C516" s="1128"/>
      <c r="D516" s="1126"/>
      <c r="E516" s="1126"/>
      <c r="F516" s="1132"/>
      <c r="G516" s="100"/>
      <c r="H516" s="824"/>
      <c r="I516" s="1126"/>
      <c r="J516" s="1135"/>
      <c r="K516" s="1135"/>
      <c r="L516" s="916"/>
    </row>
    <row r="517" spans="1:12" s="103" customFormat="1" ht="15.75" hidden="1" customHeight="1" outlineLevel="1">
      <c r="A517" s="916"/>
      <c r="B517" s="1123">
        <v>169</v>
      </c>
      <c r="C517" s="1127"/>
      <c r="D517" s="1125"/>
      <c r="E517" s="1125" t="s">
        <v>18</v>
      </c>
      <c r="F517" s="1130" t="str">
        <f>VLOOKUP(E517,$N$13:$O$17,2,0)</f>
        <v>-</v>
      </c>
      <c r="G517" s="92"/>
      <c r="H517" s="823"/>
      <c r="I517" s="1125"/>
      <c r="J517" s="1133"/>
      <c r="K517" s="1133"/>
      <c r="L517" s="916"/>
    </row>
    <row r="518" spans="1:12" s="103" customFormat="1" ht="15.75" hidden="1" customHeight="1" outlineLevel="1">
      <c r="A518" s="916"/>
      <c r="B518" s="1123"/>
      <c r="C518" s="1127"/>
      <c r="D518" s="1125"/>
      <c r="E518" s="1125"/>
      <c r="F518" s="1130"/>
      <c r="G518" s="95"/>
      <c r="H518" s="823"/>
      <c r="I518" s="1125"/>
      <c r="J518" s="1134"/>
      <c r="K518" s="1134"/>
      <c r="L518" s="916"/>
    </row>
    <row r="519" spans="1:12" s="103" customFormat="1" ht="15.75" hidden="1" customHeight="1" outlineLevel="1">
      <c r="A519" s="916"/>
      <c r="B519" s="1124"/>
      <c r="C519" s="1128"/>
      <c r="D519" s="1126"/>
      <c r="E519" s="1126"/>
      <c r="F519" s="1132"/>
      <c r="G519" s="100"/>
      <c r="H519" s="824"/>
      <c r="I519" s="1126"/>
      <c r="J519" s="1135"/>
      <c r="K519" s="1135"/>
      <c r="L519" s="916"/>
    </row>
    <row r="520" spans="1:12" s="103" customFormat="1" ht="15.75" hidden="1" customHeight="1" outlineLevel="1">
      <c r="A520" s="916"/>
      <c r="B520" s="1123">
        <v>170</v>
      </c>
      <c r="C520" s="1127"/>
      <c r="D520" s="1125"/>
      <c r="E520" s="1125" t="s">
        <v>18</v>
      </c>
      <c r="F520" s="1130" t="str">
        <f>VLOOKUP(E520,$N$13:$O$17,2,0)</f>
        <v>-</v>
      </c>
      <c r="G520" s="92"/>
      <c r="H520" s="823"/>
      <c r="I520" s="1125"/>
      <c r="J520" s="1133"/>
      <c r="K520" s="1133"/>
      <c r="L520" s="916"/>
    </row>
    <row r="521" spans="1:12" s="103" customFormat="1" ht="15.75" hidden="1" customHeight="1" outlineLevel="1">
      <c r="A521" s="916"/>
      <c r="B521" s="1123"/>
      <c r="C521" s="1127"/>
      <c r="D521" s="1125"/>
      <c r="E521" s="1125"/>
      <c r="F521" s="1130"/>
      <c r="G521" s="95"/>
      <c r="H521" s="823"/>
      <c r="I521" s="1125"/>
      <c r="J521" s="1134"/>
      <c r="K521" s="1134"/>
      <c r="L521" s="916"/>
    </row>
    <row r="522" spans="1:12" s="103" customFormat="1" ht="15.75" hidden="1" customHeight="1" outlineLevel="1">
      <c r="A522" s="916"/>
      <c r="B522" s="1124"/>
      <c r="C522" s="1128"/>
      <c r="D522" s="1126"/>
      <c r="E522" s="1126"/>
      <c r="F522" s="1132"/>
      <c r="G522" s="100"/>
      <c r="H522" s="824"/>
      <c r="I522" s="1126"/>
      <c r="J522" s="1135"/>
      <c r="K522" s="1135"/>
      <c r="L522" s="916"/>
    </row>
    <row r="523" spans="1:12" s="103" customFormat="1" ht="15.75" hidden="1" customHeight="1" outlineLevel="1">
      <c r="A523" s="916"/>
      <c r="B523" s="1123">
        <v>171</v>
      </c>
      <c r="C523" s="1127"/>
      <c r="D523" s="1125"/>
      <c r="E523" s="1125" t="s">
        <v>18</v>
      </c>
      <c r="F523" s="1130" t="str">
        <f>VLOOKUP(E523,$N$13:$O$17,2,0)</f>
        <v>-</v>
      </c>
      <c r="G523" s="92"/>
      <c r="H523" s="823"/>
      <c r="I523" s="1125"/>
      <c r="J523" s="1133"/>
      <c r="K523" s="1133"/>
      <c r="L523" s="916"/>
    </row>
    <row r="524" spans="1:12" s="103" customFormat="1" ht="15.75" hidden="1" customHeight="1" outlineLevel="1">
      <c r="A524" s="916"/>
      <c r="B524" s="1123"/>
      <c r="C524" s="1127"/>
      <c r="D524" s="1125"/>
      <c r="E524" s="1125"/>
      <c r="F524" s="1130"/>
      <c r="G524" s="95"/>
      <c r="H524" s="823"/>
      <c r="I524" s="1125"/>
      <c r="J524" s="1134"/>
      <c r="K524" s="1134"/>
      <c r="L524" s="916"/>
    </row>
    <row r="525" spans="1:12" s="103" customFormat="1" ht="15.75" hidden="1" customHeight="1" outlineLevel="1">
      <c r="A525" s="916"/>
      <c r="B525" s="1124"/>
      <c r="C525" s="1128"/>
      <c r="D525" s="1126"/>
      <c r="E525" s="1126"/>
      <c r="F525" s="1132"/>
      <c r="G525" s="100"/>
      <c r="H525" s="824"/>
      <c r="I525" s="1126"/>
      <c r="J525" s="1135"/>
      <c r="K525" s="1135"/>
      <c r="L525" s="916"/>
    </row>
    <row r="526" spans="1:12" s="103" customFormat="1" ht="15.75" hidden="1" customHeight="1" outlineLevel="1">
      <c r="A526" s="916"/>
      <c r="B526" s="1123">
        <v>172</v>
      </c>
      <c r="C526" s="1127"/>
      <c r="D526" s="1125"/>
      <c r="E526" s="1125" t="s">
        <v>18</v>
      </c>
      <c r="F526" s="1130" t="str">
        <f>VLOOKUP(E526,$N$13:$O$17,2,0)</f>
        <v>-</v>
      </c>
      <c r="G526" s="92"/>
      <c r="H526" s="823"/>
      <c r="I526" s="1125"/>
      <c r="J526" s="1133"/>
      <c r="K526" s="1133"/>
      <c r="L526" s="916"/>
    </row>
    <row r="527" spans="1:12" s="103" customFormat="1" ht="15.75" hidden="1" customHeight="1" outlineLevel="1">
      <c r="A527" s="916"/>
      <c r="B527" s="1123"/>
      <c r="C527" s="1127"/>
      <c r="D527" s="1125"/>
      <c r="E527" s="1125"/>
      <c r="F527" s="1130"/>
      <c r="G527" s="95"/>
      <c r="H527" s="823"/>
      <c r="I527" s="1125"/>
      <c r="J527" s="1134"/>
      <c r="K527" s="1134"/>
      <c r="L527" s="916"/>
    </row>
    <row r="528" spans="1:12" s="103" customFormat="1" ht="15.75" hidden="1" customHeight="1" outlineLevel="1">
      <c r="A528" s="916"/>
      <c r="B528" s="1124"/>
      <c r="C528" s="1128"/>
      <c r="D528" s="1126"/>
      <c r="E528" s="1126"/>
      <c r="F528" s="1132"/>
      <c r="G528" s="100"/>
      <c r="H528" s="824"/>
      <c r="I528" s="1126"/>
      <c r="J528" s="1135"/>
      <c r="K528" s="1135"/>
      <c r="L528" s="916"/>
    </row>
    <row r="529" spans="1:12" s="103" customFormat="1" ht="15.75" hidden="1" customHeight="1" outlineLevel="1">
      <c r="A529" s="916"/>
      <c r="B529" s="1123">
        <v>173</v>
      </c>
      <c r="C529" s="1127"/>
      <c r="D529" s="1125"/>
      <c r="E529" s="1125" t="s">
        <v>18</v>
      </c>
      <c r="F529" s="1130" t="str">
        <f>VLOOKUP(E529,$N$13:$O$17,2,0)</f>
        <v>-</v>
      </c>
      <c r="G529" s="92"/>
      <c r="H529" s="823"/>
      <c r="I529" s="1125"/>
      <c r="J529" s="1133"/>
      <c r="K529" s="1133"/>
      <c r="L529" s="916"/>
    </row>
    <row r="530" spans="1:12" s="103" customFormat="1" ht="15.75" hidden="1" customHeight="1" outlineLevel="1">
      <c r="A530" s="916"/>
      <c r="B530" s="1123"/>
      <c r="C530" s="1127"/>
      <c r="D530" s="1125"/>
      <c r="E530" s="1125"/>
      <c r="F530" s="1130"/>
      <c r="G530" s="95"/>
      <c r="H530" s="823"/>
      <c r="I530" s="1125"/>
      <c r="J530" s="1134"/>
      <c r="K530" s="1134"/>
      <c r="L530" s="916"/>
    </row>
    <row r="531" spans="1:12" s="103" customFormat="1" ht="15.75" hidden="1" customHeight="1" outlineLevel="1">
      <c r="A531" s="916"/>
      <c r="B531" s="1124"/>
      <c r="C531" s="1128"/>
      <c r="D531" s="1126"/>
      <c r="E531" s="1126"/>
      <c r="F531" s="1132"/>
      <c r="G531" s="100"/>
      <c r="H531" s="824"/>
      <c r="I531" s="1126"/>
      <c r="J531" s="1135"/>
      <c r="K531" s="1135"/>
      <c r="L531" s="916"/>
    </row>
    <row r="532" spans="1:12" s="103" customFormat="1" ht="15.75" hidden="1" customHeight="1" outlineLevel="1">
      <c r="A532" s="916"/>
      <c r="B532" s="1123">
        <v>174</v>
      </c>
      <c r="C532" s="1127"/>
      <c r="D532" s="1125"/>
      <c r="E532" s="1125" t="s">
        <v>18</v>
      </c>
      <c r="F532" s="1130" t="str">
        <f>VLOOKUP(E532,$N$13:$O$17,2,0)</f>
        <v>-</v>
      </c>
      <c r="G532" s="92"/>
      <c r="H532" s="823"/>
      <c r="I532" s="1125"/>
      <c r="J532" s="1133"/>
      <c r="K532" s="1133"/>
      <c r="L532" s="916"/>
    </row>
    <row r="533" spans="1:12" s="103" customFormat="1" ht="15.75" hidden="1" customHeight="1" outlineLevel="1">
      <c r="A533" s="916"/>
      <c r="B533" s="1123"/>
      <c r="C533" s="1127"/>
      <c r="D533" s="1125"/>
      <c r="E533" s="1125"/>
      <c r="F533" s="1130"/>
      <c r="G533" s="95"/>
      <c r="H533" s="823"/>
      <c r="I533" s="1125"/>
      <c r="J533" s="1134"/>
      <c r="K533" s="1134"/>
      <c r="L533" s="916"/>
    </row>
    <row r="534" spans="1:12" s="103" customFormat="1" ht="15.75" hidden="1" customHeight="1" outlineLevel="1">
      <c r="A534" s="916"/>
      <c r="B534" s="1124"/>
      <c r="C534" s="1128"/>
      <c r="D534" s="1126"/>
      <c r="E534" s="1126"/>
      <c r="F534" s="1132"/>
      <c r="G534" s="100"/>
      <c r="H534" s="824"/>
      <c r="I534" s="1126"/>
      <c r="J534" s="1135"/>
      <c r="K534" s="1135"/>
      <c r="L534" s="916"/>
    </row>
    <row r="535" spans="1:12" s="103" customFormat="1" ht="15.75" hidden="1" customHeight="1" outlineLevel="1">
      <c r="A535" s="916"/>
      <c r="B535" s="1123">
        <v>175</v>
      </c>
      <c r="C535" s="1127"/>
      <c r="D535" s="1125"/>
      <c r="E535" s="1125" t="s">
        <v>18</v>
      </c>
      <c r="F535" s="1130" t="str">
        <f>VLOOKUP(E535,$N$13:$O$17,2,0)</f>
        <v>-</v>
      </c>
      <c r="G535" s="92"/>
      <c r="H535" s="823"/>
      <c r="I535" s="1125"/>
      <c r="J535" s="1133"/>
      <c r="K535" s="1133"/>
      <c r="L535" s="916"/>
    </row>
    <row r="536" spans="1:12" s="103" customFormat="1" ht="15.75" hidden="1" customHeight="1" outlineLevel="1">
      <c r="A536" s="916"/>
      <c r="B536" s="1123"/>
      <c r="C536" s="1127"/>
      <c r="D536" s="1125"/>
      <c r="E536" s="1125"/>
      <c r="F536" s="1130"/>
      <c r="G536" s="95"/>
      <c r="H536" s="823"/>
      <c r="I536" s="1125"/>
      <c r="J536" s="1134"/>
      <c r="K536" s="1134"/>
      <c r="L536" s="916"/>
    </row>
    <row r="537" spans="1:12" s="103" customFormat="1" ht="15.75" hidden="1" customHeight="1" outlineLevel="1">
      <c r="A537" s="916"/>
      <c r="B537" s="1124"/>
      <c r="C537" s="1128"/>
      <c r="D537" s="1126"/>
      <c r="E537" s="1126"/>
      <c r="F537" s="1132"/>
      <c r="G537" s="100"/>
      <c r="H537" s="824"/>
      <c r="I537" s="1126"/>
      <c r="J537" s="1135"/>
      <c r="K537" s="1135"/>
      <c r="L537" s="916"/>
    </row>
    <row r="538" spans="1:12" s="103" customFormat="1" ht="15.75" hidden="1" customHeight="1" outlineLevel="1">
      <c r="A538" s="916"/>
      <c r="B538" s="1123">
        <v>176</v>
      </c>
      <c r="C538" s="1127"/>
      <c r="D538" s="1125"/>
      <c r="E538" s="1125" t="s">
        <v>18</v>
      </c>
      <c r="F538" s="1130" t="str">
        <f>VLOOKUP(E538,$N$13:$O$17,2,0)</f>
        <v>-</v>
      </c>
      <c r="G538" s="92"/>
      <c r="H538" s="823"/>
      <c r="I538" s="1125"/>
      <c r="J538" s="1133"/>
      <c r="K538" s="1133"/>
      <c r="L538" s="916"/>
    </row>
    <row r="539" spans="1:12" s="103" customFormat="1" ht="15.75" hidden="1" customHeight="1" outlineLevel="1">
      <c r="A539" s="916"/>
      <c r="B539" s="1123"/>
      <c r="C539" s="1127"/>
      <c r="D539" s="1125"/>
      <c r="E539" s="1125"/>
      <c r="F539" s="1130"/>
      <c r="G539" s="95"/>
      <c r="H539" s="823"/>
      <c r="I539" s="1125"/>
      <c r="J539" s="1134"/>
      <c r="K539" s="1134"/>
      <c r="L539" s="916"/>
    </row>
    <row r="540" spans="1:12" s="103" customFormat="1" ht="15.75" hidden="1" customHeight="1" outlineLevel="1">
      <c r="A540" s="916"/>
      <c r="B540" s="1124"/>
      <c r="C540" s="1128"/>
      <c r="D540" s="1126"/>
      <c r="E540" s="1126"/>
      <c r="F540" s="1132"/>
      <c r="G540" s="100"/>
      <c r="H540" s="824"/>
      <c r="I540" s="1126"/>
      <c r="J540" s="1135"/>
      <c r="K540" s="1135"/>
      <c r="L540" s="916"/>
    </row>
    <row r="541" spans="1:12" s="103" customFormat="1" ht="15.75" hidden="1" customHeight="1" outlineLevel="1">
      <c r="A541" s="916"/>
      <c r="B541" s="1123">
        <v>177</v>
      </c>
      <c r="C541" s="1127"/>
      <c r="D541" s="1125"/>
      <c r="E541" s="1125" t="s">
        <v>18</v>
      </c>
      <c r="F541" s="1130" t="str">
        <f>VLOOKUP(E541,$N$13:$O$17,2,0)</f>
        <v>-</v>
      </c>
      <c r="G541" s="92"/>
      <c r="H541" s="823"/>
      <c r="I541" s="1125"/>
      <c r="J541" s="1133"/>
      <c r="K541" s="1133"/>
      <c r="L541" s="916"/>
    </row>
    <row r="542" spans="1:12" s="103" customFormat="1" ht="15.75" hidden="1" customHeight="1" outlineLevel="1">
      <c r="A542" s="916"/>
      <c r="B542" s="1123"/>
      <c r="C542" s="1127"/>
      <c r="D542" s="1125"/>
      <c r="E542" s="1125"/>
      <c r="F542" s="1130"/>
      <c r="G542" s="95"/>
      <c r="H542" s="823"/>
      <c r="I542" s="1125"/>
      <c r="J542" s="1134"/>
      <c r="K542" s="1134"/>
      <c r="L542" s="916"/>
    </row>
    <row r="543" spans="1:12" s="103" customFormat="1" ht="15.75" hidden="1" customHeight="1" outlineLevel="1">
      <c r="A543" s="916"/>
      <c r="B543" s="1124"/>
      <c r="C543" s="1128"/>
      <c r="D543" s="1126"/>
      <c r="E543" s="1126"/>
      <c r="F543" s="1132"/>
      <c r="G543" s="100"/>
      <c r="H543" s="824"/>
      <c r="I543" s="1126"/>
      <c r="J543" s="1135"/>
      <c r="K543" s="1135"/>
      <c r="L543" s="916"/>
    </row>
    <row r="544" spans="1:12" s="103" customFormat="1" ht="15.75" hidden="1" customHeight="1" outlineLevel="1">
      <c r="A544" s="916"/>
      <c r="B544" s="1123">
        <v>178</v>
      </c>
      <c r="C544" s="1127"/>
      <c r="D544" s="1125"/>
      <c r="E544" s="1125" t="s">
        <v>18</v>
      </c>
      <c r="F544" s="1130" t="str">
        <f>VLOOKUP(E544,$N$13:$O$17,2,0)</f>
        <v>-</v>
      </c>
      <c r="G544" s="92"/>
      <c r="H544" s="823"/>
      <c r="I544" s="1125"/>
      <c r="J544" s="1133"/>
      <c r="K544" s="1133"/>
      <c r="L544" s="916"/>
    </row>
    <row r="545" spans="1:12" s="103" customFormat="1" ht="15.75" hidden="1" customHeight="1" outlineLevel="1">
      <c r="A545" s="916"/>
      <c r="B545" s="1123"/>
      <c r="C545" s="1127"/>
      <c r="D545" s="1125"/>
      <c r="E545" s="1125"/>
      <c r="F545" s="1130"/>
      <c r="G545" s="95"/>
      <c r="H545" s="823"/>
      <c r="I545" s="1125"/>
      <c r="J545" s="1134"/>
      <c r="K545" s="1134"/>
      <c r="L545" s="916"/>
    </row>
    <row r="546" spans="1:12" s="103" customFormat="1" ht="15.75" hidden="1" customHeight="1" outlineLevel="1">
      <c r="A546" s="916"/>
      <c r="B546" s="1124"/>
      <c r="C546" s="1128"/>
      <c r="D546" s="1126"/>
      <c r="E546" s="1126"/>
      <c r="F546" s="1132"/>
      <c r="G546" s="100"/>
      <c r="H546" s="824"/>
      <c r="I546" s="1126"/>
      <c r="J546" s="1135"/>
      <c r="K546" s="1135"/>
      <c r="L546" s="916"/>
    </row>
    <row r="547" spans="1:12" s="103" customFormat="1" ht="15.75" hidden="1" customHeight="1" outlineLevel="1">
      <c r="A547" s="916"/>
      <c r="B547" s="1123">
        <v>179</v>
      </c>
      <c r="C547" s="1127"/>
      <c r="D547" s="1125"/>
      <c r="E547" s="1125" t="s">
        <v>18</v>
      </c>
      <c r="F547" s="1130" t="str">
        <f>VLOOKUP(E547,$N$13:$O$17,2,0)</f>
        <v>-</v>
      </c>
      <c r="G547" s="92"/>
      <c r="H547" s="823"/>
      <c r="I547" s="1125"/>
      <c r="J547" s="1133"/>
      <c r="K547" s="1133"/>
      <c r="L547" s="916"/>
    </row>
    <row r="548" spans="1:12" s="103" customFormat="1" ht="15.75" hidden="1" customHeight="1" outlineLevel="1">
      <c r="A548" s="916"/>
      <c r="B548" s="1123"/>
      <c r="C548" s="1127"/>
      <c r="D548" s="1125"/>
      <c r="E548" s="1125"/>
      <c r="F548" s="1130"/>
      <c r="G548" s="95"/>
      <c r="H548" s="823"/>
      <c r="I548" s="1125"/>
      <c r="J548" s="1134"/>
      <c r="K548" s="1134"/>
      <c r="L548" s="916"/>
    </row>
    <row r="549" spans="1:12" s="103" customFormat="1" ht="15.75" hidden="1" customHeight="1" outlineLevel="1">
      <c r="A549" s="916"/>
      <c r="B549" s="1124"/>
      <c r="C549" s="1128"/>
      <c r="D549" s="1126"/>
      <c r="E549" s="1126"/>
      <c r="F549" s="1132"/>
      <c r="G549" s="100"/>
      <c r="H549" s="824"/>
      <c r="I549" s="1126"/>
      <c r="J549" s="1135"/>
      <c r="K549" s="1135"/>
      <c r="L549" s="916"/>
    </row>
    <row r="550" spans="1:12" s="103" customFormat="1" ht="15.75" hidden="1" customHeight="1" outlineLevel="1">
      <c r="A550" s="916"/>
      <c r="B550" s="1123">
        <v>180</v>
      </c>
      <c r="C550" s="1127"/>
      <c r="D550" s="1125"/>
      <c r="E550" s="1125" t="s">
        <v>18</v>
      </c>
      <c r="F550" s="1130" t="str">
        <f>VLOOKUP(E550,$N$13:$O$17,2,0)</f>
        <v>-</v>
      </c>
      <c r="G550" s="92"/>
      <c r="H550" s="823"/>
      <c r="I550" s="1125"/>
      <c r="J550" s="1133"/>
      <c r="K550" s="1133"/>
      <c r="L550" s="916"/>
    </row>
    <row r="551" spans="1:12" s="103" customFormat="1" ht="15.75" hidden="1" customHeight="1" outlineLevel="1">
      <c r="A551" s="916"/>
      <c r="B551" s="1123"/>
      <c r="C551" s="1127"/>
      <c r="D551" s="1125"/>
      <c r="E551" s="1125"/>
      <c r="F551" s="1130"/>
      <c r="G551" s="95"/>
      <c r="H551" s="823"/>
      <c r="I551" s="1125"/>
      <c r="J551" s="1134"/>
      <c r="K551" s="1134"/>
      <c r="L551" s="916"/>
    </row>
    <row r="552" spans="1:12" s="103" customFormat="1" ht="15.75" hidden="1" customHeight="1" outlineLevel="1">
      <c r="A552" s="916"/>
      <c r="B552" s="1124"/>
      <c r="C552" s="1128"/>
      <c r="D552" s="1126"/>
      <c r="E552" s="1126"/>
      <c r="F552" s="1132"/>
      <c r="G552" s="100"/>
      <c r="H552" s="824"/>
      <c r="I552" s="1126"/>
      <c r="J552" s="1135"/>
      <c r="K552" s="1135"/>
      <c r="L552" s="916"/>
    </row>
    <row r="553" spans="1:12" s="103" customFormat="1" ht="15.75" hidden="1" customHeight="1" outlineLevel="1">
      <c r="A553" s="916"/>
      <c r="B553" s="1123">
        <v>181</v>
      </c>
      <c r="C553" s="1127"/>
      <c r="D553" s="1125"/>
      <c r="E553" s="1125" t="s">
        <v>18</v>
      </c>
      <c r="F553" s="1130" t="str">
        <f>VLOOKUP(E553,$N$13:$O$17,2,0)</f>
        <v>-</v>
      </c>
      <c r="G553" s="92"/>
      <c r="H553" s="823"/>
      <c r="I553" s="1125"/>
      <c r="J553" s="1133"/>
      <c r="K553" s="1133"/>
      <c r="L553" s="916"/>
    </row>
    <row r="554" spans="1:12" s="103" customFormat="1" ht="15.75" hidden="1" customHeight="1" outlineLevel="1">
      <c r="A554" s="916"/>
      <c r="B554" s="1123"/>
      <c r="C554" s="1127"/>
      <c r="D554" s="1125"/>
      <c r="E554" s="1125"/>
      <c r="F554" s="1130"/>
      <c r="G554" s="95"/>
      <c r="H554" s="823"/>
      <c r="I554" s="1125"/>
      <c r="J554" s="1134"/>
      <c r="K554" s="1134"/>
      <c r="L554" s="916"/>
    </row>
    <row r="555" spans="1:12" s="103" customFormat="1" ht="15.75" hidden="1" customHeight="1" outlineLevel="1">
      <c r="A555" s="916"/>
      <c r="B555" s="1124"/>
      <c r="C555" s="1128"/>
      <c r="D555" s="1126"/>
      <c r="E555" s="1126"/>
      <c r="F555" s="1132"/>
      <c r="G555" s="100"/>
      <c r="H555" s="824"/>
      <c r="I555" s="1126"/>
      <c r="J555" s="1135"/>
      <c r="K555" s="1135"/>
      <c r="L555" s="916"/>
    </row>
    <row r="556" spans="1:12" s="103" customFormat="1" ht="15.75" hidden="1" customHeight="1" outlineLevel="1">
      <c r="A556" s="916"/>
      <c r="B556" s="1123">
        <v>182</v>
      </c>
      <c r="C556" s="1127"/>
      <c r="D556" s="1125"/>
      <c r="E556" s="1125" t="s">
        <v>18</v>
      </c>
      <c r="F556" s="1130" t="str">
        <f>VLOOKUP(E556,$N$13:$O$17,2,0)</f>
        <v>-</v>
      </c>
      <c r="G556" s="92"/>
      <c r="H556" s="823"/>
      <c r="I556" s="1125"/>
      <c r="J556" s="1133"/>
      <c r="K556" s="1133"/>
      <c r="L556" s="916"/>
    </row>
    <row r="557" spans="1:12" s="103" customFormat="1" ht="15.75" hidden="1" customHeight="1" outlineLevel="1">
      <c r="A557" s="916"/>
      <c r="B557" s="1123"/>
      <c r="C557" s="1127"/>
      <c r="D557" s="1125"/>
      <c r="E557" s="1125"/>
      <c r="F557" s="1130"/>
      <c r="G557" s="95"/>
      <c r="H557" s="823"/>
      <c r="I557" s="1125"/>
      <c r="J557" s="1134"/>
      <c r="K557" s="1134"/>
      <c r="L557" s="916"/>
    </row>
    <row r="558" spans="1:12" s="103" customFormat="1" ht="15.75" hidden="1" customHeight="1" outlineLevel="1">
      <c r="A558" s="916"/>
      <c r="B558" s="1124"/>
      <c r="C558" s="1128"/>
      <c r="D558" s="1126"/>
      <c r="E558" s="1126"/>
      <c r="F558" s="1132"/>
      <c r="G558" s="100"/>
      <c r="H558" s="824"/>
      <c r="I558" s="1126"/>
      <c r="J558" s="1135"/>
      <c r="K558" s="1135"/>
      <c r="L558" s="916"/>
    </row>
    <row r="559" spans="1:12" s="103" customFormat="1" ht="15.75" hidden="1" customHeight="1" outlineLevel="1">
      <c r="A559" s="916"/>
      <c r="B559" s="1123">
        <v>183</v>
      </c>
      <c r="C559" s="1127"/>
      <c r="D559" s="1125"/>
      <c r="E559" s="1125" t="s">
        <v>18</v>
      </c>
      <c r="F559" s="1130" t="str">
        <f>VLOOKUP(E559,$N$13:$O$17,2,0)</f>
        <v>-</v>
      </c>
      <c r="G559" s="92"/>
      <c r="H559" s="823"/>
      <c r="I559" s="1125"/>
      <c r="J559" s="1133"/>
      <c r="K559" s="1133"/>
      <c r="L559" s="916"/>
    </row>
    <row r="560" spans="1:12" s="103" customFormat="1" ht="15.75" hidden="1" customHeight="1" outlineLevel="1">
      <c r="A560" s="916"/>
      <c r="B560" s="1123"/>
      <c r="C560" s="1127"/>
      <c r="D560" s="1125"/>
      <c r="E560" s="1125"/>
      <c r="F560" s="1130"/>
      <c r="G560" s="95"/>
      <c r="H560" s="823"/>
      <c r="I560" s="1125"/>
      <c r="J560" s="1134"/>
      <c r="K560" s="1134"/>
      <c r="L560" s="916"/>
    </row>
    <row r="561" spans="1:12" s="103" customFormat="1" ht="15.75" hidden="1" customHeight="1" outlineLevel="1">
      <c r="A561" s="916"/>
      <c r="B561" s="1124"/>
      <c r="C561" s="1128"/>
      <c r="D561" s="1126"/>
      <c r="E561" s="1126"/>
      <c r="F561" s="1132"/>
      <c r="G561" s="100"/>
      <c r="H561" s="824"/>
      <c r="I561" s="1126"/>
      <c r="J561" s="1135"/>
      <c r="K561" s="1135"/>
      <c r="L561" s="916"/>
    </row>
    <row r="562" spans="1:12" s="103" customFormat="1" ht="15.75" hidden="1" customHeight="1" outlineLevel="1">
      <c r="A562" s="916"/>
      <c r="B562" s="1123">
        <v>184</v>
      </c>
      <c r="C562" s="1127"/>
      <c r="D562" s="1125"/>
      <c r="E562" s="1125" t="s">
        <v>18</v>
      </c>
      <c r="F562" s="1130" t="str">
        <f>VLOOKUP(E562,$N$13:$O$17,2,0)</f>
        <v>-</v>
      </c>
      <c r="G562" s="92"/>
      <c r="H562" s="823"/>
      <c r="I562" s="1125"/>
      <c r="J562" s="1133"/>
      <c r="K562" s="1133"/>
      <c r="L562" s="916"/>
    </row>
    <row r="563" spans="1:12" s="103" customFormat="1" ht="15.75" hidden="1" customHeight="1" outlineLevel="1">
      <c r="A563" s="916"/>
      <c r="B563" s="1123"/>
      <c r="C563" s="1127"/>
      <c r="D563" s="1125"/>
      <c r="E563" s="1125"/>
      <c r="F563" s="1130"/>
      <c r="G563" s="95"/>
      <c r="H563" s="823"/>
      <c r="I563" s="1125"/>
      <c r="J563" s="1134"/>
      <c r="K563" s="1134"/>
      <c r="L563" s="916"/>
    </row>
    <row r="564" spans="1:12" s="103" customFormat="1" ht="15.75" hidden="1" customHeight="1" outlineLevel="1">
      <c r="A564" s="916"/>
      <c r="B564" s="1124"/>
      <c r="C564" s="1128"/>
      <c r="D564" s="1126"/>
      <c r="E564" s="1126"/>
      <c r="F564" s="1132"/>
      <c r="G564" s="100"/>
      <c r="H564" s="824"/>
      <c r="I564" s="1126"/>
      <c r="J564" s="1135"/>
      <c r="K564" s="1135"/>
      <c r="L564" s="916"/>
    </row>
    <row r="565" spans="1:12" s="103" customFormat="1" ht="15.75" hidden="1" customHeight="1" outlineLevel="1">
      <c r="A565" s="916"/>
      <c r="B565" s="1123">
        <v>185</v>
      </c>
      <c r="C565" s="1127"/>
      <c r="D565" s="1125"/>
      <c r="E565" s="1125" t="s">
        <v>18</v>
      </c>
      <c r="F565" s="1130" t="str">
        <f>VLOOKUP(E565,$N$13:$O$17,2,0)</f>
        <v>-</v>
      </c>
      <c r="G565" s="92"/>
      <c r="H565" s="823"/>
      <c r="I565" s="1125"/>
      <c r="J565" s="1133"/>
      <c r="K565" s="1133"/>
      <c r="L565" s="916"/>
    </row>
    <row r="566" spans="1:12" s="103" customFormat="1" ht="15.75" hidden="1" customHeight="1" outlineLevel="1">
      <c r="A566" s="916"/>
      <c r="B566" s="1123"/>
      <c r="C566" s="1127"/>
      <c r="D566" s="1125"/>
      <c r="E566" s="1125"/>
      <c r="F566" s="1130"/>
      <c r="G566" s="95"/>
      <c r="H566" s="823"/>
      <c r="I566" s="1125"/>
      <c r="J566" s="1134"/>
      <c r="K566" s="1134"/>
      <c r="L566" s="916"/>
    </row>
    <row r="567" spans="1:12" s="103" customFormat="1" ht="15.75" hidden="1" customHeight="1" outlineLevel="1">
      <c r="A567" s="916"/>
      <c r="B567" s="1124"/>
      <c r="C567" s="1128"/>
      <c r="D567" s="1126"/>
      <c r="E567" s="1126"/>
      <c r="F567" s="1132"/>
      <c r="G567" s="100"/>
      <c r="H567" s="824"/>
      <c r="I567" s="1126"/>
      <c r="J567" s="1135"/>
      <c r="K567" s="1135"/>
      <c r="L567" s="916"/>
    </row>
    <row r="568" spans="1:12" s="103" customFormat="1" ht="15.75" hidden="1" customHeight="1" outlineLevel="1">
      <c r="A568" s="916"/>
      <c r="B568" s="1123">
        <v>186</v>
      </c>
      <c r="C568" s="1127"/>
      <c r="D568" s="1125"/>
      <c r="E568" s="1125" t="s">
        <v>18</v>
      </c>
      <c r="F568" s="1130" t="str">
        <f>VLOOKUP(E568,$N$13:$O$17,2,0)</f>
        <v>-</v>
      </c>
      <c r="G568" s="92"/>
      <c r="H568" s="823"/>
      <c r="I568" s="1125"/>
      <c r="J568" s="1133"/>
      <c r="K568" s="1133"/>
      <c r="L568" s="916"/>
    </row>
    <row r="569" spans="1:12" s="103" customFormat="1" ht="15.75" hidden="1" customHeight="1" outlineLevel="1">
      <c r="A569" s="916"/>
      <c r="B569" s="1123"/>
      <c r="C569" s="1127"/>
      <c r="D569" s="1125"/>
      <c r="E569" s="1125"/>
      <c r="F569" s="1130"/>
      <c r="G569" s="95"/>
      <c r="H569" s="823"/>
      <c r="I569" s="1125"/>
      <c r="J569" s="1134"/>
      <c r="K569" s="1134"/>
      <c r="L569" s="916"/>
    </row>
    <row r="570" spans="1:12" s="103" customFormat="1" ht="15.75" hidden="1" customHeight="1" outlineLevel="1">
      <c r="A570" s="916"/>
      <c r="B570" s="1124"/>
      <c r="C570" s="1128"/>
      <c r="D570" s="1126"/>
      <c r="E570" s="1126"/>
      <c r="F570" s="1132"/>
      <c r="G570" s="100"/>
      <c r="H570" s="824"/>
      <c r="I570" s="1126"/>
      <c r="J570" s="1135"/>
      <c r="K570" s="1135"/>
      <c r="L570" s="916"/>
    </row>
    <row r="571" spans="1:12" s="103" customFormat="1" ht="15.75" hidden="1" customHeight="1" outlineLevel="1">
      <c r="A571" s="916"/>
      <c r="B571" s="1123">
        <v>187</v>
      </c>
      <c r="C571" s="1127"/>
      <c r="D571" s="1125"/>
      <c r="E571" s="1125" t="s">
        <v>18</v>
      </c>
      <c r="F571" s="1130" t="str">
        <f>VLOOKUP(E571,$N$13:$O$17,2,0)</f>
        <v>-</v>
      </c>
      <c r="G571" s="92"/>
      <c r="H571" s="823"/>
      <c r="I571" s="1125"/>
      <c r="J571" s="1133"/>
      <c r="K571" s="1133"/>
      <c r="L571" s="916"/>
    </row>
    <row r="572" spans="1:12" s="103" customFormat="1" ht="15.75" hidden="1" customHeight="1" outlineLevel="1">
      <c r="A572" s="916"/>
      <c r="B572" s="1123"/>
      <c r="C572" s="1127"/>
      <c r="D572" s="1125"/>
      <c r="E572" s="1125"/>
      <c r="F572" s="1130"/>
      <c r="G572" s="95"/>
      <c r="H572" s="823"/>
      <c r="I572" s="1125"/>
      <c r="J572" s="1134"/>
      <c r="K572" s="1134"/>
      <c r="L572" s="916"/>
    </row>
    <row r="573" spans="1:12" s="103" customFormat="1" ht="15.75" hidden="1" customHeight="1" outlineLevel="1">
      <c r="A573" s="916"/>
      <c r="B573" s="1124"/>
      <c r="C573" s="1128"/>
      <c r="D573" s="1126"/>
      <c r="E573" s="1126"/>
      <c r="F573" s="1132"/>
      <c r="G573" s="100"/>
      <c r="H573" s="824"/>
      <c r="I573" s="1126"/>
      <c r="J573" s="1135"/>
      <c r="K573" s="1135"/>
      <c r="L573" s="916"/>
    </row>
    <row r="574" spans="1:12" s="103" customFormat="1" ht="15.75" hidden="1" customHeight="1" outlineLevel="1">
      <c r="A574" s="916"/>
      <c r="B574" s="1123">
        <v>188</v>
      </c>
      <c r="C574" s="1127"/>
      <c r="D574" s="1125"/>
      <c r="E574" s="1125" t="s">
        <v>18</v>
      </c>
      <c r="F574" s="1130" t="str">
        <f>VLOOKUP(E574,$N$13:$O$17,2,0)</f>
        <v>-</v>
      </c>
      <c r="G574" s="92"/>
      <c r="H574" s="823"/>
      <c r="I574" s="1125"/>
      <c r="J574" s="1133"/>
      <c r="K574" s="1133"/>
      <c r="L574" s="916"/>
    </row>
    <row r="575" spans="1:12" s="103" customFormat="1" ht="15.75" hidden="1" customHeight="1" outlineLevel="1">
      <c r="A575" s="916"/>
      <c r="B575" s="1123"/>
      <c r="C575" s="1127"/>
      <c r="D575" s="1125"/>
      <c r="E575" s="1125"/>
      <c r="F575" s="1130"/>
      <c r="G575" s="95"/>
      <c r="H575" s="823"/>
      <c r="I575" s="1125"/>
      <c r="J575" s="1134"/>
      <c r="K575" s="1134"/>
      <c r="L575" s="916"/>
    </row>
    <row r="576" spans="1:12" s="103" customFormat="1" ht="15.75" hidden="1" customHeight="1" outlineLevel="1">
      <c r="A576" s="916"/>
      <c r="B576" s="1124"/>
      <c r="C576" s="1128"/>
      <c r="D576" s="1126"/>
      <c r="E576" s="1126"/>
      <c r="F576" s="1132"/>
      <c r="G576" s="100"/>
      <c r="H576" s="824"/>
      <c r="I576" s="1126"/>
      <c r="J576" s="1135"/>
      <c r="K576" s="1135"/>
      <c r="L576" s="916"/>
    </row>
    <row r="577" spans="1:12" s="103" customFormat="1" ht="15.75" hidden="1" customHeight="1" outlineLevel="1">
      <c r="A577" s="916"/>
      <c r="B577" s="1123">
        <v>189</v>
      </c>
      <c r="C577" s="1127"/>
      <c r="D577" s="1125"/>
      <c r="E577" s="1125" t="s">
        <v>18</v>
      </c>
      <c r="F577" s="1130" t="str">
        <f>VLOOKUP(E577,$N$13:$O$17,2,0)</f>
        <v>-</v>
      </c>
      <c r="G577" s="92"/>
      <c r="H577" s="823"/>
      <c r="I577" s="1125"/>
      <c r="J577" s="1133"/>
      <c r="K577" s="1133"/>
      <c r="L577" s="916"/>
    </row>
    <row r="578" spans="1:12" s="103" customFormat="1" ht="15.75" hidden="1" customHeight="1" outlineLevel="1">
      <c r="A578" s="916"/>
      <c r="B578" s="1123"/>
      <c r="C578" s="1127"/>
      <c r="D578" s="1125"/>
      <c r="E578" s="1125"/>
      <c r="F578" s="1130"/>
      <c r="G578" s="95"/>
      <c r="H578" s="823"/>
      <c r="I578" s="1125"/>
      <c r="J578" s="1134"/>
      <c r="K578" s="1134"/>
      <c r="L578" s="916"/>
    </row>
    <row r="579" spans="1:12" s="103" customFormat="1" ht="15.75" hidden="1" customHeight="1" outlineLevel="1">
      <c r="A579" s="916"/>
      <c r="B579" s="1124"/>
      <c r="C579" s="1128"/>
      <c r="D579" s="1126"/>
      <c r="E579" s="1126"/>
      <c r="F579" s="1132"/>
      <c r="G579" s="100"/>
      <c r="H579" s="824"/>
      <c r="I579" s="1126"/>
      <c r="J579" s="1135"/>
      <c r="K579" s="1135"/>
      <c r="L579" s="916"/>
    </row>
    <row r="580" spans="1:12" s="103" customFormat="1" ht="15.75" hidden="1" customHeight="1" outlineLevel="1">
      <c r="A580" s="916"/>
      <c r="B580" s="1123">
        <v>190</v>
      </c>
      <c r="C580" s="1127"/>
      <c r="D580" s="1125"/>
      <c r="E580" s="1125" t="s">
        <v>18</v>
      </c>
      <c r="F580" s="1130" t="str">
        <f>VLOOKUP(E580,$N$13:$O$17,2,0)</f>
        <v>-</v>
      </c>
      <c r="G580" s="92"/>
      <c r="H580" s="823"/>
      <c r="I580" s="1125"/>
      <c r="J580" s="1133"/>
      <c r="K580" s="1133"/>
      <c r="L580" s="916"/>
    </row>
    <row r="581" spans="1:12" s="103" customFormat="1" ht="15.75" hidden="1" customHeight="1" outlineLevel="1">
      <c r="A581" s="916"/>
      <c r="B581" s="1123"/>
      <c r="C581" s="1127"/>
      <c r="D581" s="1125"/>
      <c r="E581" s="1125"/>
      <c r="F581" s="1130"/>
      <c r="G581" s="95"/>
      <c r="H581" s="823"/>
      <c r="I581" s="1125"/>
      <c r="J581" s="1134"/>
      <c r="K581" s="1134"/>
      <c r="L581" s="916"/>
    </row>
    <row r="582" spans="1:12" s="103" customFormat="1" ht="15.75" hidden="1" customHeight="1" outlineLevel="1">
      <c r="A582" s="916"/>
      <c r="B582" s="1124"/>
      <c r="C582" s="1128"/>
      <c r="D582" s="1126"/>
      <c r="E582" s="1126"/>
      <c r="F582" s="1132"/>
      <c r="G582" s="100"/>
      <c r="H582" s="824"/>
      <c r="I582" s="1126"/>
      <c r="J582" s="1135"/>
      <c r="K582" s="1135"/>
      <c r="L582" s="916"/>
    </row>
    <row r="583" spans="1:12" s="103" customFormat="1" ht="15.75" hidden="1" customHeight="1" outlineLevel="1">
      <c r="A583" s="916"/>
      <c r="B583" s="1123">
        <v>191</v>
      </c>
      <c r="C583" s="1127"/>
      <c r="D583" s="1125"/>
      <c r="E583" s="1125" t="s">
        <v>18</v>
      </c>
      <c r="F583" s="1130" t="str">
        <f>VLOOKUP(E583,$N$13:$O$17,2,0)</f>
        <v>-</v>
      </c>
      <c r="G583" s="92"/>
      <c r="H583" s="823"/>
      <c r="I583" s="1125"/>
      <c r="J583" s="1133"/>
      <c r="K583" s="1133"/>
      <c r="L583" s="916"/>
    </row>
    <row r="584" spans="1:12" s="103" customFormat="1" ht="15.75" hidden="1" customHeight="1" outlineLevel="1">
      <c r="A584" s="916"/>
      <c r="B584" s="1123"/>
      <c r="C584" s="1127"/>
      <c r="D584" s="1125"/>
      <c r="E584" s="1125"/>
      <c r="F584" s="1130"/>
      <c r="G584" s="95"/>
      <c r="H584" s="823"/>
      <c r="I584" s="1125"/>
      <c r="J584" s="1134"/>
      <c r="K584" s="1134"/>
      <c r="L584" s="916"/>
    </row>
    <row r="585" spans="1:12" s="103" customFormat="1" ht="15.75" hidden="1" customHeight="1" outlineLevel="1">
      <c r="A585" s="916"/>
      <c r="B585" s="1124"/>
      <c r="C585" s="1128"/>
      <c r="D585" s="1126"/>
      <c r="E585" s="1126"/>
      <c r="F585" s="1132"/>
      <c r="G585" s="100"/>
      <c r="H585" s="824"/>
      <c r="I585" s="1126"/>
      <c r="J585" s="1135"/>
      <c r="K585" s="1135"/>
      <c r="L585" s="916"/>
    </row>
    <row r="586" spans="1:12" s="103" customFormat="1" ht="15.75" hidden="1" customHeight="1" outlineLevel="1">
      <c r="A586" s="916"/>
      <c r="B586" s="1123">
        <v>192</v>
      </c>
      <c r="C586" s="1127"/>
      <c r="D586" s="1125"/>
      <c r="E586" s="1125" t="s">
        <v>18</v>
      </c>
      <c r="F586" s="1130" t="str">
        <f>VLOOKUP(E586,$N$13:$O$17,2,0)</f>
        <v>-</v>
      </c>
      <c r="G586" s="92"/>
      <c r="H586" s="823"/>
      <c r="I586" s="1125"/>
      <c r="J586" s="1133"/>
      <c r="K586" s="1133"/>
      <c r="L586" s="916"/>
    </row>
    <row r="587" spans="1:12" s="103" customFormat="1" ht="15.75" hidden="1" customHeight="1" outlineLevel="1">
      <c r="A587" s="916"/>
      <c r="B587" s="1123"/>
      <c r="C587" s="1127"/>
      <c r="D587" s="1125"/>
      <c r="E587" s="1125"/>
      <c r="F587" s="1130"/>
      <c r="G587" s="95"/>
      <c r="H587" s="823"/>
      <c r="I587" s="1125"/>
      <c r="J587" s="1134"/>
      <c r="K587" s="1134"/>
      <c r="L587" s="916"/>
    </row>
    <row r="588" spans="1:12" s="103" customFormat="1" ht="15.75" hidden="1" customHeight="1" outlineLevel="1">
      <c r="A588" s="916"/>
      <c r="B588" s="1124"/>
      <c r="C588" s="1128"/>
      <c r="D588" s="1126"/>
      <c r="E588" s="1126"/>
      <c r="F588" s="1132"/>
      <c r="G588" s="100"/>
      <c r="H588" s="824"/>
      <c r="I588" s="1126"/>
      <c r="J588" s="1135"/>
      <c r="K588" s="1135"/>
      <c r="L588" s="916"/>
    </row>
    <row r="589" spans="1:12" s="103" customFormat="1" ht="15.75" hidden="1" customHeight="1" outlineLevel="1">
      <c r="A589" s="916"/>
      <c r="B589" s="1123">
        <v>193</v>
      </c>
      <c r="C589" s="1127"/>
      <c r="D589" s="1125"/>
      <c r="E589" s="1125" t="s">
        <v>18</v>
      </c>
      <c r="F589" s="1130" t="str">
        <f>VLOOKUP(E589,$N$13:$O$17,2,0)</f>
        <v>-</v>
      </c>
      <c r="G589" s="92"/>
      <c r="H589" s="823"/>
      <c r="I589" s="1125"/>
      <c r="J589" s="1133"/>
      <c r="K589" s="1133"/>
      <c r="L589" s="916"/>
    </row>
    <row r="590" spans="1:12" s="103" customFormat="1" ht="15.75" hidden="1" customHeight="1" outlineLevel="1">
      <c r="A590" s="916"/>
      <c r="B590" s="1123"/>
      <c r="C590" s="1127"/>
      <c r="D590" s="1125"/>
      <c r="E590" s="1125"/>
      <c r="F590" s="1130"/>
      <c r="G590" s="95"/>
      <c r="H590" s="823"/>
      <c r="I590" s="1125"/>
      <c r="J590" s="1134"/>
      <c r="K590" s="1134"/>
      <c r="L590" s="916"/>
    </row>
    <row r="591" spans="1:12" s="103" customFormat="1" ht="15.75" hidden="1" customHeight="1" outlineLevel="1">
      <c r="A591" s="916"/>
      <c r="B591" s="1124"/>
      <c r="C591" s="1128"/>
      <c r="D591" s="1126"/>
      <c r="E591" s="1126"/>
      <c r="F591" s="1132"/>
      <c r="G591" s="100"/>
      <c r="H591" s="824"/>
      <c r="I591" s="1126"/>
      <c r="J591" s="1135"/>
      <c r="K591" s="1135"/>
      <c r="L591" s="916"/>
    </row>
    <row r="592" spans="1:12" s="103" customFormat="1" ht="15.75" hidden="1" customHeight="1" outlineLevel="1">
      <c r="A592" s="916"/>
      <c r="B592" s="1123">
        <v>194</v>
      </c>
      <c r="C592" s="1127"/>
      <c r="D592" s="1125"/>
      <c r="E592" s="1125" t="s">
        <v>18</v>
      </c>
      <c r="F592" s="1130" t="str">
        <f>VLOOKUP(E592,$N$13:$O$17,2,0)</f>
        <v>-</v>
      </c>
      <c r="G592" s="92"/>
      <c r="H592" s="823"/>
      <c r="I592" s="1125"/>
      <c r="J592" s="1133"/>
      <c r="K592" s="1133"/>
      <c r="L592" s="916"/>
    </row>
    <row r="593" spans="1:12" s="103" customFormat="1" ht="15.75" hidden="1" customHeight="1" outlineLevel="1">
      <c r="A593" s="916"/>
      <c r="B593" s="1123"/>
      <c r="C593" s="1127"/>
      <c r="D593" s="1125"/>
      <c r="E593" s="1125"/>
      <c r="F593" s="1130"/>
      <c r="G593" s="95"/>
      <c r="H593" s="823"/>
      <c r="I593" s="1125"/>
      <c r="J593" s="1134"/>
      <c r="K593" s="1134"/>
      <c r="L593" s="916"/>
    </row>
    <row r="594" spans="1:12" s="103" customFormat="1" ht="15.75" hidden="1" customHeight="1" outlineLevel="1">
      <c r="A594" s="916"/>
      <c r="B594" s="1124"/>
      <c r="C594" s="1128"/>
      <c r="D594" s="1126"/>
      <c r="E594" s="1126"/>
      <c r="F594" s="1132"/>
      <c r="G594" s="100"/>
      <c r="H594" s="824"/>
      <c r="I594" s="1126"/>
      <c r="J594" s="1135"/>
      <c r="K594" s="1135"/>
      <c r="L594" s="916"/>
    </row>
    <row r="595" spans="1:12" s="103" customFormat="1" ht="15.75" hidden="1" customHeight="1" outlineLevel="1">
      <c r="A595" s="916"/>
      <c r="B595" s="1123">
        <v>195</v>
      </c>
      <c r="C595" s="1127"/>
      <c r="D595" s="1125"/>
      <c r="E595" s="1125" t="s">
        <v>18</v>
      </c>
      <c r="F595" s="1130" t="str">
        <f>VLOOKUP(E595,$N$13:$O$17,2,0)</f>
        <v>-</v>
      </c>
      <c r="G595" s="92"/>
      <c r="H595" s="823"/>
      <c r="I595" s="1125"/>
      <c r="J595" s="1133"/>
      <c r="K595" s="1133"/>
      <c r="L595" s="916"/>
    </row>
    <row r="596" spans="1:12" s="103" customFormat="1" ht="15.75" hidden="1" customHeight="1" outlineLevel="1">
      <c r="A596" s="916"/>
      <c r="B596" s="1123"/>
      <c r="C596" s="1127"/>
      <c r="D596" s="1125"/>
      <c r="E596" s="1125"/>
      <c r="F596" s="1130"/>
      <c r="G596" s="95"/>
      <c r="H596" s="823"/>
      <c r="I596" s="1125"/>
      <c r="J596" s="1134"/>
      <c r="K596" s="1134"/>
      <c r="L596" s="916"/>
    </row>
    <row r="597" spans="1:12" s="103" customFormat="1" ht="15.75" hidden="1" customHeight="1" outlineLevel="1">
      <c r="A597" s="916"/>
      <c r="B597" s="1124"/>
      <c r="C597" s="1128"/>
      <c r="D597" s="1126"/>
      <c r="E597" s="1126"/>
      <c r="F597" s="1132"/>
      <c r="G597" s="100"/>
      <c r="H597" s="824"/>
      <c r="I597" s="1126"/>
      <c r="J597" s="1135"/>
      <c r="K597" s="1135"/>
      <c r="L597" s="916"/>
    </row>
    <row r="598" spans="1:12" s="103" customFormat="1" ht="15.75" hidden="1" customHeight="1" outlineLevel="1">
      <c r="A598" s="916"/>
      <c r="B598" s="1123">
        <v>196</v>
      </c>
      <c r="C598" s="1127"/>
      <c r="D598" s="1125"/>
      <c r="E598" s="1125" t="s">
        <v>18</v>
      </c>
      <c r="F598" s="1130" t="str">
        <f>VLOOKUP(E598,$N$13:$O$17,2,0)</f>
        <v>-</v>
      </c>
      <c r="G598" s="92"/>
      <c r="H598" s="823"/>
      <c r="I598" s="1125"/>
      <c r="J598" s="1133"/>
      <c r="K598" s="1133"/>
      <c r="L598" s="916"/>
    </row>
    <row r="599" spans="1:12" s="103" customFormat="1" ht="15.75" hidden="1" customHeight="1" outlineLevel="1">
      <c r="A599" s="916"/>
      <c r="B599" s="1123"/>
      <c r="C599" s="1127"/>
      <c r="D599" s="1125"/>
      <c r="E599" s="1125"/>
      <c r="F599" s="1130"/>
      <c r="G599" s="95"/>
      <c r="H599" s="823"/>
      <c r="I599" s="1125"/>
      <c r="J599" s="1134"/>
      <c r="K599" s="1134"/>
      <c r="L599" s="916"/>
    </row>
    <row r="600" spans="1:12" s="103" customFormat="1" ht="15.75" hidden="1" customHeight="1" outlineLevel="1">
      <c r="A600" s="916"/>
      <c r="B600" s="1124"/>
      <c r="C600" s="1128"/>
      <c r="D600" s="1126"/>
      <c r="E600" s="1126"/>
      <c r="F600" s="1132"/>
      <c r="G600" s="100"/>
      <c r="H600" s="824"/>
      <c r="I600" s="1126"/>
      <c r="J600" s="1135"/>
      <c r="K600" s="1135"/>
      <c r="L600" s="916"/>
    </row>
    <row r="601" spans="1:12" s="103" customFormat="1" ht="15.75" hidden="1" customHeight="1" outlineLevel="1">
      <c r="A601" s="916"/>
      <c r="B601" s="1123">
        <v>197</v>
      </c>
      <c r="C601" s="1127"/>
      <c r="D601" s="1125"/>
      <c r="E601" s="1125" t="s">
        <v>18</v>
      </c>
      <c r="F601" s="1130" t="str">
        <f>VLOOKUP(E601,$N$13:$O$17,2,0)</f>
        <v>-</v>
      </c>
      <c r="G601" s="92"/>
      <c r="H601" s="823"/>
      <c r="I601" s="1125"/>
      <c r="J601" s="1133"/>
      <c r="K601" s="1133"/>
      <c r="L601" s="916"/>
    </row>
    <row r="602" spans="1:12" s="103" customFormat="1" ht="15.75" hidden="1" customHeight="1" outlineLevel="1">
      <c r="A602" s="916"/>
      <c r="B602" s="1123"/>
      <c r="C602" s="1127"/>
      <c r="D602" s="1125"/>
      <c r="E602" s="1125"/>
      <c r="F602" s="1130"/>
      <c r="G602" s="95"/>
      <c r="H602" s="823"/>
      <c r="I602" s="1125"/>
      <c r="J602" s="1134"/>
      <c r="K602" s="1134"/>
      <c r="L602" s="916"/>
    </row>
    <row r="603" spans="1:12" s="103" customFormat="1" ht="15.75" hidden="1" customHeight="1" outlineLevel="1">
      <c r="A603" s="916"/>
      <c r="B603" s="1124"/>
      <c r="C603" s="1128"/>
      <c r="D603" s="1126"/>
      <c r="E603" s="1126"/>
      <c r="F603" s="1132"/>
      <c r="G603" s="100"/>
      <c r="H603" s="824"/>
      <c r="I603" s="1126"/>
      <c r="J603" s="1135"/>
      <c r="K603" s="1135"/>
      <c r="L603" s="916"/>
    </row>
    <row r="604" spans="1:12" s="103" customFormat="1" ht="15.75" hidden="1" customHeight="1" outlineLevel="1">
      <c r="A604" s="916"/>
      <c r="B604" s="1123">
        <v>198</v>
      </c>
      <c r="C604" s="1127"/>
      <c r="D604" s="1125"/>
      <c r="E604" s="1125" t="s">
        <v>18</v>
      </c>
      <c r="F604" s="1130" t="str">
        <f>VLOOKUP(E604,$N$13:$O$17,2,0)</f>
        <v>-</v>
      </c>
      <c r="G604" s="92"/>
      <c r="H604" s="823"/>
      <c r="I604" s="1125"/>
      <c r="J604" s="1133"/>
      <c r="K604" s="1133"/>
      <c r="L604" s="916"/>
    </row>
    <row r="605" spans="1:12" s="103" customFormat="1" ht="15.75" hidden="1" customHeight="1" outlineLevel="1">
      <c r="A605" s="916"/>
      <c r="B605" s="1123"/>
      <c r="C605" s="1127"/>
      <c r="D605" s="1125"/>
      <c r="E605" s="1125"/>
      <c r="F605" s="1130"/>
      <c r="G605" s="95"/>
      <c r="H605" s="823"/>
      <c r="I605" s="1125"/>
      <c r="J605" s="1134"/>
      <c r="K605" s="1134"/>
      <c r="L605" s="916"/>
    </row>
    <row r="606" spans="1:12" s="103" customFormat="1" ht="15.75" hidden="1" customHeight="1" outlineLevel="1">
      <c r="A606" s="916"/>
      <c r="B606" s="1124"/>
      <c r="C606" s="1128"/>
      <c r="D606" s="1126"/>
      <c r="E606" s="1126"/>
      <c r="F606" s="1132"/>
      <c r="G606" s="100"/>
      <c r="H606" s="824"/>
      <c r="I606" s="1126"/>
      <c r="J606" s="1135"/>
      <c r="K606" s="1135"/>
      <c r="L606" s="916"/>
    </row>
    <row r="607" spans="1:12" s="103" customFormat="1" ht="15.75" hidden="1" customHeight="1" outlineLevel="1">
      <c r="A607" s="916"/>
      <c r="B607" s="1123">
        <v>199</v>
      </c>
      <c r="C607" s="1127"/>
      <c r="D607" s="1125"/>
      <c r="E607" s="1125" t="s">
        <v>18</v>
      </c>
      <c r="F607" s="1130" t="str">
        <f>VLOOKUP(E607,$N$13:$O$17,2,0)</f>
        <v>-</v>
      </c>
      <c r="G607" s="92"/>
      <c r="H607" s="823"/>
      <c r="I607" s="1125"/>
      <c r="J607" s="1133"/>
      <c r="K607" s="1133"/>
      <c r="L607" s="916"/>
    </row>
    <row r="608" spans="1:12" s="103" customFormat="1" ht="15.75" hidden="1" customHeight="1" outlineLevel="1">
      <c r="A608" s="916"/>
      <c r="B608" s="1123"/>
      <c r="C608" s="1127"/>
      <c r="D608" s="1125"/>
      <c r="E608" s="1125"/>
      <c r="F608" s="1130"/>
      <c r="G608" s="95"/>
      <c r="H608" s="823"/>
      <c r="I608" s="1125"/>
      <c r="J608" s="1134"/>
      <c r="K608" s="1134"/>
      <c r="L608" s="916"/>
    </row>
    <row r="609" spans="1:12" s="103" customFormat="1" ht="15.75" hidden="1" customHeight="1" outlineLevel="1">
      <c r="A609" s="916"/>
      <c r="B609" s="1124"/>
      <c r="C609" s="1128"/>
      <c r="D609" s="1126"/>
      <c r="E609" s="1126"/>
      <c r="F609" s="1132"/>
      <c r="G609" s="100"/>
      <c r="H609" s="824"/>
      <c r="I609" s="1126"/>
      <c r="J609" s="1135"/>
      <c r="K609" s="1135"/>
      <c r="L609" s="916"/>
    </row>
    <row r="610" spans="1:12" s="103" customFormat="1" ht="15.75" hidden="1" customHeight="1" outlineLevel="1">
      <c r="A610" s="916"/>
      <c r="B610" s="1123">
        <v>200</v>
      </c>
      <c r="C610" s="1149" t="e">
        <f>CONCATENATE("Inne ",IF(#REF!=0,0,ROUND(#REF!/#REF!*100,1))," %")</f>
        <v>#REF!</v>
      </c>
      <c r="D610" s="1125"/>
      <c r="E610" s="1125" t="s">
        <v>18</v>
      </c>
      <c r="F610" s="1130" t="str">
        <f>VLOOKUP(E610,$N$13:$O$17,2,0)</f>
        <v>-</v>
      </c>
      <c r="G610" s="92"/>
      <c r="H610" s="823"/>
      <c r="I610" s="1125"/>
      <c r="J610" s="1133"/>
      <c r="K610" s="1133"/>
      <c r="L610" s="916"/>
    </row>
    <row r="611" spans="1:12" s="103" customFormat="1" ht="15.75" hidden="1" customHeight="1" outlineLevel="1">
      <c r="A611" s="916"/>
      <c r="B611" s="1123"/>
      <c r="C611" s="1150"/>
      <c r="D611" s="1125"/>
      <c r="E611" s="1125"/>
      <c r="F611" s="1130"/>
      <c r="G611" s="95"/>
      <c r="H611" s="823"/>
      <c r="I611" s="1125"/>
      <c r="J611" s="1134"/>
      <c r="K611" s="1134"/>
      <c r="L611" s="916"/>
    </row>
    <row r="612" spans="1:12" s="103" customFormat="1" ht="15.75" hidden="1" customHeight="1" outlineLevel="1" thickBot="1">
      <c r="A612" s="916"/>
      <c r="B612" s="1124"/>
      <c r="C612" s="1151"/>
      <c r="D612" s="1126"/>
      <c r="E612" s="1126"/>
      <c r="F612" s="1132"/>
      <c r="G612" s="100"/>
      <c r="H612" s="824"/>
      <c r="I612" s="1126"/>
      <c r="J612" s="1135"/>
      <c r="K612" s="1135"/>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45"/>
      <c r="G621" s="1146"/>
      <c r="H621" s="1146"/>
      <c r="I621" s="1146"/>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612" xr:uid="{00000000-0002-0000-1300-000000000000}">
      <formula1>$N$13:$N$17</formula1>
    </dataValidation>
  </dataValidations>
  <hyperlinks>
    <hyperlink ref="C1" location="Spis!B44" display="&gt;&gt; powrót do spisu treści" xr:uid="{00000000-0004-0000-13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71">
    <pageSetUpPr fitToPage="1"/>
  </sheetPr>
  <dimension ref="A1:S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1" width="10.77734375" style="78" customWidth="1"/>
    <col min="22"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47" t="s">
        <v>19</v>
      </c>
      <c r="D3" s="1147"/>
      <c r="E3" s="1147"/>
      <c r="F3" s="1147"/>
      <c r="G3" s="1147"/>
      <c r="H3" s="1148"/>
      <c r="I3" s="903"/>
      <c r="J3" s="880"/>
      <c r="K3" s="880"/>
      <c r="L3" s="880"/>
    </row>
    <row r="4" spans="1:19" ht="15" customHeight="1">
      <c r="A4" s="898"/>
      <c r="B4" s="915" t="s">
        <v>27</v>
      </c>
      <c r="C4" s="1147" t="s">
        <v>177</v>
      </c>
      <c r="D4" s="1147"/>
      <c r="E4" s="1147"/>
      <c r="F4" s="1147"/>
      <c r="G4" s="1147"/>
      <c r="H4" s="1148"/>
      <c r="I4" s="903"/>
      <c r="J4" s="880"/>
      <c r="K4" s="880"/>
      <c r="L4" s="880"/>
    </row>
    <row r="5" spans="1:19" ht="15" customHeight="1">
      <c r="A5" s="880"/>
      <c r="B5" s="897" t="s">
        <v>28</v>
      </c>
      <c r="C5" s="1116" t="s">
        <v>104</v>
      </c>
      <c r="D5" s="1116"/>
      <c r="E5" s="1116"/>
      <c r="F5" s="1116"/>
      <c r="G5" s="1116"/>
      <c r="H5" s="1148"/>
      <c r="I5" s="903"/>
      <c r="J5" s="880"/>
      <c r="K5" s="880"/>
      <c r="L5" s="880"/>
    </row>
    <row r="6" spans="1:19" ht="50.1" customHeight="1">
      <c r="A6" s="880"/>
      <c r="B6" s="897" t="s">
        <v>35</v>
      </c>
      <c r="C6" s="1116" t="s">
        <v>175</v>
      </c>
      <c r="D6" s="1120"/>
      <c r="E6" s="1120"/>
      <c r="F6" s="1120"/>
      <c r="G6" s="1120"/>
      <c r="H6" s="1148"/>
      <c r="I6" s="903"/>
      <c r="J6" s="880"/>
      <c r="K6" s="880"/>
      <c r="L6" s="880"/>
    </row>
    <row r="7" spans="1:19" s="79" customFormat="1" ht="30" customHeight="1" thickBot="1">
      <c r="A7" s="907"/>
      <c r="B7" s="908" t="s">
        <v>252</v>
      </c>
      <c r="C7" s="911"/>
      <c r="D7" s="909"/>
      <c r="E7" s="907"/>
      <c r="F7" s="910"/>
      <c r="G7" s="911"/>
      <c r="H7" s="912"/>
      <c r="I7" s="912"/>
      <c r="J7" s="913"/>
      <c r="K7" s="913"/>
      <c r="L7" s="913"/>
      <c r="M7" s="81"/>
    </row>
    <row r="8" spans="1:19"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c r="P8" s="76"/>
      <c r="Q8" s="76"/>
      <c r="R8" s="76"/>
      <c r="S8" s="76"/>
    </row>
    <row r="9" spans="1:19" ht="20.100000000000001" customHeight="1" thickBot="1">
      <c r="A9" s="880"/>
      <c r="B9" s="1152"/>
      <c r="C9" s="1106"/>
      <c r="D9" s="1106"/>
      <c r="E9" s="1106"/>
      <c r="F9" s="1106"/>
      <c r="G9" s="1106"/>
      <c r="H9" s="1106"/>
      <c r="I9" s="1103"/>
      <c r="J9" s="628">
        <f>Rok_ZPR</f>
        <v>2023</v>
      </c>
      <c r="K9" s="1102"/>
      <c r="L9" s="860"/>
      <c r="M9" s="84"/>
      <c r="N9" s="76"/>
      <c r="O9" s="76"/>
      <c r="P9" s="76"/>
      <c r="Q9" s="76"/>
      <c r="R9" s="76"/>
      <c r="S9" s="76"/>
    </row>
    <row r="10" spans="1:19" ht="20.100000000000001" customHeight="1">
      <c r="A10" s="880"/>
      <c r="B10" s="1152"/>
      <c r="C10" s="1106"/>
      <c r="D10" s="1106"/>
      <c r="E10" s="1106"/>
      <c r="F10" s="1106"/>
      <c r="G10" s="1106"/>
      <c r="H10" s="1106"/>
      <c r="I10" s="1104"/>
      <c r="J10" s="628" t="str">
        <f>'Tab.G1.1-4'!$D$11</f>
        <v>[tys. zł]</v>
      </c>
      <c r="K10" s="1102"/>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row>
    <row r="14" spans="1:19" s="82" customFormat="1" ht="12.75" customHeight="1">
      <c r="A14" s="900"/>
      <c r="B14" s="1123"/>
      <c r="C14" s="1153"/>
      <c r="D14" s="1125"/>
      <c r="E14" s="1125"/>
      <c r="F14" s="1130"/>
      <c r="G14" s="95"/>
      <c r="H14" s="1125"/>
      <c r="I14" s="1125"/>
      <c r="J14" s="1134"/>
      <c r="K14" s="1134"/>
      <c r="L14" s="892"/>
      <c r="M14" s="86"/>
      <c r="N14" s="96" t="s">
        <v>22</v>
      </c>
      <c r="O14" s="97" t="s">
        <v>59</v>
      </c>
    </row>
    <row r="15" spans="1:19" s="82" customFormat="1" ht="12.75" customHeight="1">
      <c r="A15" s="900"/>
      <c r="B15" s="1124"/>
      <c r="C15" s="1154"/>
      <c r="D15" s="1126"/>
      <c r="E15" s="1126"/>
      <c r="F15" s="1132"/>
      <c r="G15" s="100"/>
      <c r="H15" s="1126"/>
      <c r="I15" s="1126"/>
      <c r="J15" s="1135"/>
      <c r="K15" s="1135"/>
      <c r="L15" s="892"/>
      <c r="M15" s="86"/>
      <c r="N15" s="96" t="s">
        <v>23</v>
      </c>
      <c r="O15" s="97" t="s">
        <v>24</v>
      </c>
    </row>
    <row r="16" spans="1:19"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row>
    <row r="17" spans="1:15" s="82" customFormat="1" ht="12.75" customHeight="1" thickBot="1">
      <c r="A17" s="900"/>
      <c r="B17" s="1123"/>
      <c r="C17" s="1127"/>
      <c r="D17" s="1125"/>
      <c r="E17" s="1125"/>
      <c r="F17" s="1130"/>
      <c r="G17" s="95"/>
      <c r="H17" s="1125"/>
      <c r="I17" s="1125"/>
      <c r="J17" s="1134"/>
      <c r="K17" s="1134"/>
      <c r="L17" s="892"/>
      <c r="M17" s="86"/>
      <c r="N17" s="101" t="s">
        <v>18</v>
      </c>
      <c r="O17" s="102" t="s">
        <v>18</v>
      </c>
    </row>
    <row r="18" spans="1:15" s="82" customFormat="1" ht="12.75" customHeight="1">
      <c r="A18" s="900"/>
      <c r="B18" s="1124"/>
      <c r="C18" s="1128"/>
      <c r="D18" s="1126"/>
      <c r="E18" s="1126"/>
      <c r="F18" s="1132"/>
      <c r="G18" s="100"/>
      <c r="H18" s="1126"/>
      <c r="I18" s="1126"/>
      <c r="J18" s="1135"/>
      <c r="K18" s="1135"/>
      <c r="L18" s="892"/>
      <c r="M18" s="86"/>
      <c r="N18" s="103"/>
      <c r="O18" s="104"/>
    </row>
    <row r="19" spans="1:15" s="82" customFormat="1" ht="12.75" customHeight="1">
      <c r="A19" s="900"/>
      <c r="B19" s="1123">
        <v>3</v>
      </c>
      <c r="C19" s="1127"/>
      <c r="D19" s="1125"/>
      <c r="E19" s="1125" t="s">
        <v>18</v>
      </c>
      <c r="F19" s="1130" t="str">
        <f>VLOOKUP(E19,$N$13:$O$17,2,0)</f>
        <v>-</v>
      </c>
      <c r="G19" s="92"/>
      <c r="H19" s="1125"/>
      <c r="I19" s="1125"/>
      <c r="J19" s="1133"/>
      <c r="K19" s="1133"/>
      <c r="L19" s="892"/>
      <c r="M19" s="86"/>
      <c r="N19" s="103"/>
      <c r="O19" s="104"/>
    </row>
    <row r="20" spans="1:15" s="82" customFormat="1" ht="12.75" customHeight="1">
      <c r="A20" s="900"/>
      <c r="B20" s="1123"/>
      <c r="C20" s="1127"/>
      <c r="D20" s="1125"/>
      <c r="E20" s="1125"/>
      <c r="F20" s="1130"/>
      <c r="G20" s="95"/>
      <c r="H20" s="1125"/>
      <c r="I20" s="1125"/>
      <c r="J20" s="1134"/>
      <c r="K20" s="1134"/>
      <c r="L20" s="892"/>
      <c r="M20" s="86"/>
      <c r="N20" s="103"/>
      <c r="O20" s="104"/>
    </row>
    <row r="21" spans="1:15" s="82" customFormat="1" ht="12.75" customHeight="1">
      <c r="A21" s="900"/>
      <c r="B21" s="1124"/>
      <c r="C21" s="1128"/>
      <c r="D21" s="1126"/>
      <c r="E21" s="1126"/>
      <c r="F21" s="1132"/>
      <c r="G21" s="100"/>
      <c r="H21" s="1126"/>
      <c r="I21" s="1126"/>
      <c r="J21" s="1135"/>
      <c r="K21" s="1135"/>
      <c r="L21" s="892"/>
      <c r="M21" s="86"/>
      <c r="N21" s="103"/>
      <c r="O21" s="104"/>
    </row>
    <row r="22" spans="1:15" s="82" customFormat="1" ht="12.75" customHeight="1">
      <c r="A22" s="900"/>
      <c r="B22" s="1123">
        <v>4</v>
      </c>
      <c r="C22" s="1127"/>
      <c r="D22" s="1125"/>
      <c r="E22" s="1125" t="s">
        <v>18</v>
      </c>
      <c r="F22" s="1130" t="str">
        <f>VLOOKUP(E22,$N$13:$O$17,2,0)</f>
        <v>-</v>
      </c>
      <c r="G22" s="92"/>
      <c r="H22" s="1125"/>
      <c r="I22" s="1125"/>
      <c r="J22" s="1133"/>
      <c r="K22" s="1133"/>
      <c r="L22" s="892"/>
      <c r="M22" s="86"/>
      <c r="N22" s="103"/>
      <c r="O22" s="104"/>
    </row>
    <row r="23" spans="1:15" s="82" customFormat="1" ht="12.75" customHeight="1">
      <c r="A23" s="900"/>
      <c r="B23" s="1123"/>
      <c r="C23" s="1127"/>
      <c r="D23" s="1125"/>
      <c r="E23" s="1125"/>
      <c r="F23" s="1130"/>
      <c r="G23" s="95"/>
      <c r="H23" s="1125"/>
      <c r="I23" s="1125"/>
      <c r="J23" s="1134"/>
      <c r="K23" s="1134"/>
      <c r="L23" s="892"/>
      <c r="M23" s="86"/>
      <c r="N23" s="103"/>
      <c r="O23" s="104"/>
    </row>
    <row r="24" spans="1:15" s="82" customFormat="1" ht="12.75" customHeight="1">
      <c r="A24" s="900"/>
      <c r="B24" s="1124"/>
      <c r="C24" s="1128"/>
      <c r="D24" s="1126"/>
      <c r="E24" s="1126"/>
      <c r="F24" s="1132"/>
      <c r="G24" s="100"/>
      <c r="H24" s="1126"/>
      <c r="I24" s="1126"/>
      <c r="J24" s="1135"/>
      <c r="K24" s="1135"/>
      <c r="L24" s="892"/>
      <c r="M24" s="86"/>
      <c r="N24" s="103"/>
      <c r="O24" s="104"/>
    </row>
    <row r="25" spans="1:15" s="82" customFormat="1" ht="12.75" customHeight="1">
      <c r="A25" s="900"/>
      <c r="B25" s="1123">
        <v>5</v>
      </c>
      <c r="C25" s="1127"/>
      <c r="D25" s="1125"/>
      <c r="E25" s="1125" t="s">
        <v>18</v>
      </c>
      <c r="F25" s="1130" t="str">
        <f>VLOOKUP(E25,$N$13:$O$17,2,0)</f>
        <v>-</v>
      </c>
      <c r="G25" s="92"/>
      <c r="H25" s="1125"/>
      <c r="I25" s="1125"/>
      <c r="J25" s="1133"/>
      <c r="K25" s="1133"/>
      <c r="L25" s="892"/>
      <c r="M25" s="86"/>
      <c r="N25" s="103"/>
      <c r="O25" s="104"/>
    </row>
    <row r="26" spans="1:15" s="82" customFormat="1" ht="12.75" customHeight="1">
      <c r="A26" s="900"/>
      <c r="B26" s="1123"/>
      <c r="C26" s="1127"/>
      <c r="D26" s="1125"/>
      <c r="E26" s="1125"/>
      <c r="F26" s="1130"/>
      <c r="G26" s="95"/>
      <c r="H26" s="1125"/>
      <c r="I26" s="1125"/>
      <c r="J26" s="1134"/>
      <c r="K26" s="1134"/>
      <c r="L26" s="892"/>
      <c r="M26" s="86"/>
      <c r="N26" s="103"/>
      <c r="O26" s="104"/>
    </row>
    <row r="27" spans="1:15" s="82" customFormat="1" ht="12.75" customHeight="1">
      <c r="A27" s="900"/>
      <c r="B27" s="1124"/>
      <c r="C27" s="1128"/>
      <c r="D27" s="1126"/>
      <c r="E27" s="1126"/>
      <c r="F27" s="1132"/>
      <c r="G27" s="100"/>
      <c r="H27" s="1126"/>
      <c r="I27" s="1126"/>
      <c r="J27" s="1135"/>
      <c r="K27" s="1135"/>
      <c r="L27" s="892"/>
      <c r="M27" s="86"/>
      <c r="N27" s="103"/>
      <c r="O27" s="104"/>
    </row>
    <row r="28" spans="1:15" s="82" customFormat="1" ht="12.75" customHeight="1">
      <c r="A28" s="900"/>
      <c r="B28" s="1123">
        <v>6</v>
      </c>
      <c r="C28" s="1127"/>
      <c r="D28" s="1125"/>
      <c r="E28" s="1125" t="s">
        <v>18</v>
      </c>
      <c r="F28" s="1130" t="str">
        <f>VLOOKUP(E28,$N$13:$O$17,2,0)</f>
        <v>-</v>
      </c>
      <c r="G28" s="92"/>
      <c r="H28" s="1125"/>
      <c r="I28" s="1125"/>
      <c r="J28" s="1133"/>
      <c r="K28" s="1133"/>
      <c r="L28" s="892"/>
      <c r="M28" s="86"/>
      <c r="N28" s="103"/>
      <c r="O28" s="104"/>
    </row>
    <row r="29" spans="1:15" s="82" customFormat="1" ht="12.75" customHeight="1">
      <c r="A29" s="900"/>
      <c r="B29" s="1123"/>
      <c r="C29" s="1127"/>
      <c r="D29" s="1125"/>
      <c r="E29" s="1125"/>
      <c r="F29" s="1130"/>
      <c r="G29" s="95"/>
      <c r="H29" s="1125"/>
      <c r="I29" s="1125"/>
      <c r="J29" s="1134"/>
      <c r="K29" s="1134"/>
      <c r="L29" s="892"/>
      <c r="M29" s="86"/>
      <c r="N29" s="103"/>
      <c r="O29" s="104"/>
    </row>
    <row r="30" spans="1:15" s="82" customFormat="1" ht="12.75" customHeight="1">
      <c r="A30" s="900"/>
      <c r="B30" s="1124"/>
      <c r="C30" s="1128"/>
      <c r="D30" s="1126"/>
      <c r="E30" s="1126"/>
      <c r="F30" s="1132"/>
      <c r="G30" s="100"/>
      <c r="H30" s="1126"/>
      <c r="I30" s="1126"/>
      <c r="J30" s="1135"/>
      <c r="K30" s="1135"/>
      <c r="L30" s="892"/>
      <c r="M30" s="86"/>
      <c r="N30" s="103"/>
      <c r="O30" s="104"/>
    </row>
    <row r="31" spans="1:15" s="82" customFormat="1" ht="12.75" customHeight="1">
      <c r="A31" s="900"/>
      <c r="B31" s="1123">
        <v>7</v>
      </c>
      <c r="C31" s="1127"/>
      <c r="D31" s="1125"/>
      <c r="E31" s="1125" t="s">
        <v>18</v>
      </c>
      <c r="F31" s="1130" t="str">
        <f>VLOOKUP(E31,$N$13:$O$17,2,0)</f>
        <v>-</v>
      </c>
      <c r="G31" s="92"/>
      <c r="H31" s="1125"/>
      <c r="I31" s="1125"/>
      <c r="J31" s="1133"/>
      <c r="K31" s="1133"/>
      <c r="L31" s="892"/>
      <c r="M31" s="86"/>
      <c r="N31" s="103"/>
      <c r="O31" s="104"/>
    </row>
    <row r="32" spans="1:15" s="82" customFormat="1" ht="12.75" customHeight="1">
      <c r="A32" s="900"/>
      <c r="B32" s="1123"/>
      <c r="C32" s="1127"/>
      <c r="D32" s="1125"/>
      <c r="E32" s="1125"/>
      <c r="F32" s="1130"/>
      <c r="G32" s="95"/>
      <c r="H32" s="1125"/>
      <c r="I32" s="1125"/>
      <c r="J32" s="1134"/>
      <c r="K32" s="1134"/>
      <c r="L32" s="892"/>
      <c r="M32" s="86"/>
      <c r="N32" s="103"/>
      <c r="O32" s="104"/>
    </row>
    <row r="33" spans="1:15" s="82" customFormat="1" ht="12.75" customHeight="1">
      <c r="A33" s="900"/>
      <c r="B33" s="1124"/>
      <c r="C33" s="1128"/>
      <c r="D33" s="1126"/>
      <c r="E33" s="1126"/>
      <c r="F33" s="1132"/>
      <c r="G33" s="100"/>
      <c r="H33" s="1126"/>
      <c r="I33" s="1126"/>
      <c r="J33" s="1135"/>
      <c r="K33" s="1135"/>
      <c r="L33" s="892"/>
      <c r="M33" s="86"/>
      <c r="N33" s="103"/>
      <c r="O33" s="104"/>
    </row>
    <row r="34" spans="1:15" s="82" customFormat="1" ht="12.75" customHeight="1">
      <c r="A34" s="900"/>
      <c r="B34" s="1123">
        <v>8</v>
      </c>
      <c r="C34" s="1127"/>
      <c r="D34" s="1125"/>
      <c r="E34" s="1125" t="s">
        <v>18</v>
      </c>
      <c r="F34" s="1130" t="str">
        <f>VLOOKUP(E34,$N$13:$O$17,2,0)</f>
        <v>-</v>
      </c>
      <c r="G34" s="92"/>
      <c r="H34" s="1125"/>
      <c r="I34" s="1125"/>
      <c r="J34" s="1133"/>
      <c r="K34" s="1133"/>
      <c r="L34" s="892"/>
      <c r="M34" s="86"/>
      <c r="N34" s="103"/>
      <c r="O34" s="104"/>
    </row>
    <row r="35" spans="1:15" s="82" customFormat="1" ht="12.75" customHeight="1">
      <c r="A35" s="900"/>
      <c r="B35" s="1123"/>
      <c r="C35" s="1127"/>
      <c r="D35" s="1125"/>
      <c r="E35" s="1125"/>
      <c r="F35" s="1130"/>
      <c r="G35" s="91"/>
      <c r="H35" s="1125"/>
      <c r="I35" s="1125"/>
      <c r="J35" s="1134"/>
      <c r="K35" s="1134"/>
      <c r="L35" s="892"/>
      <c r="M35" s="86"/>
      <c r="N35" s="103"/>
      <c r="O35" s="104"/>
    </row>
    <row r="36" spans="1:15" s="82" customFormat="1" ht="12.75" customHeight="1">
      <c r="A36" s="900"/>
      <c r="B36" s="1124"/>
      <c r="C36" s="1128"/>
      <c r="D36" s="1126"/>
      <c r="E36" s="1126"/>
      <c r="F36" s="1132"/>
      <c r="G36" s="100"/>
      <c r="H36" s="1126"/>
      <c r="I36" s="1126"/>
      <c r="J36" s="1135"/>
      <c r="K36" s="1135"/>
      <c r="L36" s="892"/>
      <c r="M36" s="86"/>
      <c r="N36" s="103"/>
      <c r="O36" s="104"/>
    </row>
    <row r="37" spans="1:15" s="82" customFormat="1" ht="12.75" customHeight="1">
      <c r="A37" s="900"/>
      <c r="B37" s="1123">
        <v>9</v>
      </c>
      <c r="C37" s="1127"/>
      <c r="D37" s="1125"/>
      <c r="E37" s="1125" t="s">
        <v>18</v>
      </c>
      <c r="F37" s="1130" t="str">
        <f>VLOOKUP(E37,$N$13:$O$17,2,0)</f>
        <v>-</v>
      </c>
      <c r="G37" s="92"/>
      <c r="H37" s="1125"/>
      <c r="I37" s="1125"/>
      <c r="J37" s="1133"/>
      <c r="K37" s="1133"/>
      <c r="L37" s="892"/>
      <c r="M37" s="86"/>
      <c r="N37" s="103"/>
      <c r="O37" s="104"/>
    </row>
    <row r="38" spans="1:15" s="82" customFormat="1" ht="12.75" customHeight="1">
      <c r="A38" s="900"/>
      <c r="B38" s="1123"/>
      <c r="C38" s="1127"/>
      <c r="D38" s="1125"/>
      <c r="E38" s="1125"/>
      <c r="F38" s="1130"/>
      <c r="G38" s="95"/>
      <c r="H38" s="1125"/>
      <c r="I38" s="1125"/>
      <c r="J38" s="1134"/>
      <c r="K38" s="1134"/>
      <c r="L38" s="892"/>
      <c r="M38" s="86"/>
      <c r="N38" s="103"/>
      <c r="O38" s="104"/>
    </row>
    <row r="39" spans="1:15" s="82" customFormat="1" ht="12.75" customHeight="1">
      <c r="A39" s="900"/>
      <c r="B39" s="1124"/>
      <c r="C39" s="1128"/>
      <c r="D39" s="1126"/>
      <c r="E39" s="1126"/>
      <c r="F39" s="1132"/>
      <c r="G39" s="100"/>
      <c r="H39" s="1126"/>
      <c r="I39" s="1126"/>
      <c r="J39" s="1135"/>
      <c r="K39" s="1135"/>
      <c r="L39" s="892"/>
      <c r="M39" s="86"/>
      <c r="N39" s="103"/>
      <c r="O39" s="104"/>
    </row>
    <row r="40" spans="1:15" s="82" customFormat="1" ht="12.75" customHeight="1">
      <c r="A40" s="900"/>
      <c r="B40" s="1123">
        <v>10</v>
      </c>
      <c r="C40" s="1127"/>
      <c r="D40" s="1125"/>
      <c r="E40" s="1125" t="s">
        <v>18</v>
      </c>
      <c r="F40" s="1130" t="str">
        <f>VLOOKUP(E40,$N$13:$O$17,2,0)</f>
        <v>-</v>
      </c>
      <c r="G40" s="92"/>
      <c r="H40" s="1125"/>
      <c r="I40" s="1125"/>
      <c r="J40" s="1133"/>
      <c r="K40" s="1133"/>
      <c r="L40" s="892"/>
      <c r="M40" s="86"/>
      <c r="N40" s="103"/>
      <c r="O40" s="104"/>
    </row>
    <row r="41" spans="1:15" s="82" customFormat="1" ht="12.75" customHeight="1">
      <c r="A41" s="900"/>
      <c r="B41" s="1123"/>
      <c r="C41" s="1127"/>
      <c r="D41" s="1125"/>
      <c r="E41" s="1125"/>
      <c r="F41" s="1130"/>
      <c r="G41" s="95"/>
      <c r="H41" s="1125"/>
      <c r="I41" s="1125"/>
      <c r="J41" s="1134"/>
      <c r="K41" s="1134"/>
      <c r="L41" s="892"/>
      <c r="M41" s="86"/>
      <c r="N41" s="103"/>
      <c r="O41" s="104"/>
    </row>
    <row r="42" spans="1:15" s="82" customFormat="1" ht="12.75" customHeight="1" thickBot="1">
      <c r="A42" s="900"/>
      <c r="B42" s="1124"/>
      <c r="C42" s="1128"/>
      <c r="D42" s="1126"/>
      <c r="E42" s="1126"/>
      <c r="F42" s="1132"/>
      <c r="G42" s="100"/>
      <c r="H42" s="1126"/>
      <c r="I42" s="1126"/>
      <c r="J42" s="1135"/>
      <c r="K42" s="1135"/>
      <c r="L42" s="892"/>
      <c r="M42" s="86"/>
      <c r="N42" s="103"/>
      <c r="O42" s="104"/>
    </row>
    <row r="43" spans="1:15" s="103" customFormat="1" ht="15.75" hidden="1" customHeight="1" outlineLevel="1">
      <c r="A43" s="916"/>
      <c r="B43" s="1123">
        <v>11</v>
      </c>
      <c r="C43" s="1127"/>
      <c r="D43" s="1125"/>
      <c r="E43" s="1125" t="s">
        <v>18</v>
      </c>
      <c r="F43" s="1130" t="str">
        <f>VLOOKUP(E43,$N$13:$O$17,2,0)</f>
        <v>-</v>
      </c>
      <c r="G43" s="92"/>
      <c r="H43" s="1125"/>
      <c r="I43" s="1125"/>
      <c r="J43" s="1133"/>
      <c r="K43" s="1133"/>
      <c r="L43" s="916"/>
    </row>
    <row r="44" spans="1:15" s="103" customFormat="1" ht="15.75" hidden="1" customHeight="1" outlineLevel="1">
      <c r="A44" s="916"/>
      <c r="B44" s="1123"/>
      <c r="C44" s="1127"/>
      <c r="D44" s="1125"/>
      <c r="E44" s="1125"/>
      <c r="F44" s="1130"/>
      <c r="G44" s="95"/>
      <c r="H44" s="1125"/>
      <c r="I44" s="1125"/>
      <c r="J44" s="1134"/>
      <c r="K44" s="1134"/>
      <c r="L44" s="916"/>
    </row>
    <row r="45" spans="1:15" s="80" customFormat="1" ht="15.75" hidden="1" customHeight="1" outlineLevel="1">
      <c r="A45" s="910"/>
      <c r="B45" s="1124"/>
      <c r="C45" s="1128"/>
      <c r="D45" s="1126"/>
      <c r="E45" s="1126"/>
      <c r="F45" s="1132"/>
      <c r="G45" s="100"/>
      <c r="H45" s="1126"/>
      <c r="I45" s="1126"/>
      <c r="J45" s="1135"/>
      <c r="K45" s="1135"/>
      <c r="L45" s="910"/>
    </row>
    <row r="46" spans="1:15" s="80" customFormat="1" ht="15.75" hidden="1" customHeight="1" outlineLevel="1">
      <c r="A46" s="910"/>
      <c r="B46" s="1123">
        <v>12</v>
      </c>
      <c r="C46" s="1127"/>
      <c r="D46" s="1125"/>
      <c r="E46" s="1125" t="s">
        <v>18</v>
      </c>
      <c r="F46" s="1130" t="str">
        <f>VLOOKUP(E46,$N$13:$O$17,2,0)</f>
        <v>-</v>
      </c>
      <c r="G46" s="92"/>
      <c r="H46" s="1125"/>
      <c r="I46" s="1125"/>
      <c r="J46" s="1133"/>
      <c r="K46" s="1133"/>
      <c r="L46" s="910"/>
    </row>
    <row r="47" spans="1:15" s="103" customFormat="1" ht="15.75" hidden="1" customHeight="1" outlineLevel="1">
      <c r="A47" s="916"/>
      <c r="B47" s="1123"/>
      <c r="C47" s="1127"/>
      <c r="D47" s="1125"/>
      <c r="E47" s="1125"/>
      <c r="F47" s="1130"/>
      <c r="G47" s="95"/>
      <c r="H47" s="1125"/>
      <c r="I47" s="1125"/>
      <c r="J47" s="1134"/>
      <c r="K47" s="1134"/>
      <c r="L47" s="916"/>
    </row>
    <row r="48" spans="1:15" s="103" customFormat="1" ht="15.75" hidden="1" customHeight="1" outlineLevel="1">
      <c r="A48" s="916"/>
      <c r="B48" s="1124"/>
      <c r="C48" s="1128"/>
      <c r="D48" s="1126"/>
      <c r="E48" s="1126"/>
      <c r="F48" s="1132"/>
      <c r="G48" s="100"/>
      <c r="H48" s="1126"/>
      <c r="I48" s="1126"/>
      <c r="J48" s="1135"/>
      <c r="K48" s="1135"/>
      <c r="L48" s="916"/>
    </row>
    <row r="49" spans="1:12" s="103" customFormat="1" ht="15.75" hidden="1" customHeight="1" outlineLevel="1">
      <c r="A49" s="916"/>
      <c r="B49" s="1123">
        <v>13</v>
      </c>
      <c r="C49" s="1127"/>
      <c r="D49" s="1125"/>
      <c r="E49" s="1125" t="s">
        <v>18</v>
      </c>
      <c r="F49" s="1130" t="str">
        <f>VLOOKUP(E49,$N$13:$O$17,2,0)</f>
        <v>-</v>
      </c>
      <c r="G49" s="92"/>
      <c r="H49" s="1125"/>
      <c r="I49" s="1125"/>
      <c r="J49" s="1133"/>
      <c r="K49" s="1133"/>
      <c r="L49" s="916"/>
    </row>
    <row r="50" spans="1:12" s="103" customFormat="1" ht="15.75" hidden="1" customHeight="1" outlineLevel="1">
      <c r="A50" s="916"/>
      <c r="B50" s="1123"/>
      <c r="C50" s="1127"/>
      <c r="D50" s="1125"/>
      <c r="E50" s="1125"/>
      <c r="F50" s="1130"/>
      <c r="G50" s="95"/>
      <c r="H50" s="1125"/>
      <c r="I50" s="1125"/>
      <c r="J50" s="1134"/>
      <c r="K50" s="1134"/>
      <c r="L50" s="916"/>
    </row>
    <row r="51" spans="1:12" s="103" customFormat="1" ht="15.75" hidden="1" customHeight="1" outlineLevel="1">
      <c r="A51" s="916"/>
      <c r="B51" s="1124"/>
      <c r="C51" s="1128"/>
      <c r="D51" s="1126"/>
      <c r="E51" s="1126"/>
      <c r="F51" s="1132"/>
      <c r="G51" s="100"/>
      <c r="H51" s="1126"/>
      <c r="I51" s="1126"/>
      <c r="J51" s="1135"/>
      <c r="K51" s="1135"/>
      <c r="L51" s="916"/>
    </row>
    <row r="52" spans="1:12" s="103" customFormat="1" ht="15.75" hidden="1" customHeight="1" outlineLevel="1">
      <c r="A52" s="916"/>
      <c r="B52" s="1123">
        <v>14</v>
      </c>
      <c r="C52" s="1127"/>
      <c r="D52" s="1125"/>
      <c r="E52" s="1125" t="s">
        <v>18</v>
      </c>
      <c r="F52" s="1130" t="str">
        <f>VLOOKUP(E52,$N$13:$O$17,2,0)</f>
        <v>-</v>
      </c>
      <c r="G52" s="92"/>
      <c r="H52" s="1125"/>
      <c r="I52" s="1125"/>
      <c r="J52" s="1133"/>
      <c r="K52" s="1133"/>
      <c r="L52" s="916"/>
    </row>
    <row r="53" spans="1:12" s="103" customFormat="1" ht="15.75" hidden="1" customHeight="1" outlineLevel="1">
      <c r="A53" s="916"/>
      <c r="B53" s="1123"/>
      <c r="C53" s="1127"/>
      <c r="D53" s="1125"/>
      <c r="E53" s="1125"/>
      <c r="F53" s="1130"/>
      <c r="G53" s="95"/>
      <c r="H53" s="1125"/>
      <c r="I53" s="1125"/>
      <c r="J53" s="1134"/>
      <c r="K53" s="1134"/>
      <c r="L53" s="916"/>
    </row>
    <row r="54" spans="1:12" s="103" customFormat="1" ht="15.75" hidden="1" customHeight="1" outlineLevel="1">
      <c r="A54" s="916"/>
      <c r="B54" s="1124"/>
      <c r="C54" s="1128"/>
      <c r="D54" s="1126"/>
      <c r="E54" s="1126"/>
      <c r="F54" s="1132"/>
      <c r="G54" s="100"/>
      <c r="H54" s="1126"/>
      <c r="I54" s="1126"/>
      <c r="J54" s="1135"/>
      <c r="K54" s="1135"/>
      <c r="L54" s="916"/>
    </row>
    <row r="55" spans="1:12" s="103" customFormat="1" ht="15.75" hidden="1" customHeight="1" outlineLevel="1">
      <c r="A55" s="916"/>
      <c r="B55" s="1123">
        <v>15</v>
      </c>
      <c r="C55" s="1127"/>
      <c r="D55" s="1125"/>
      <c r="E55" s="1125" t="s">
        <v>18</v>
      </c>
      <c r="F55" s="1130" t="str">
        <f>VLOOKUP(E55,$N$13:$O$17,2,0)</f>
        <v>-</v>
      </c>
      <c r="G55" s="92"/>
      <c r="H55" s="1125"/>
      <c r="I55" s="1125"/>
      <c r="J55" s="1133"/>
      <c r="K55" s="1133"/>
      <c r="L55" s="916"/>
    </row>
    <row r="56" spans="1:12" s="103" customFormat="1" ht="15.75" hidden="1" customHeight="1" outlineLevel="1">
      <c r="A56" s="916"/>
      <c r="B56" s="1123"/>
      <c r="C56" s="1127"/>
      <c r="D56" s="1125"/>
      <c r="E56" s="1125"/>
      <c r="F56" s="1130"/>
      <c r="G56" s="95"/>
      <c r="H56" s="1125"/>
      <c r="I56" s="1125"/>
      <c r="J56" s="1134"/>
      <c r="K56" s="1134"/>
      <c r="L56" s="916"/>
    </row>
    <row r="57" spans="1:12" s="103" customFormat="1" ht="15.75" hidden="1" customHeight="1" outlineLevel="1">
      <c r="A57" s="916"/>
      <c r="B57" s="1124"/>
      <c r="C57" s="1128"/>
      <c r="D57" s="1126"/>
      <c r="E57" s="1126"/>
      <c r="F57" s="1132"/>
      <c r="G57" s="100"/>
      <c r="H57" s="1126"/>
      <c r="I57" s="1126"/>
      <c r="J57" s="1135"/>
      <c r="K57" s="1135"/>
      <c r="L57" s="916"/>
    </row>
    <row r="58" spans="1:12" s="103" customFormat="1" ht="15.75" hidden="1" customHeight="1" outlineLevel="1">
      <c r="A58" s="916"/>
      <c r="B58" s="1123">
        <v>16</v>
      </c>
      <c r="C58" s="1127"/>
      <c r="D58" s="1125"/>
      <c r="E58" s="1125" t="s">
        <v>18</v>
      </c>
      <c r="F58" s="1130" t="e">
        <f>IF(F$25=0,0,F32/F$25)</f>
        <v>#VALUE!</v>
      </c>
      <c r="G58" s="92"/>
      <c r="H58" s="1125"/>
      <c r="I58" s="1125"/>
      <c r="J58" s="1133"/>
      <c r="K58" s="1133"/>
      <c r="L58" s="916"/>
    </row>
    <row r="59" spans="1:12" s="103" customFormat="1" ht="15.75" hidden="1" customHeight="1" outlineLevel="1">
      <c r="A59" s="916"/>
      <c r="B59" s="1123"/>
      <c r="C59" s="1127"/>
      <c r="D59" s="1125"/>
      <c r="E59" s="1125"/>
      <c r="F59" s="1130"/>
      <c r="G59" s="95"/>
      <c r="H59" s="1125"/>
      <c r="I59" s="1125"/>
      <c r="J59" s="1134"/>
      <c r="K59" s="1134"/>
      <c r="L59" s="916"/>
    </row>
    <row r="60" spans="1:12" s="103" customFormat="1" ht="15.75" hidden="1" customHeight="1" outlineLevel="1">
      <c r="A60" s="916"/>
      <c r="B60" s="1124"/>
      <c r="C60" s="1128"/>
      <c r="D60" s="1126"/>
      <c r="E60" s="1126"/>
      <c r="F60" s="1132"/>
      <c r="G60" s="100"/>
      <c r="H60" s="1126"/>
      <c r="I60" s="1126"/>
      <c r="J60" s="1135"/>
      <c r="K60" s="1135"/>
      <c r="L60" s="916"/>
    </row>
    <row r="61" spans="1:12" s="103" customFormat="1" ht="15.75" hidden="1" customHeight="1" outlineLevel="1">
      <c r="A61" s="916"/>
      <c r="B61" s="1123">
        <v>17</v>
      </c>
      <c r="C61" s="1127"/>
      <c r="D61" s="1125"/>
      <c r="E61" s="1125" t="s">
        <v>18</v>
      </c>
      <c r="F61" s="1130" t="str">
        <f>VLOOKUP(E61,$N$13:$O$17,2,0)</f>
        <v>-</v>
      </c>
      <c r="G61" s="92"/>
      <c r="H61" s="1125"/>
      <c r="I61" s="1125"/>
      <c r="J61" s="1133"/>
      <c r="K61" s="1133"/>
      <c r="L61" s="916"/>
    </row>
    <row r="62" spans="1:12" s="103" customFormat="1" ht="15.75" hidden="1" customHeight="1" outlineLevel="1">
      <c r="A62" s="916"/>
      <c r="B62" s="1123"/>
      <c r="C62" s="1127"/>
      <c r="D62" s="1125"/>
      <c r="E62" s="1125"/>
      <c r="F62" s="1130"/>
      <c r="G62" s="95"/>
      <c r="H62" s="1125"/>
      <c r="I62" s="1125"/>
      <c r="J62" s="1134"/>
      <c r="K62" s="1134"/>
      <c r="L62" s="916"/>
    </row>
    <row r="63" spans="1:12" s="103" customFormat="1" ht="15.75" hidden="1" customHeight="1" outlineLevel="1">
      <c r="A63" s="916"/>
      <c r="B63" s="1124"/>
      <c r="C63" s="1128"/>
      <c r="D63" s="1126"/>
      <c r="E63" s="1126"/>
      <c r="F63" s="1132"/>
      <c r="G63" s="100"/>
      <c r="H63" s="1126"/>
      <c r="I63" s="1126"/>
      <c r="J63" s="1135"/>
      <c r="K63" s="1135"/>
      <c r="L63" s="916"/>
    </row>
    <row r="64" spans="1:12" s="103" customFormat="1" ht="15.75" hidden="1" customHeight="1" outlineLevel="1">
      <c r="A64" s="916"/>
      <c r="B64" s="1123">
        <v>18</v>
      </c>
      <c r="C64" s="1127"/>
      <c r="D64" s="1125"/>
      <c r="E64" s="1125" t="s">
        <v>18</v>
      </c>
      <c r="F64" s="1130" t="str">
        <f>VLOOKUP(E64,$N$13:$O$17,2,0)</f>
        <v>-</v>
      </c>
      <c r="G64" s="92"/>
      <c r="H64" s="1125"/>
      <c r="I64" s="1125"/>
      <c r="J64" s="1133"/>
      <c r="K64" s="1133"/>
      <c r="L64" s="916"/>
    </row>
    <row r="65" spans="1:12" s="103" customFormat="1" ht="15.75" hidden="1" customHeight="1" outlineLevel="1">
      <c r="A65" s="916"/>
      <c r="B65" s="1123"/>
      <c r="C65" s="1127"/>
      <c r="D65" s="1125"/>
      <c r="E65" s="1125"/>
      <c r="F65" s="1130"/>
      <c r="G65" s="95"/>
      <c r="H65" s="1125"/>
      <c r="I65" s="1125"/>
      <c r="J65" s="1134"/>
      <c r="K65" s="1134"/>
      <c r="L65" s="916"/>
    </row>
    <row r="66" spans="1:12" s="103" customFormat="1" ht="15.75" hidden="1" customHeight="1" outlineLevel="1">
      <c r="A66" s="916"/>
      <c r="B66" s="1124"/>
      <c r="C66" s="1128"/>
      <c r="D66" s="1126"/>
      <c r="E66" s="1126"/>
      <c r="F66" s="1132"/>
      <c r="G66" s="100"/>
      <c r="H66" s="1126"/>
      <c r="I66" s="1126"/>
      <c r="J66" s="1135"/>
      <c r="K66" s="1135"/>
      <c r="L66" s="916"/>
    </row>
    <row r="67" spans="1:12" s="103" customFormat="1" ht="15.75" hidden="1" customHeight="1" outlineLevel="1">
      <c r="A67" s="916"/>
      <c r="B67" s="1123">
        <v>19</v>
      </c>
      <c r="C67" s="1127"/>
      <c r="D67" s="1125"/>
      <c r="E67" s="1125" t="s">
        <v>18</v>
      </c>
      <c r="F67" s="1130" t="str">
        <f>VLOOKUP(E67,$N$13:$O$17,2,0)</f>
        <v>-</v>
      </c>
      <c r="G67" s="92"/>
      <c r="H67" s="1125"/>
      <c r="I67" s="1125"/>
      <c r="J67" s="1133"/>
      <c r="K67" s="1133"/>
      <c r="L67" s="916"/>
    </row>
    <row r="68" spans="1:12" s="103" customFormat="1" ht="15.75" hidden="1" customHeight="1" outlineLevel="1">
      <c r="A68" s="916"/>
      <c r="B68" s="1123"/>
      <c r="C68" s="1127"/>
      <c r="D68" s="1125"/>
      <c r="E68" s="1125"/>
      <c r="F68" s="1130"/>
      <c r="G68" s="95"/>
      <c r="H68" s="1125"/>
      <c r="I68" s="1125"/>
      <c r="J68" s="1134"/>
      <c r="K68" s="1134"/>
      <c r="L68" s="916"/>
    </row>
    <row r="69" spans="1:12" s="103" customFormat="1" ht="15.75" hidden="1" customHeight="1" outlineLevel="1">
      <c r="A69" s="916"/>
      <c r="B69" s="1124"/>
      <c r="C69" s="1128"/>
      <c r="D69" s="1126"/>
      <c r="E69" s="1126"/>
      <c r="F69" s="1132"/>
      <c r="G69" s="100"/>
      <c r="H69" s="1126"/>
      <c r="I69" s="1126"/>
      <c r="J69" s="1135"/>
      <c r="K69" s="1135"/>
      <c r="L69" s="916"/>
    </row>
    <row r="70" spans="1:12" s="103" customFormat="1" ht="15.75" hidden="1" customHeight="1" outlineLevel="1">
      <c r="A70" s="916"/>
      <c r="B70" s="1123">
        <v>20</v>
      </c>
      <c r="C70" s="1127"/>
      <c r="D70" s="1125"/>
      <c r="E70" s="1125" t="s">
        <v>18</v>
      </c>
      <c r="F70" s="1130" t="str">
        <f>VLOOKUP(E70,$N$13:$O$17,2,0)</f>
        <v>-</v>
      </c>
      <c r="G70" s="92"/>
      <c r="H70" s="1125"/>
      <c r="I70" s="1125"/>
      <c r="J70" s="1133"/>
      <c r="K70" s="1133"/>
      <c r="L70" s="916"/>
    </row>
    <row r="71" spans="1:12" s="103" customFormat="1" ht="15.75" hidden="1" customHeight="1" outlineLevel="1">
      <c r="A71" s="916"/>
      <c r="B71" s="1123"/>
      <c r="C71" s="1127"/>
      <c r="D71" s="1125"/>
      <c r="E71" s="1125"/>
      <c r="F71" s="1130"/>
      <c r="G71" s="95"/>
      <c r="H71" s="1125"/>
      <c r="I71" s="1125"/>
      <c r="J71" s="1134"/>
      <c r="K71" s="1134"/>
      <c r="L71" s="916"/>
    </row>
    <row r="72" spans="1:12" s="103" customFormat="1" ht="15.75" hidden="1" customHeight="1" outlineLevel="1">
      <c r="A72" s="916"/>
      <c r="B72" s="1124"/>
      <c r="C72" s="1128"/>
      <c r="D72" s="1126"/>
      <c r="E72" s="1126"/>
      <c r="F72" s="1132"/>
      <c r="G72" s="100"/>
      <c r="H72" s="1126"/>
      <c r="I72" s="1126"/>
      <c r="J72" s="1135"/>
      <c r="K72" s="1135"/>
      <c r="L72" s="916"/>
    </row>
    <row r="73" spans="1:12" s="103" customFormat="1" ht="15.75" hidden="1" customHeight="1" outlineLevel="1">
      <c r="A73" s="916"/>
      <c r="B73" s="1123">
        <v>21</v>
      </c>
      <c r="C73" s="1127"/>
      <c r="D73" s="1125"/>
      <c r="E73" s="1125" t="s">
        <v>18</v>
      </c>
      <c r="F73" s="1130" t="str">
        <f>VLOOKUP(E73,$N$13:$O$17,2,0)</f>
        <v>-</v>
      </c>
      <c r="G73" s="92"/>
      <c r="H73" s="1125"/>
      <c r="I73" s="1125"/>
      <c r="J73" s="1133"/>
      <c r="K73" s="1133"/>
      <c r="L73" s="916"/>
    </row>
    <row r="74" spans="1:12" s="103" customFormat="1" ht="15.75" hidden="1" customHeight="1" outlineLevel="1">
      <c r="A74" s="916"/>
      <c r="B74" s="1123"/>
      <c r="C74" s="1127"/>
      <c r="D74" s="1125"/>
      <c r="E74" s="1125"/>
      <c r="F74" s="1130"/>
      <c r="G74" s="95"/>
      <c r="H74" s="1125"/>
      <c r="I74" s="1125"/>
      <c r="J74" s="1134"/>
      <c r="K74" s="1134"/>
      <c r="L74" s="916"/>
    </row>
    <row r="75" spans="1:12" s="103" customFormat="1" ht="15.75" hidden="1" customHeight="1" outlineLevel="1">
      <c r="A75" s="916"/>
      <c r="B75" s="1124"/>
      <c r="C75" s="1128"/>
      <c r="D75" s="1126"/>
      <c r="E75" s="1126"/>
      <c r="F75" s="1132"/>
      <c r="G75" s="100"/>
      <c r="H75" s="1126"/>
      <c r="I75" s="1126"/>
      <c r="J75" s="1135"/>
      <c r="K75" s="1135"/>
      <c r="L75" s="916"/>
    </row>
    <row r="76" spans="1:12" s="103" customFormat="1" ht="15.75" hidden="1" customHeight="1" outlineLevel="1">
      <c r="A76" s="916"/>
      <c r="B76" s="1123">
        <v>22</v>
      </c>
      <c r="C76" s="1127"/>
      <c r="D76" s="1125"/>
      <c r="E76" s="1125" t="s">
        <v>18</v>
      </c>
      <c r="F76" s="1130" t="str">
        <f>VLOOKUP(E76,$N$13:$O$17,2,0)</f>
        <v>-</v>
      </c>
      <c r="G76" s="92"/>
      <c r="H76" s="1125"/>
      <c r="I76" s="1125"/>
      <c r="J76" s="1133"/>
      <c r="K76" s="1133"/>
      <c r="L76" s="916"/>
    </row>
    <row r="77" spans="1:12" s="103" customFormat="1" ht="15.75" hidden="1" customHeight="1" outlineLevel="1">
      <c r="A77" s="916"/>
      <c r="B77" s="1123"/>
      <c r="C77" s="1127"/>
      <c r="D77" s="1125"/>
      <c r="E77" s="1125"/>
      <c r="F77" s="1130"/>
      <c r="G77" s="95"/>
      <c r="H77" s="1125"/>
      <c r="I77" s="1125"/>
      <c r="J77" s="1134"/>
      <c r="K77" s="1134"/>
      <c r="L77" s="916"/>
    </row>
    <row r="78" spans="1:12" s="103" customFormat="1" ht="15.75" hidden="1" customHeight="1" outlineLevel="1">
      <c r="A78" s="916"/>
      <c r="B78" s="1124"/>
      <c r="C78" s="1128"/>
      <c r="D78" s="1126"/>
      <c r="E78" s="1126"/>
      <c r="F78" s="1132"/>
      <c r="G78" s="100"/>
      <c r="H78" s="1126"/>
      <c r="I78" s="1126"/>
      <c r="J78" s="1135"/>
      <c r="K78" s="1135"/>
      <c r="L78" s="916"/>
    </row>
    <row r="79" spans="1:12" s="103" customFormat="1" ht="15.75" hidden="1" customHeight="1" outlineLevel="1">
      <c r="A79" s="916"/>
      <c r="B79" s="1123">
        <v>23</v>
      </c>
      <c r="C79" s="1127"/>
      <c r="D79" s="1125"/>
      <c r="E79" s="1125" t="s">
        <v>18</v>
      </c>
      <c r="F79" s="1130" t="str">
        <f>VLOOKUP(E79,$N$13:$O$17,2,0)</f>
        <v>-</v>
      </c>
      <c r="G79" s="92"/>
      <c r="H79" s="1125"/>
      <c r="I79" s="1125"/>
      <c r="J79" s="1133"/>
      <c r="K79" s="1133"/>
      <c r="L79" s="916"/>
    </row>
    <row r="80" spans="1:12" s="103" customFormat="1" ht="15.75" hidden="1" customHeight="1" outlineLevel="1">
      <c r="A80" s="916"/>
      <c r="B80" s="1123"/>
      <c r="C80" s="1127"/>
      <c r="D80" s="1125"/>
      <c r="E80" s="1125"/>
      <c r="F80" s="1130"/>
      <c r="G80" s="95"/>
      <c r="H80" s="1125"/>
      <c r="I80" s="1125"/>
      <c r="J80" s="1134"/>
      <c r="K80" s="1134"/>
      <c r="L80" s="916"/>
    </row>
    <row r="81" spans="1:12" s="103" customFormat="1" ht="15.75" hidden="1" customHeight="1" outlineLevel="1">
      <c r="A81" s="916"/>
      <c r="B81" s="1124"/>
      <c r="C81" s="1128"/>
      <c r="D81" s="1126"/>
      <c r="E81" s="1126"/>
      <c r="F81" s="1132"/>
      <c r="G81" s="100"/>
      <c r="H81" s="1126"/>
      <c r="I81" s="1126"/>
      <c r="J81" s="1135"/>
      <c r="K81" s="1135"/>
      <c r="L81" s="916"/>
    </row>
    <row r="82" spans="1:12" s="103" customFormat="1" ht="15.75" hidden="1" customHeight="1" outlineLevel="1">
      <c r="A82" s="916"/>
      <c r="B82" s="1123">
        <v>24</v>
      </c>
      <c r="C82" s="1127"/>
      <c r="D82" s="1125"/>
      <c r="E82" s="1125" t="s">
        <v>18</v>
      </c>
      <c r="F82" s="1130" t="str">
        <f>VLOOKUP(E82,$N$13:$O$17,2,0)</f>
        <v>-</v>
      </c>
      <c r="G82" s="92"/>
      <c r="H82" s="1125"/>
      <c r="I82" s="1125"/>
      <c r="J82" s="1133"/>
      <c r="K82" s="1133"/>
      <c r="L82" s="916"/>
    </row>
    <row r="83" spans="1:12" s="103" customFormat="1" ht="15.75" hidden="1" customHeight="1" outlineLevel="1">
      <c r="A83" s="916"/>
      <c r="B83" s="1123"/>
      <c r="C83" s="1127"/>
      <c r="D83" s="1125"/>
      <c r="E83" s="1125"/>
      <c r="F83" s="1130"/>
      <c r="G83" s="95"/>
      <c r="H83" s="1125"/>
      <c r="I83" s="1125"/>
      <c r="J83" s="1134"/>
      <c r="K83" s="1134"/>
      <c r="L83" s="916"/>
    </row>
    <row r="84" spans="1:12" s="103" customFormat="1" ht="15.75" hidden="1" customHeight="1" outlineLevel="1">
      <c r="A84" s="916"/>
      <c r="B84" s="1124"/>
      <c r="C84" s="1128"/>
      <c r="D84" s="1126"/>
      <c r="E84" s="1126"/>
      <c r="F84" s="1132"/>
      <c r="G84" s="100"/>
      <c r="H84" s="1126"/>
      <c r="I84" s="1126"/>
      <c r="J84" s="1135"/>
      <c r="K84" s="1135"/>
      <c r="L84" s="916"/>
    </row>
    <row r="85" spans="1:12" s="103" customFormat="1" ht="15.75" hidden="1" customHeight="1" outlineLevel="1">
      <c r="A85" s="916"/>
      <c r="B85" s="1123">
        <v>25</v>
      </c>
      <c r="C85" s="1127"/>
      <c r="D85" s="1125"/>
      <c r="E85" s="1125" t="s">
        <v>18</v>
      </c>
      <c r="F85" s="1130" t="str">
        <f>VLOOKUP(E85,$N$13:$O$17,2,0)</f>
        <v>-</v>
      </c>
      <c r="G85" s="92"/>
      <c r="H85" s="1125"/>
      <c r="I85" s="1125"/>
      <c r="J85" s="1133"/>
      <c r="K85" s="1133"/>
      <c r="L85" s="916"/>
    </row>
    <row r="86" spans="1:12" s="103" customFormat="1" ht="15.75" hidden="1" customHeight="1" outlineLevel="1">
      <c r="A86" s="916"/>
      <c r="B86" s="1123"/>
      <c r="C86" s="1127"/>
      <c r="D86" s="1125"/>
      <c r="E86" s="1125"/>
      <c r="F86" s="1130"/>
      <c r="G86" s="95"/>
      <c r="H86" s="1125"/>
      <c r="I86" s="1125"/>
      <c r="J86" s="1134"/>
      <c r="K86" s="1134"/>
      <c r="L86" s="916"/>
    </row>
    <row r="87" spans="1:12" s="103" customFormat="1" ht="15.75" hidden="1" customHeight="1" outlineLevel="1">
      <c r="A87" s="916"/>
      <c r="B87" s="1124"/>
      <c r="C87" s="1128"/>
      <c r="D87" s="1126"/>
      <c r="E87" s="1126"/>
      <c r="F87" s="1132"/>
      <c r="G87" s="100"/>
      <c r="H87" s="1126"/>
      <c r="I87" s="1126"/>
      <c r="J87" s="1135"/>
      <c r="K87" s="1135"/>
      <c r="L87" s="916"/>
    </row>
    <row r="88" spans="1:12" s="103" customFormat="1" ht="15.75" hidden="1" customHeight="1" outlineLevel="1">
      <c r="A88" s="916"/>
      <c r="B88" s="1123">
        <v>26</v>
      </c>
      <c r="C88" s="1127"/>
      <c r="D88" s="1125"/>
      <c r="E88" s="1125" t="s">
        <v>18</v>
      </c>
      <c r="F88" s="1130" t="str">
        <f>VLOOKUP(E88,$N$13:$O$17,2,0)</f>
        <v>-</v>
      </c>
      <c r="G88" s="92"/>
      <c r="H88" s="1125"/>
      <c r="I88" s="1125"/>
      <c r="J88" s="1133"/>
      <c r="K88" s="1133"/>
      <c r="L88" s="916"/>
    </row>
    <row r="89" spans="1:12" s="103" customFormat="1" ht="15.75" hidden="1" customHeight="1" outlineLevel="1">
      <c r="A89" s="916"/>
      <c r="B89" s="1123"/>
      <c r="C89" s="1127"/>
      <c r="D89" s="1125"/>
      <c r="E89" s="1125"/>
      <c r="F89" s="1130"/>
      <c r="G89" s="95"/>
      <c r="H89" s="1125"/>
      <c r="I89" s="1125"/>
      <c r="J89" s="1134"/>
      <c r="K89" s="1134"/>
      <c r="L89" s="916"/>
    </row>
    <row r="90" spans="1:12" s="103" customFormat="1" ht="15.75" hidden="1" customHeight="1" outlineLevel="1">
      <c r="A90" s="916"/>
      <c r="B90" s="1124"/>
      <c r="C90" s="1128"/>
      <c r="D90" s="1126"/>
      <c r="E90" s="1126"/>
      <c r="F90" s="1132"/>
      <c r="G90" s="100"/>
      <c r="H90" s="1126"/>
      <c r="I90" s="1126"/>
      <c r="J90" s="1135"/>
      <c r="K90" s="1135"/>
      <c r="L90" s="916"/>
    </row>
    <row r="91" spans="1:12" s="103" customFormat="1" ht="15.75" hidden="1" customHeight="1" outlineLevel="1">
      <c r="A91" s="916"/>
      <c r="B91" s="1123">
        <v>27</v>
      </c>
      <c r="C91" s="1127"/>
      <c r="D91" s="1125"/>
      <c r="E91" s="1125" t="s">
        <v>18</v>
      </c>
      <c r="F91" s="1130" t="str">
        <f>VLOOKUP(E91,$N$13:$O$17,2,0)</f>
        <v>-</v>
      </c>
      <c r="G91" s="92"/>
      <c r="H91" s="1125"/>
      <c r="I91" s="1125"/>
      <c r="J91" s="1133"/>
      <c r="K91" s="1133"/>
      <c r="L91" s="916"/>
    </row>
    <row r="92" spans="1:12" s="103" customFormat="1" ht="15.75" hidden="1" customHeight="1" outlineLevel="1">
      <c r="A92" s="916"/>
      <c r="B92" s="1123"/>
      <c r="C92" s="1127"/>
      <c r="D92" s="1125"/>
      <c r="E92" s="1125"/>
      <c r="F92" s="1130"/>
      <c r="G92" s="95"/>
      <c r="H92" s="1125"/>
      <c r="I92" s="1125"/>
      <c r="J92" s="1134"/>
      <c r="K92" s="1134"/>
      <c r="L92" s="916"/>
    </row>
    <row r="93" spans="1:12" s="103" customFormat="1" ht="15.75" hidden="1" customHeight="1" outlineLevel="1">
      <c r="A93" s="916"/>
      <c r="B93" s="1124"/>
      <c r="C93" s="1128"/>
      <c r="D93" s="1126"/>
      <c r="E93" s="1126"/>
      <c r="F93" s="1132"/>
      <c r="G93" s="100"/>
      <c r="H93" s="1126"/>
      <c r="I93" s="1126"/>
      <c r="J93" s="1135"/>
      <c r="K93" s="1135"/>
      <c r="L93" s="916"/>
    </row>
    <row r="94" spans="1:12" s="103" customFormat="1" ht="15.75" hidden="1" customHeight="1" outlineLevel="1">
      <c r="A94" s="916"/>
      <c r="B94" s="1123">
        <v>28</v>
      </c>
      <c r="C94" s="1127"/>
      <c r="D94" s="1125"/>
      <c r="E94" s="1125" t="s">
        <v>18</v>
      </c>
      <c r="F94" s="1130" t="str">
        <f>VLOOKUP(E94,$N$13:$O$17,2,0)</f>
        <v>-</v>
      </c>
      <c r="G94" s="92"/>
      <c r="H94" s="1125"/>
      <c r="I94" s="1125"/>
      <c r="J94" s="1133"/>
      <c r="K94" s="1133"/>
      <c r="L94" s="916"/>
    </row>
    <row r="95" spans="1:12" s="103" customFormat="1" ht="15.75" hidden="1" customHeight="1" outlineLevel="1">
      <c r="A95" s="916"/>
      <c r="B95" s="1123"/>
      <c r="C95" s="1127"/>
      <c r="D95" s="1125"/>
      <c r="E95" s="1125"/>
      <c r="F95" s="1130"/>
      <c r="G95" s="95"/>
      <c r="H95" s="1125"/>
      <c r="I95" s="1125"/>
      <c r="J95" s="1134"/>
      <c r="K95" s="1134"/>
      <c r="L95" s="916"/>
    </row>
    <row r="96" spans="1:12" s="103" customFormat="1" ht="15.75" hidden="1" customHeight="1" outlineLevel="1">
      <c r="A96" s="916"/>
      <c r="B96" s="1124"/>
      <c r="C96" s="1128"/>
      <c r="D96" s="1126"/>
      <c r="E96" s="1126"/>
      <c r="F96" s="1132"/>
      <c r="G96" s="100"/>
      <c r="H96" s="1126"/>
      <c r="I96" s="1126"/>
      <c r="J96" s="1135"/>
      <c r="K96" s="1135"/>
      <c r="L96" s="916"/>
    </row>
    <row r="97" spans="1:12" s="103" customFormat="1" ht="15.75" hidden="1" customHeight="1" outlineLevel="1">
      <c r="A97" s="916"/>
      <c r="B97" s="1123">
        <v>29</v>
      </c>
      <c r="C97" s="1127"/>
      <c r="D97" s="1125"/>
      <c r="E97" s="1125" t="s">
        <v>18</v>
      </c>
      <c r="F97" s="1130" t="str">
        <f>VLOOKUP(E97,$N$13:$O$17,2,0)</f>
        <v>-</v>
      </c>
      <c r="G97" s="92"/>
      <c r="H97" s="1125"/>
      <c r="I97" s="1125"/>
      <c r="J97" s="1133"/>
      <c r="K97" s="1133"/>
      <c r="L97" s="916"/>
    </row>
    <row r="98" spans="1:12" s="103" customFormat="1" ht="15.75" hidden="1" customHeight="1" outlineLevel="1">
      <c r="A98" s="916"/>
      <c r="B98" s="1123"/>
      <c r="C98" s="1127"/>
      <c r="D98" s="1125"/>
      <c r="E98" s="1125"/>
      <c r="F98" s="1130"/>
      <c r="G98" s="95"/>
      <c r="H98" s="1125"/>
      <c r="I98" s="1125"/>
      <c r="J98" s="1134"/>
      <c r="K98" s="1134"/>
      <c r="L98" s="916"/>
    </row>
    <row r="99" spans="1:12" s="103" customFormat="1" ht="15.75" hidden="1" customHeight="1" outlineLevel="1">
      <c r="A99" s="916"/>
      <c r="B99" s="1124"/>
      <c r="C99" s="1128"/>
      <c r="D99" s="1126"/>
      <c r="E99" s="1126"/>
      <c r="F99" s="1132"/>
      <c r="G99" s="100"/>
      <c r="H99" s="1126"/>
      <c r="I99" s="1126"/>
      <c r="J99" s="1135"/>
      <c r="K99" s="1135"/>
      <c r="L99" s="916"/>
    </row>
    <row r="100" spans="1:12" s="103" customFormat="1" ht="15.75" hidden="1" customHeight="1" outlineLevel="1">
      <c r="A100" s="916"/>
      <c r="B100" s="1123">
        <v>30</v>
      </c>
      <c r="C100" s="1127"/>
      <c r="D100" s="1125"/>
      <c r="E100" s="1125" t="s">
        <v>18</v>
      </c>
      <c r="F100" s="1130" t="str">
        <f>VLOOKUP(E100,$N$13:$O$17,2,0)</f>
        <v>-</v>
      </c>
      <c r="G100" s="92"/>
      <c r="H100" s="1125"/>
      <c r="I100" s="1125"/>
      <c r="J100" s="1133"/>
      <c r="K100" s="1133"/>
      <c r="L100" s="916"/>
    </row>
    <row r="101" spans="1:12" s="103" customFormat="1" ht="15.75" hidden="1" customHeight="1" outlineLevel="1">
      <c r="A101" s="916"/>
      <c r="B101" s="1123"/>
      <c r="C101" s="1127"/>
      <c r="D101" s="1125"/>
      <c r="E101" s="1125"/>
      <c r="F101" s="1130"/>
      <c r="G101" s="95"/>
      <c r="H101" s="1125"/>
      <c r="I101" s="1125"/>
      <c r="J101" s="1134"/>
      <c r="K101" s="1134"/>
      <c r="L101" s="916"/>
    </row>
    <row r="102" spans="1:12" s="103" customFormat="1" ht="15.75" hidden="1" customHeight="1" outlineLevel="1">
      <c r="A102" s="916"/>
      <c r="B102" s="1124"/>
      <c r="C102" s="1128"/>
      <c r="D102" s="1126"/>
      <c r="E102" s="1126"/>
      <c r="F102" s="1132"/>
      <c r="G102" s="100"/>
      <c r="H102" s="1126"/>
      <c r="I102" s="1126"/>
      <c r="J102" s="1135"/>
      <c r="K102" s="1135"/>
      <c r="L102" s="916"/>
    </row>
    <row r="103" spans="1:12" s="103" customFormat="1" ht="15.75" hidden="1" customHeight="1" outlineLevel="1">
      <c r="A103" s="916"/>
      <c r="B103" s="1123">
        <v>31</v>
      </c>
      <c r="C103" s="1127"/>
      <c r="D103" s="1125"/>
      <c r="E103" s="1125" t="s">
        <v>18</v>
      </c>
      <c r="F103" s="1130" t="str">
        <f>VLOOKUP(E103,$N$13:$O$17,2,0)</f>
        <v>-</v>
      </c>
      <c r="G103" s="92"/>
      <c r="H103" s="1125"/>
      <c r="I103" s="1125"/>
      <c r="J103" s="1133"/>
      <c r="K103" s="1133"/>
      <c r="L103" s="916"/>
    </row>
    <row r="104" spans="1:12" s="103" customFormat="1" ht="15.75" hidden="1" customHeight="1" outlineLevel="1">
      <c r="A104" s="916"/>
      <c r="B104" s="1123"/>
      <c r="C104" s="1127"/>
      <c r="D104" s="1125"/>
      <c r="E104" s="1125"/>
      <c r="F104" s="1130"/>
      <c r="G104" s="95"/>
      <c r="H104" s="1125"/>
      <c r="I104" s="1125"/>
      <c r="J104" s="1134"/>
      <c r="K104" s="1134"/>
      <c r="L104" s="916"/>
    </row>
    <row r="105" spans="1:12" s="103" customFormat="1" ht="15.75" hidden="1" customHeight="1" outlineLevel="1">
      <c r="A105" s="916"/>
      <c r="B105" s="1124"/>
      <c r="C105" s="1128"/>
      <c r="D105" s="1126"/>
      <c r="E105" s="1126"/>
      <c r="F105" s="1132"/>
      <c r="G105" s="100"/>
      <c r="H105" s="1126"/>
      <c r="I105" s="1126"/>
      <c r="J105" s="1135"/>
      <c r="K105" s="1135"/>
      <c r="L105" s="916"/>
    </row>
    <row r="106" spans="1:12" s="103" customFormat="1" ht="15.75" hidden="1" customHeight="1" outlineLevel="1">
      <c r="A106" s="916"/>
      <c r="B106" s="1123">
        <v>32</v>
      </c>
      <c r="C106" s="1127"/>
      <c r="D106" s="1125"/>
      <c r="E106" s="1125" t="s">
        <v>18</v>
      </c>
      <c r="F106" s="1130" t="str">
        <f>VLOOKUP(E106,$N$13:$O$17,2,0)</f>
        <v>-</v>
      </c>
      <c r="G106" s="92"/>
      <c r="H106" s="1125"/>
      <c r="I106" s="1125"/>
      <c r="J106" s="1133"/>
      <c r="K106" s="1133"/>
      <c r="L106" s="916"/>
    </row>
    <row r="107" spans="1:12" s="103" customFormat="1" ht="15.75" hidden="1" customHeight="1" outlineLevel="1">
      <c r="A107" s="916"/>
      <c r="B107" s="1123"/>
      <c r="C107" s="1127"/>
      <c r="D107" s="1125"/>
      <c r="E107" s="1125"/>
      <c r="F107" s="1130"/>
      <c r="G107" s="95"/>
      <c r="H107" s="1125"/>
      <c r="I107" s="1125"/>
      <c r="J107" s="1134"/>
      <c r="K107" s="1134"/>
      <c r="L107" s="916"/>
    </row>
    <row r="108" spans="1:12" s="103" customFormat="1" ht="15.75" hidden="1" customHeight="1" outlineLevel="1">
      <c r="A108" s="916"/>
      <c r="B108" s="1124"/>
      <c r="C108" s="1128"/>
      <c r="D108" s="1126"/>
      <c r="E108" s="1126"/>
      <c r="F108" s="1132"/>
      <c r="G108" s="100"/>
      <c r="H108" s="1126"/>
      <c r="I108" s="1126"/>
      <c r="J108" s="1135"/>
      <c r="K108" s="1135"/>
      <c r="L108" s="916"/>
    </row>
    <row r="109" spans="1:12" s="103" customFormat="1" ht="15.75" hidden="1" customHeight="1" outlineLevel="1">
      <c r="A109" s="916"/>
      <c r="B109" s="1123">
        <v>33</v>
      </c>
      <c r="C109" s="1127"/>
      <c r="D109" s="1125"/>
      <c r="E109" s="1125" t="s">
        <v>18</v>
      </c>
      <c r="F109" s="1130" t="str">
        <f>VLOOKUP(E109,$N$13:$O$17,2,0)</f>
        <v>-</v>
      </c>
      <c r="G109" s="92"/>
      <c r="H109" s="1125"/>
      <c r="I109" s="1125"/>
      <c r="J109" s="1133"/>
      <c r="K109" s="1133"/>
      <c r="L109" s="916"/>
    </row>
    <row r="110" spans="1:12" s="103" customFormat="1" ht="15.75" hidden="1" customHeight="1" outlineLevel="1">
      <c r="A110" s="916"/>
      <c r="B110" s="1123"/>
      <c r="C110" s="1127"/>
      <c r="D110" s="1125"/>
      <c r="E110" s="1125"/>
      <c r="F110" s="1130"/>
      <c r="G110" s="95"/>
      <c r="H110" s="1125"/>
      <c r="I110" s="1125"/>
      <c r="J110" s="1134"/>
      <c r="K110" s="1134"/>
      <c r="L110" s="916"/>
    </row>
    <row r="111" spans="1:12" s="103" customFormat="1" ht="15.75" hidden="1" customHeight="1" outlineLevel="1">
      <c r="A111" s="916"/>
      <c r="B111" s="1124"/>
      <c r="C111" s="1128"/>
      <c r="D111" s="1126"/>
      <c r="E111" s="1126"/>
      <c r="F111" s="1132"/>
      <c r="G111" s="100"/>
      <c r="H111" s="1126"/>
      <c r="I111" s="1126"/>
      <c r="J111" s="1135"/>
      <c r="K111" s="1135"/>
      <c r="L111" s="916"/>
    </row>
    <row r="112" spans="1:12" s="103" customFormat="1" ht="15.75" hidden="1" customHeight="1" outlineLevel="1">
      <c r="A112" s="916"/>
      <c r="B112" s="1123">
        <v>34</v>
      </c>
      <c r="C112" s="1127"/>
      <c r="D112" s="1125"/>
      <c r="E112" s="1125" t="s">
        <v>18</v>
      </c>
      <c r="F112" s="1130" t="str">
        <f>VLOOKUP(E112,$N$13:$O$17,2,0)</f>
        <v>-</v>
      </c>
      <c r="G112" s="92"/>
      <c r="H112" s="1125"/>
      <c r="I112" s="1125"/>
      <c r="J112" s="1133"/>
      <c r="K112" s="1133"/>
      <c r="L112" s="916"/>
    </row>
    <row r="113" spans="1:12" s="103" customFormat="1" ht="15.75" hidden="1" customHeight="1" outlineLevel="1">
      <c r="A113" s="916"/>
      <c r="B113" s="1123"/>
      <c r="C113" s="1127"/>
      <c r="D113" s="1125"/>
      <c r="E113" s="1125"/>
      <c r="F113" s="1130"/>
      <c r="G113" s="95"/>
      <c r="H113" s="1125"/>
      <c r="I113" s="1125"/>
      <c r="J113" s="1134"/>
      <c r="K113" s="1134"/>
      <c r="L113" s="916"/>
    </row>
    <row r="114" spans="1:12" s="103" customFormat="1" ht="15.75" hidden="1" customHeight="1" outlineLevel="1">
      <c r="A114" s="916"/>
      <c r="B114" s="1124"/>
      <c r="C114" s="1128"/>
      <c r="D114" s="1126"/>
      <c r="E114" s="1126"/>
      <c r="F114" s="1132"/>
      <c r="G114" s="100"/>
      <c r="H114" s="1126"/>
      <c r="I114" s="1126"/>
      <c r="J114" s="1135"/>
      <c r="K114" s="1135"/>
      <c r="L114" s="916"/>
    </row>
    <row r="115" spans="1:12" s="103" customFormat="1" ht="15.75" hidden="1" customHeight="1" outlineLevel="1">
      <c r="A115" s="916"/>
      <c r="B115" s="1123">
        <v>35</v>
      </c>
      <c r="C115" s="1127"/>
      <c r="D115" s="1125"/>
      <c r="E115" s="1125" t="s">
        <v>18</v>
      </c>
      <c r="F115" s="1130" t="str">
        <f>VLOOKUP(E115,$N$13:$O$17,2,0)</f>
        <v>-</v>
      </c>
      <c r="G115" s="92"/>
      <c r="H115" s="1125"/>
      <c r="I115" s="1125"/>
      <c r="J115" s="1133"/>
      <c r="K115" s="1133"/>
      <c r="L115" s="916"/>
    </row>
    <row r="116" spans="1:12" s="103" customFormat="1" ht="15.75" hidden="1" customHeight="1" outlineLevel="1">
      <c r="A116" s="916"/>
      <c r="B116" s="1123"/>
      <c r="C116" s="1127"/>
      <c r="D116" s="1125"/>
      <c r="E116" s="1125"/>
      <c r="F116" s="1130"/>
      <c r="G116" s="95"/>
      <c r="H116" s="1125"/>
      <c r="I116" s="1125"/>
      <c r="J116" s="1134"/>
      <c r="K116" s="1134"/>
      <c r="L116" s="916"/>
    </row>
    <row r="117" spans="1:12" s="103" customFormat="1" ht="15.75" hidden="1" customHeight="1" outlineLevel="1">
      <c r="A117" s="916"/>
      <c r="B117" s="1124"/>
      <c r="C117" s="1128"/>
      <c r="D117" s="1126"/>
      <c r="E117" s="1126"/>
      <c r="F117" s="1132"/>
      <c r="G117" s="100"/>
      <c r="H117" s="1126"/>
      <c r="I117" s="1126"/>
      <c r="J117" s="1135"/>
      <c r="K117" s="1135"/>
      <c r="L117" s="916"/>
    </row>
    <row r="118" spans="1:12" s="103" customFormat="1" ht="15.75" hidden="1" customHeight="1" outlineLevel="1">
      <c r="A118" s="916"/>
      <c r="B118" s="1123">
        <v>36</v>
      </c>
      <c r="C118" s="1127"/>
      <c r="D118" s="1125"/>
      <c r="E118" s="1125" t="s">
        <v>18</v>
      </c>
      <c r="F118" s="1130" t="str">
        <f>VLOOKUP(E118,$N$13:$O$17,2,0)</f>
        <v>-</v>
      </c>
      <c r="G118" s="92"/>
      <c r="H118" s="1125"/>
      <c r="I118" s="1125"/>
      <c r="J118" s="1133"/>
      <c r="K118" s="1133"/>
      <c r="L118" s="916"/>
    </row>
    <row r="119" spans="1:12" s="103" customFormat="1" ht="15.75" hidden="1" customHeight="1" outlineLevel="1">
      <c r="A119" s="916"/>
      <c r="B119" s="1123"/>
      <c r="C119" s="1127"/>
      <c r="D119" s="1125"/>
      <c r="E119" s="1125"/>
      <c r="F119" s="1130"/>
      <c r="G119" s="95"/>
      <c r="H119" s="1125"/>
      <c r="I119" s="1125"/>
      <c r="J119" s="1134"/>
      <c r="K119" s="1134"/>
      <c r="L119" s="916"/>
    </row>
    <row r="120" spans="1:12" s="103" customFormat="1" ht="15.75" hidden="1" customHeight="1" outlineLevel="1">
      <c r="A120" s="916"/>
      <c r="B120" s="1124"/>
      <c r="C120" s="1128"/>
      <c r="D120" s="1126"/>
      <c r="E120" s="1126"/>
      <c r="F120" s="1132"/>
      <c r="G120" s="100"/>
      <c r="H120" s="1126"/>
      <c r="I120" s="1126"/>
      <c r="J120" s="1135"/>
      <c r="K120" s="1135"/>
      <c r="L120" s="916"/>
    </row>
    <row r="121" spans="1:12" s="103" customFormat="1" ht="15.75" hidden="1" customHeight="1" outlineLevel="1">
      <c r="A121" s="916"/>
      <c r="B121" s="1123">
        <v>37</v>
      </c>
      <c r="C121" s="1127"/>
      <c r="D121" s="1125"/>
      <c r="E121" s="1125" t="s">
        <v>18</v>
      </c>
      <c r="F121" s="1130" t="str">
        <f>VLOOKUP(E121,$N$13:$O$17,2,0)</f>
        <v>-</v>
      </c>
      <c r="G121" s="92"/>
      <c r="H121" s="1125"/>
      <c r="I121" s="1125"/>
      <c r="J121" s="1133"/>
      <c r="K121" s="1133"/>
      <c r="L121" s="916"/>
    </row>
    <row r="122" spans="1:12" s="103" customFormat="1" ht="15.75" hidden="1" customHeight="1" outlineLevel="1">
      <c r="A122" s="916"/>
      <c r="B122" s="1123"/>
      <c r="C122" s="1127"/>
      <c r="D122" s="1125"/>
      <c r="E122" s="1125"/>
      <c r="F122" s="1130"/>
      <c r="G122" s="95"/>
      <c r="H122" s="1125"/>
      <c r="I122" s="1125"/>
      <c r="J122" s="1134"/>
      <c r="K122" s="1134"/>
      <c r="L122" s="916"/>
    </row>
    <row r="123" spans="1:12" s="103" customFormat="1" ht="15.75" hidden="1" customHeight="1" outlineLevel="1">
      <c r="A123" s="916"/>
      <c r="B123" s="1124"/>
      <c r="C123" s="1128"/>
      <c r="D123" s="1126"/>
      <c r="E123" s="1126"/>
      <c r="F123" s="1132"/>
      <c r="G123" s="100"/>
      <c r="H123" s="1126"/>
      <c r="I123" s="1126"/>
      <c r="J123" s="1135"/>
      <c r="K123" s="1135"/>
      <c r="L123" s="916"/>
    </row>
    <row r="124" spans="1:12" s="103" customFormat="1" ht="15.75" hidden="1" customHeight="1" outlineLevel="1">
      <c r="A124" s="916"/>
      <c r="B124" s="1123">
        <v>38</v>
      </c>
      <c r="C124" s="1127"/>
      <c r="D124" s="1125"/>
      <c r="E124" s="1125" t="s">
        <v>18</v>
      </c>
      <c r="F124" s="1130" t="str">
        <f>VLOOKUP(E124,$N$13:$O$17,2,0)</f>
        <v>-</v>
      </c>
      <c r="G124" s="92"/>
      <c r="H124" s="1125"/>
      <c r="I124" s="1125"/>
      <c r="J124" s="1133"/>
      <c r="K124" s="1133"/>
      <c r="L124" s="916"/>
    </row>
    <row r="125" spans="1:12" s="103" customFormat="1" ht="15.75" hidden="1" customHeight="1" outlineLevel="1">
      <c r="A125" s="916"/>
      <c r="B125" s="1123"/>
      <c r="C125" s="1127"/>
      <c r="D125" s="1125"/>
      <c r="E125" s="1125"/>
      <c r="F125" s="1130"/>
      <c r="G125" s="95"/>
      <c r="H125" s="1125"/>
      <c r="I125" s="1125"/>
      <c r="J125" s="1134"/>
      <c r="K125" s="1134"/>
      <c r="L125" s="916"/>
    </row>
    <row r="126" spans="1:12" s="103" customFormat="1" ht="15.75" hidden="1" customHeight="1" outlineLevel="1">
      <c r="A126" s="916"/>
      <c r="B126" s="1124"/>
      <c r="C126" s="1128"/>
      <c r="D126" s="1126"/>
      <c r="E126" s="1126"/>
      <c r="F126" s="1132"/>
      <c r="G126" s="100"/>
      <c r="H126" s="1126"/>
      <c r="I126" s="1126"/>
      <c r="J126" s="1135"/>
      <c r="K126" s="1135"/>
      <c r="L126" s="916"/>
    </row>
    <row r="127" spans="1:12" s="103" customFormat="1" ht="15.75" hidden="1" customHeight="1" outlineLevel="1">
      <c r="A127" s="916"/>
      <c r="B127" s="1123">
        <v>39</v>
      </c>
      <c r="C127" s="1127"/>
      <c r="D127" s="1125"/>
      <c r="E127" s="1125" t="s">
        <v>18</v>
      </c>
      <c r="F127" s="1130" t="str">
        <f>VLOOKUP(E127,$N$13:$O$17,2,0)</f>
        <v>-</v>
      </c>
      <c r="G127" s="92"/>
      <c r="H127" s="1125"/>
      <c r="I127" s="1125"/>
      <c r="J127" s="1133"/>
      <c r="K127" s="1133"/>
      <c r="L127" s="916"/>
    </row>
    <row r="128" spans="1:12" s="103" customFormat="1" ht="15.75" hidden="1" customHeight="1" outlineLevel="1">
      <c r="A128" s="916"/>
      <c r="B128" s="1123"/>
      <c r="C128" s="1127"/>
      <c r="D128" s="1125"/>
      <c r="E128" s="1125"/>
      <c r="F128" s="1130"/>
      <c r="G128" s="95"/>
      <c r="H128" s="1125"/>
      <c r="I128" s="1125"/>
      <c r="J128" s="1134"/>
      <c r="K128" s="1134"/>
      <c r="L128" s="916"/>
    </row>
    <row r="129" spans="1:12" s="103" customFormat="1" ht="15.75" hidden="1" customHeight="1" outlineLevel="1">
      <c r="A129" s="916"/>
      <c r="B129" s="1124"/>
      <c r="C129" s="1128"/>
      <c r="D129" s="1126"/>
      <c r="E129" s="1126"/>
      <c r="F129" s="1132"/>
      <c r="G129" s="100"/>
      <c r="H129" s="1126"/>
      <c r="I129" s="1126"/>
      <c r="J129" s="1135"/>
      <c r="K129" s="1135"/>
      <c r="L129" s="916"/>
    </row>
    <row r="130" spans="1:12" s="103" customFormat="1" ht="15.75" hidden="1" customHeight="1" outlineLevel="1">
      <c r="A130" s="916"/>
      <c r="B130" s="1123">
        <v>40</v>
      </c>
      <c r="C130" s="1127"/>
      <c r="D130" s="1125"/>
      <c r="E130" s="1125" t="s">
        <v>18</v>
      </c>
      <c r="F130" s="1130" t="str">
        <f>VLOOKUP(E130,$N$13:$O$17,2,0)</f>
        <v>-</v>
      </c>
      <c r="G130" s="92"/>
      <c r="H130" s="1125"/>
      <c r="I130" s="1125"/>
      <c r="J130" s="1133"/>
      <c r="K130" s="1133"/>
      <c r="L130" s="916"/>
    </row>
    <row r="131" spans="1:12" s="103" customFormat="1" ht="15.75" hidden="1" customHeight="1" outlineLevel="1">
      <c r="A131" s="916"/>
      <c r="B131" s="1123"/>
      <c r="C131" s="1127"/>
      <c r="D131" s="1125"/>
      <c r="E131" s="1125"/>
      <c r="F131" s="1130"/>
      <c r="G131" s="95"/>
      <c r="H131" s="1125"/>
      <c r="I131" s="1125"/>
      <c r="J131" s="1134"/>
      <c r="K131" s="1134"/>
      <c r="L131" s="916"/>
    </row>
    <row r="132" spans="1:12" s="103" customFormat="1" ht="15.75" hidden="1" customHeight="1" outlineLevel="1">
      <c r="A132" s="916"/>
      <c r="B132" s="1124"/>
      <c r="C132" s="1128"/>
      <c r="D132" s="1126"/>
      <c r="E132" s="1126"/>
      <c r="F132" s="1132"/>
      <c r="G132" s="100"/>
      <c r="H132" s="1126"/>
      <c r="I132" s="1126"/>
      <c r="J132" s="1135"/>
      <c r="K132" s="1135"/>
      <c r="L132" s="916"/>
    </row>
    <row r="133" spans="1:12" s="103" customFormat="1" ht="15.75" hidden="1" customHeight="1" outlineLevel="1">
      <c r="A133" s="916"/>
      <c r="B133" s="1123">
        <v>41</v>
      </c>
      <c r="C133" s="1127"/>
      <c r="D133" s="1125"/>
      <c r="E133" s="1125" t="s">
        <v>18</v>
      </c>
      <c r="F133" s="1130" t="str">
        <f>VLOOKUP(E133,$N$13:$O$17,2,0)</f>
        <v>-</v>
      </c>
      <c r="G133" s="92"/>
      <c r="H133" s="1125"/>
      <c r="I133" s="1125"/>
      <c r="J133" s="1133"/>
      <c r="K133" s="1133"/>
      <c r="L133" s="916"/>
    </row>
    <row r="134" spans="1:12" s="103" customFormat="1" ht="15.75" hidden="1" customHeight="1" outlineLevel="1">
      <c r="A134" s="916"/>
      <c r="B134" s="1123"/>
      <c r="C134" s="1127"/>
      <c r="D134" s="1125"/>
      <c r="E134" s="1125"/>
      <c r="F134" s="1130"/>
      <c r="G134" s="95"/>
      <c r="H134" s="1125"/>
      <c r="I134" s="1125"/>
      <c r="J134" s="1134"/>
      <c r="K134" s="1134"/>
      <c r="L134" s="916"/>
    </row>
    <row r="135" spans="1:12" s="103" customFormat="1" ht="15.75" hidden="1" customHeight="1" outlineLevel="1">
      <c r="A135" s="916"/>
      <c r="B135" s="1124"/>
      <c r="C135" s="1128"/>
      <c r="D135" s="1126"/>
      <c r="E135" s="1126"/>
      <c r="F135" s="1132"/>
      <c r="G135" s="100"/>
      <c r="H135" s="1126"/>
      <c r="I135" s="1126"/>
      <c r="J135" s="1135"/>
      <c r="K135" s="1135"/>
      <c r="L135" s="916"/>
    </row>
    <row r="136" spans="1:12" s="103" customFormat="1" ht="15.75" hidden="1" customHeight="1" outlineLevel="1">
      <c r="A136" s="916"/>
      <c r="B136" s="1123">
        <v>42</v>
      </c>
      <c r="C136" s="1127"/>
      <c r="D136" s="1125"/>
      <c r="E136" s="1125" t="s">
        <v>18</v>
      </c>
      <c r="F136" s="1130" t="str">
        <f>VLOOKUP(E136,$N$13:$O$17,2,0)</f>
        <v>-</v>
      </c>
      <c r="G136" s="92"/>
      <c r="H136" s="1125"/>
      <c r="I136" s="1125"/>
      <c r="J136" s="1133"/>
      <c r="K136" s="1133"/>
      <c r="L136" s="916"/>
    </row>
    <row r="137" spans="1:12" s="103" customFormat="1" ht="15.75" hidden="1" customHeight="1" outlineLevel="1">
      <c r="A137" s="916"/>
      <c r="B137" s="1123"/>
      <c r="C137" s="1127"/>
      <c r="D137" s="1125"/>
      <c r="E137" s="1125"/>
      <c r="F137" s="1130"/>
      <c r="G137" s="95"/>
      <c r="H137" s="1125"/>
      <c r="I137" s="1125"/>
      <c r="J137" s="1134"/>
      <c r="K137" s="1134"/>
      <c r="L137" s="916"/>
    </row>
    <row r="138" spans="1:12" s="103" customFormat="1" ht="15.75" hidden="1" customHeight="1" outlineLevel="1">
      <c r="A138" s="916"/>
      <c r="B138" s="1124"/>
      <c r="C138" s="1128"/>
      <c r="D138" s="1126"/>
      <c r="E138" s="1126"/>
      <c r="F138" s="1132"/>
      <c r="G138" s="100"/>
      <c r="H138" s="1126"/>
      <c r="I138" s="1126"/>
      <c r="J138" s="1135"/>
      <c r="K138" s="1135"/>
      <c r="L138" s="916"/>
    </row>
    <row r="139" spans="1:12" s="103" customFormat="1" ht="15.75" hidden="1" customHeight="1" outlineLevel="1">
      <c r="A139" s="916"/>
      <c r="B139" s="1123">
        <v>43</v>
      </c>
      <c r="C139" s="1127"/>
      <c r="D139" s="1125"/>
      <c r="E139" s="1125" t="s">
        <v>18</v>
      </c>
      <c r="F139" s="1130" t="str">
        <f>VLOOKUP(E139,$N$13:$O$17,2,0)</f>
        <v>-</v>
      </c>
      <c r="G139" s="92"/>
      <c r="H139" s="1125"/>
      <c r="I139" s="1125"/>
      <c r="J139" s="1133"/>
      <c r="K139" s="1133"/>
      <c r="L139" s="916"/>
    </row>
    <row r="140" spans="1:12" s="103" customFormat="1" ht="15.75" hidden="1" customHeight="1" outlineLevel="1">
      <c r="A140" s="916"/>
      <c r="B140" s="1123"/>
      <c r="C140" s="1127"/>
      <c r="D140" s="1125"/>
      <c r="E140" s="1125"/>
      <c r="F140" s="1130"/>
      <c r="G140" s="95"/>
      <c r="H140" s="1125"/>
      <c r="I140" s="1125"/>
      <c r="J140" s="1134"/>
      <c r="K140" s="1134"/>
      <c r="L140" s="916"/>
    </row>
    <row r="141" spans="1:12" s="103" customFormat="1" ht="15.75" hidden="1" customHeight="1" outlineLevel="1">
      <c r="A141" s="916"/>
      <c r="B141" s="1124"/>
      <c r="C141" s="1128"/>
      <c r="D141" s="1126"/>
      <c r="E141" s="1126"/>
      <c r="F141" s="1132"/>
      <c r="G141" s="100"/>
      <c r="H141" s="1126"/>
      <c r="I141" s="1126"/>
      <c r="J141" s="1135"/>
      <c r="K141" s="1135"/>
      <c r="L141" s="916"/>
    </row>
    <row r="142" spans="1:12" s="103" customFormat="1" ht="15.75" hidden="1" customHeight="1" outlineLevel="1">
      <c r="A142" s="916"/>
      <c r="B142" s="1123">
        <v>44</v>
      </c>
      <c r="C142" s="1127"/>
      <c r="D142" s="1125"/>
      <c r="E142" s="1125" t="s">
        <v>18</v>
      </c>
      <c r="F142" s="1130" t="str">
        <f>VLOOKUP(E142,$N$13:$O$17,2,0)</f>
        <v>-</v>
      </c>
      <c r="G142" s="92"/>
      <c r="H142" s="90"/>
      <c r="I142" s="1125"/>
      <c r="J142" s="1133"/>
      <c r="K142" s="1133"/>
      <c r="L142" s="916"/>
    </row>
    <row r="143" spans="1:12" s="103" customFormat="1" ht="15.75" hidden="1" customHeight="1" outlineLevel="1">
      <c r="A143" s="916"/>
      <c r="B143" s="1123"/>
      <c r="C143" s="1127"/>
      <c r="D143" s="1125"/>
      <c r="E143" s="1125"/>
      <c r="F143" s="1130"/>
      <c r="G143" s="95"/>
      <c r="H143" s="90"/>
      <c r="I143" s="1125"/>
      <c r="J143" s="1134"/>
      <c r="K143" s="1134"/>
      <c r="L143" s="916"/>
    </row>
    <row r="144" spans="1:12" s="103" customFormat="1" ht="15.75" hidden="1" customHeight="1" outlineLevel="1">
      <c r="A144" s="916"/>
      <c r="B144" s="1124"/>
      <c r="C144" s="1128"/>
      <c r="D144" s="1126"/>
      <c r="E144" s="1126"/>
      <c r="F144" s="1132"/>
      <c r="G144" s="100"/>
      <c r="H144" s="98"/>
      <c r="I144" s="1126"/>
      <c r="J144" s="1135"/>
      <c r="K144" s="1135"/>
      <c r="L144" s="916"/>
    </row>
    <row r="145" spans="1:12" s="103" customFormat="1" ht="15.75" hidden="1" customHeight="1" outlineLevel="1">
      <c r="A145" s="916"/>
      <c r="B145" s="1123">
        <v>45</v>
      </c>
      <c r="C145" s="1127"/>
      <c r="D145" s="1125"/>
      <c r="E145" s="1125" t="s">
        <v>18</v>
      </c>
      <c r="F145" s="1130" t="str">
        <f>VLOOKUP(E145,$N$13:$O$17,2,0)</f>
        <v>-</v>
      </c>
      <c r="G145" s="92"/>
      <c r="H145" s="90"/>
      <c r="I145" s="1125"/>
      <c r="J145" s="1133"/>
      <c r="K145" s="1133"/>
      <c r="L145" s="916"/>
    </row>
    <row r="146" spans="1:12" s="103" customFormat="1" ht="15.75" hidden="1" customHeight="1" outlineLevel="1">
      <c r="A146" s="916"/>
      <c r="B146" s="1123"/>
      <c r="C146" s="1127"/>
      <c r="D146" s="1125"/>
      <c r="E146" s="1125"/>
      <c r="F146" s="1130"/>
      <c r="G146" s="95"/>
      <c r="H146" s="90"/>
      <c r="I146" s="1125"/>
      <c r="J146" s="1134"/>
      <c r="K146" s="1134"/>
      <c r="L146" s="916"/>
    </row>
    <row r="147" spans="1:12" s="103" customFormat="1" ht="15.75" hidden="1" customHeight="1" outlineLevel="1">
      <c r="A147" s="916"/>
      <c r="B147" s="1124"/>
      <c r="C147" s="1128"/>
      <c r="D147" s="1126"/>
      <c r="E147" s="1126"/>
      <c r="F147" s="1132"/>
      <c r="G147" s="100"/>
      <c r="H147" s="98"/>
      <c r="I147" s="1126"/>
      <c r="J147" s="1135"/>
      <c r="K147" s="1135"/>
      <c r="L147" s="916"/>
    </row>
    <row r="148" spans="1:12" s="103" customFormat="1" ht="15.75" hidden="1" customHeight="1" outlineLevel="1">
      <c r="A148" s="916"/>
      <c r="B148" s="1123">
        <v>46</v>
      </c>
      <c r="C148" s="1127"/>
      <c r="D148" s="1125"/>
      <c r="E148" s="1125" t="s">
        <v>18</v>
      </c>
      <c r="F148" s="1130" t="str">
        <f>VLOOKUP(E148,$N$13:$O$17,2,0)</f>
        <v>-</v>
      </c>
      <c r="G148" s="92"/>
      <c r="H148" s="90"/>
      <c r="I148" s="1125"/>
      <c r="J148" s="1133"/>
      <c r="K148" s="1133"/>
      <c r="L148" s="916"/>
    </row>
    <row r="149" spans="1:12" s="103" customFormat="1" ht="15.75" hidden="1" customHeight="1" outlineLevel="1">
      <c r="A149" s="916"/>
      <c r="B149" s="1123"/>
      <c r="C149" s="1127"/>
      <c r="D149" s="1125"/>
      <c r="E149" s="1125"/>
      <c r="F149" s="1130"/>
      <c r="G149" s="95"/>
      <c r="H149" s="90"/>
      <c r="I149" s="1125"/>
      <c r="J149" s="1134"/>
      <c r="K149" s="1134"/>
      <c r="L149" s="916"/>
    </row>
    <row r="150" spans="1:12" s="103" customFormat="1" ht="15.75" hidden="1" customHeight="1" outlineLevel="1">
      <c r="A150" s="916"/>
      <c r="B150" s="1124"/>
      <c r="C150" s="1128"/>
      <c r="D150" s="1126"/>
      <c r="E150" s="1126"/>
      <c r="F150" s="1132"/>
      <c r="G150" s="100"/>
      <c r="H150" s="98"/>
      <c r="I150" s="1126"/>
      <c r="J150" s="1135"/>
      <c r="K150" s="1135"/>
      <c r="L150" s="916"/>
    </row>
    <row r="151" spans="1:12" s="103" customFormat="1" ht="15.75" hidden="1" customHeight="1" outlineLevel="1">
      <c r="A151" s="916"/>
      <c r="B151" s="1123">
        <v>47</v>
      </c>
      <c r="C151" s="1127"/>
      <c r="D151" s="1125"/>
      <c r="E151" s="1125" t="s">
        <v>18</v>
      </c>
      <c r="F151" s="1130" t="str">
        <f>VLOOKUP(E151,$N$13:$O$17,2,0)</f>
        <v>-</v>
      </c>
      <c r="G151" s="92"/>
      <c r="H151" s="90"/>
      <c r="I151" s="1125"/>
      <c r="J151" s="1133"/>
      <c r="K151" s="1133"/>
      <c r="L151" s="916"/>
    </row>
    <row r="152" spans="1:12" s="103" customFormat="1" ht="15.75" hidden="1" customHeight="1" outlineLevel="1">
      <c r="A152" s="916"/>
      <c r="B152" s="1123"/>
      <c r="C152" s="1127"/>
      <c r="D152" s="1125"/>
      <c r="E152" s="1125"/>
      <c r="F152" s="1130"/>
      <c r="G152" s="95"/>
      <c r="H152" s="90"/>
      <c r="I152" s="1125"/>
      <c r="J152" s="1134"/>
      <c r="K152" s="1134"/>
      <c r="L152" s="916"/>
    </row>
    <row r="153" spans="1:12" s="103" customFormat="1" ht="15.75" hidden="1" customHeight="1" outlineLevel="1">
      <c r="A153" s="916"/>
      <c r="B153" s="1124"/>
      <c r="C153" s="1128"/>
      <c r="D153" s="1126"/>
      <c r="E153" s="1126"/>
      <c r="F153" s="1132"/>
      <c r="G153" s="100"/>
      <c r="H153" s="98"/>
      <c r="I153" s="1126"/>
      <c r="J153" s="1135"/>
      <c r="K153" s="1135"/>
      <c r="L153" s="916"/>
    </row>
    <row r="154" spans="1:12" s="103" customFormat="1" ht="15.75" hidden="1" customHeight="1" outlineLevel="1">
      <c r="A154" s="916"/>
      <c r="B154" s="1123">
        <v>48</v>
      </c>
      <c r="C154" s="1127"/>
      <c r="D154" s="1125"/>
      <c r="E154" s="1125" t="s">
        <v>18</v>
      </c>
      <c r="F154" s="1130" t="str">
        <f>VLOOKUP(E154,$N$13:$O$17,2,0)</f>
        <v>-</v>
      </c>
      <c r="G154" s="92"/>
      <c r="H154" s="90"/>
      <c r="I154" s="1125"/>
      <c r="J154" s="1133"/>
      <c r="K154" s="1133"/>
      <c r="L154" s="916"/>
    </row>
    <row r="155" spans="1:12" s="103" customFormat="1" ht="15.75" hidden="1" customHeight="1" outlineLevel="1">
      <c r="A155" s="916"/>
      <c r="B155" s="1123"/>
      <c r="C155" s="1127"/>
      <c r="D155" s="1125"/>
      <c r="E155" s="1125"/>
      <c r="F155" s="1130"/>
      <c r="G155" s="95"/>
      <c r="H155" s="90"/>
      <c r="I155" s="1125"/>
      <c r="J155" s="1134"/>
      <c r="K155" s="1134"/>
      <c r="L155" s="916"/>
    </row>
    <row r="156" spans="1:12" s="103" customFormat="1" ht="15.75" hidden="1" customHeight="1" outlineLevel="1">
      <c r="A156" s="916"/>
      <c r="B156" s="1124"/>
      <c r="C156" s="1128"/>
      <c r="D156" s="1126"/>
      <c r="E156" s="1126"/>
      <c r="F156" s="1132"/>
      <c r="G156" s="100"/>
      <c r="H156" s="98"/>
      <c r="I156" s="1126"/>
      <c r="J156" s="1135"/>
      <c r="K156" s="1135"/>
      <c r="L156" s="916"/>
    </row>
    <row r="157" spans="1:12" s="103" customFormat="1" ht="15.75" hidden="1" customHeight="1" outlineLevel="1">
      <c r="A157" s="916"/>
      <c r="B157" s="1123">
        <v>49</v>
      </c>
      <c r="C157" s="1127"/>
      <c r="D157" s="1125"/>
      <c r="E157" s="1125" t="s">
        <v>18</v>
      </c>
      <c r="F157" s="1130" t="str">
        <f>VLOOKUP(E157,$N$13:$O$17,2,0)</f>
        <v>-</v>
      </c>
      <c r="G157" s="92"/>
      <c r="H157" s="90"/>
      <c r="I157" s="1125"/>
      <c r="J157" s="1133"/>
      <c r="K157" s="1133"/>
      <c r="L157" s="916"/>
    </row>
    <row r="158" spans="1:12" s="103" customFormat="1" ht="15.75" hidden="1" customHeight="1" outlineLevel="1">
      <c r="A158" s="916"/>
      <c r="B158" s="1123"/>
      <c r="C158" s="1127"/>
      <c r="D158" s="1125"/>
      <c r="E158" s="1125"/>
      <c r="F158" s="1130"/>
      <c r="G158" s="95"/>
      <c r="H158" s="90"/>
      <c r="I158" s="1125"/>
      <c r="J158" s="1134"/>
      <c r="K158" s="1134"/>
      <c r="L158" s="916"/>
    </row>
    <row r="159" spans="1:12" s="103" customFormat="1" ht="15.75" hidden="1" customHeight="1" outlineLevel="1">
      <c r="A159" s="916"/>
      <c r="B159" s="1124"/>
      <c r="C159" s="1128"/>
      <c r="D159" s="1126"/>
      <c r="E159" s="1126"/>
      <c r="F159" s="1132"/>
      <c r="G159" s="100"/>
      <c r="H159" s="98"/>
      <c r="I159" s="1126"/>
      <c r="J159" s="1135"/>
      <c r="K159" s="1135"/>
      <c r="L159" s="916"/>
    </row>
    <row r="160" spans="1:12" s="103" customFormat="1" ht="15.75" hidden="1" customHeight="1" outlineLevel="1">
      <c r="A160" s="916"/>
      <c r="B160" s="1123">
        <v>50</v>
      </c>
      <c r="C160" s="1127"/>
      <c r="D160" s="1125"/>
      <c r="E160" s="1125" t="s">
        <v>18</v>
      </c>
      <c r="F160" s="1130" t="str">
        <f>VLOOKUP(E160,$N$13:$O$17,2,0)</f>
        <v>-</v>
      </c>
      <c r="G160" s="92"/>
      <c r="H160" s="90"/>
      <c r="I160" s="1125"/>
      <c r="J160" s="1133"/>
      <c r="K160" s="1133"/>
      <c r="L160" s="916"/>
    </row>
    <row r="161" spans="1:12" s="103" customFormat="1" ht="15.75" hidden="1" customHeight="1" outlineLevel="1">
      <c r="A161" s="916"/>
      <c r="B161" s="1123"/>
      <c r="C161" s="1127"/>
      <c r="D161" s="1125"/>
      <c r="E161" s="1125"/>
      <c r="F161" s="1130"/>
      <c r="G161" s="95"/>
      <c r="H161" s="90"/>
      <c r="I161" s="1125"/>
      <c r="J161" s="1134"/>
      <c r="K161" s="1134"/>
      <c r="L161" s="916"/>
    </row>
    <row r="162" spans="1:12" s="103" customFormat="1" ht="15.75" hidden="1" customHeight="1" outlineLevel="1">
      <c r="A162" s="916"/>
      <c r="B162" s="1124"/>
      <c r="C162" s="1128"/>
      <c r="D162" s="1126"/>
      <c r="E162" s="1126"/>
      <c r="F162" s="1132"/>
      <c r="G162" s="100"/>
      <c r="H162" s="98"/>
      <c r="I162" s="1126"/>
      <c r="J162" s="1135"/>
      <c r="K162" s="1135"/>
      <c r="L162" s="916"/>
    </row>
    <row r="163" spans="1:12" s="103" customFormat="1" ht="15.75" hidden="1" customHeight="1" outlineLevel="1">
      <c r="A163" s="916"/>
      <c r="B163" s="1123">
        <v>51</v>
      </c>
      <c r="C163" s="1127"/>
      <c r="D163" s="1125"/>
      <c r="E163" s="1125" t="s">
        <v>18</v>
      </c>
      <c r="F163" s="1130" t="str">
        <f>VLOOKUP(E163,$N$13:$O$17,2,0)</f>
        <v>-</v>
      </c>
      <c r="G163" s="92"/>
      <c r="H163" s="90"/>
      <c r="I163" s="1125"/>
      <c r="J163" s="1133"/>
      <c r="K163" s="1133"/>
      <c r="L163" s="916"/>
    </row>
    <row r="164" spans="1:12" s="103" customFormat="1" ht="15.75" hidden="1" customHeight="1" outlineLevel="1">
      <c r="A164" s="916"/>
      <c r="B164" s="1123"/>
      <c r="C164" s="1127"/>
      <c r="D164" s="1125"/>
      <c r="E164" s="1125"/>
      <c r="F164" s="1130"/>
      <c r="G164" s="95"/>
      <c r="H164" s="90"/>
      <c r="I164" s="1125"/>
      <c r="J164" s="1134"/>
      <c r="K164" s="1134"/>
      <c r="L164" s="916"/>
    </row>
    <row r="165" spans="1:12" s="103" customFormat="1" ht="15.75" hidden="1" customHeight="1" outlineLevel="1">
      <c r="A165" s="916"/>
      <c r="B165" s="1124"/>
      <c r="C165" s="1128"/>
      <c r="D165" s="1126"/>
      <c r="E165" s="1126"/>
      <c r="F165" s="1132"/>
      <c r="G165" s="100"/>
      <c r="H165" s="98"/>
      <c r="I165" s="1126"/>
      <c r="J165" s="1135"/>
      <c r="K165" s="1135"/>
      <c r="L165" s="916"/>
    </row>
    <row r="166" spans="1:12" s="103" customFormat="1" ht="15.75" hidden="1" customHeight="1" outlineLevel="1">
      <c r="A166" s="916"/>
      <c r="B166" s="1123">
        <v>52</v>
      </c>
      <c r="C166" s="1127"/>
      <c r="D166" s="1125"/>
      <c r="E166" s="1125" t="s">
        <v>18</v>
      </c>
      <c r="F166" s="1130" t="str">
        <f>VLOOKUP(E166,$N$13:$O$17,2,0)</f>
        <v>-</v>
      </c>
      <c r="G166" s="92"/>
      <c r="H166" s="90"/>
      <c r="I166" s="1125"/>
      <c r="J166" s="1133"/>
      <c r="K166" s="1133"/>
      <c r="L166" s="916"/>
    </row>
    <row r="167" spans="1:12" s="103" customFormat="1" ht="15.75" hidden="1" customHeight="1" outlineLevel="1">
      <c r="A167" s="916"/>
      <c r="B167" s="1123"/>
      <c r="C167" s="1127"/>
      <c r="D167" s="1125"/>
      <c r="E167" s="1125"/>
      <c r="F167" s="1130"/>
      <c r="G167" s="95"/>
      <c r="H167" s="90"/>
      <c r="I167" s="1125"/>
      <c r="J167" s="1134"/>
      <c r="K167" s="1134"/>
      <c r="L167" s="916"/>
    </row>
    <row r="168" spans="1:12" s="103" customFormat="1" ht="15.75" hidden="1" customHeight="1" outlineLevel="1">
      <c r="A168" s="916"/>
      <c r="B168" s="1124"/>
      <c r="C168" s="1128"/>
      <c r="D168" s="1126"/>
      <c r="E168" s="1126"/>
      <c r="F168" s="1132"/>
      <c r="G168" s="100"/>
      <c r="H168" s="98"/>
      <c r="I168" s="1126"/>
      <c r="J168" s="1135"/>
      <c r="K168" s="1135"/>
      <c r="L168" s="916"/>
    </row>
    <row r="169" spans="1:12" s="103" customFormat="1" ht="15.75" hidden="1" customHeight="1" outlineLevel="1">
      <c r="A169" s="916"/>
      <c r="B169" s="1123">
        <v>53</v>
      </c>
      <c r="C169" s="1127"/>
      <c r="D169" s="1125"/>
      <c r="E169" s="1125" t="s">
        <v>18</v>
      </c>
      <c r="F169" s="1130" t="str">
        <f>VLOOKUP(E169,$N$13:$O$17,2,0)</f>
        <v>-</v>
      </c>
      <c r="G169" s="92"/>
      <c r="H169" s="90"/>
      <c r="I169" s="1125"/>
      <c r="J169" s="1133"/>
      <c r="K169" s="1133"/>
      <c r="L169" s="916"/>
    </row>
    <row r="170" spans="1:12" s="103" customFormat="1" ht="15.75" hidden="1" customHeight="1" outlineLevel="1">
      <c r="A170" s="916"/>
      <c r="B170" s="1123"/>
      <c r="C170" s="1127"/>
      <c r="D170" s="1125"/>
      <c r="E170" s="1125"/>
      <c r="F170" s="1130"/>
      <c r="G170" s="95"/>
      <c r="H170" s="90"/>
      <c r="I170" s="1125"/>
      <c r="J170" s="1134"/>
      <c r="K170" s="1134"/>
      <c r="L170" s="916"/>
    </row>
    <row r="171" spans="1:12" s="103" customFormat="1" ht="15.75" hidden="1" customHeight="1" outlineLevel="1">
      <c r="A171" s="916"/>
      <c r="B171" s="1124"/>
      <c r="C171" s="1128"/>
      <c r="D171" s="1126"/>
      <c r="E171" s="1126"/>
      <c r="F171" s="1132"/>
      <c r="G171" s="100"/>
      <c r="H171" s="98"/>
      <c r="I171" s="1126"/>
      <c r="J171" s="1135"/>
      <c r="K171" s="1135"/>
      <c r="L171" s="916"/>
    </row>
    <row r="172" spans="1:12" s="103" customFormat="1" ht="15.75" hidden="1" customHeight="1" outlineLevel="1">
      <c r="A172" s="916"/>
      <c r="B172" s="1123">
        <v>54</v>
      </c>
      <c r="C172" s="1127"/>
      <c r="D172" s="1125"/>
      <c r="E172" s="1125" t="s">
        <v>18</v>
      </c>
      <c r="F172" s="1130" t="str">
        <f>VLOOKUP(E172,$N$13:$O$17,2,0)</f>
        <v>-</v>
      </c>
      <c r="G172" s="92"/>
      <c r="H172" s="90"/>
      <c r="I172" s="1125"/>
      <c r="J172" s="1133"/>
      <c r="K172" s="1133"/>
      <c r="L172" s="916"/>
    </row>
    <row r="173" spans="1:12" s="103" customFormat="1" ht="15.75" hidden="1" customHeight="1" outlineLevel="1">
      <c r="A173" s="916"/>
      <c r="B173" s="1123"/>
      <c r="C173" s="1127"/>
      <c r="D173" s="1125"/>
      <c r="E173" s="1125"/>
      <c r="F173" s="1130"/>
      <c r="G173" s="95"/>
      <c r="H173" s="90"/>
      <c r="I173" s="1125"/>
      <c r="J173" s="1134"/>
      <c r="K173" s="1134"/>
      <c r="L173" s="916"/>
    </row>
    <row r="174" spans="1:12" s="103" customFormat="1" ht="15.75" hidden="1" customHeight="1" outlineLevel="1">
      <c r="A174" s="916"/>
      <c r="B174" s="1124"/>
      <c r="C174" s="1128"/>
      <c r="D174" s="1126"/>
      <c r="E174" s="1126"/>
      <c r="F174" s="1132"/>
      <c r="G174" s="100"/>
      <c r="H174" s="98"/>
      <c r="I174" s="1126"/>
      <c r="J174" s="1135"/>
      <c r="K174" s="1135"/>
      <c r="L174" s="916"/>
    </row>
    <row r="175" spans="1:12" s="103" customFormat="1" ht="15.75" hidden="1" customHeight="1" outlineLevel="1">
      <c r="A175" s="916"/>
      <c r="B175" s="1123">
        <v>55</v>
      </c>
      <c r="C175" s="1127"/>
      <c r="D175" s="1125"/>
      <c r="E175" s="1125" t="s">
        <v>18</v>
      </c>
      <c r="F175" s="1130" t="str">
        <f>VLOOKUP(E175,$N$13:$O$17,2,0)</f>
        <v>-</v>
      </c>
      <c r="G175" s="92"/>
      <c r="H175" s="90"/>
      <c r="I175" s="1125"/>
      <c r="J175" s="1133"/>
      <c r="K175" s="1133"/>
      <c r="L175" s="916"/>
    </row>
    <row r="176" spans="1:12" s="103" customFormat="1" ht="15.75" hidden="1" customHeight="1" outlineLevel="1">
      <c r="A176" s="916"/>
      <c r="B176" s="1123"/>
      <c r="C176" s="1127"/>
      <c r="D176" s="1125"/>
      <c r="E176" s="1125"/>
      <c r="F176" s="1130"/>
      <c r="G176" s="95"/>
      <c r="H176" s="90"/>
      <c r="I176" s="1125"/>
      <c r="J176" s="1134"/>
      <c r="K176" s="1134"/>
      <c r="L176" s="916"/>
    </row>
    <row r="177" spans="1:12" s="103" customFormat="1" ht="15.75" hidden="1" customHeight="1" outlineLevel="1">
      <c r="A177" s="916"/>
      <c r="B177" s="1124"/>
      <c r="C177" s="1128"/>
      <c r="D177" s="1126"/>
      <c r="E177" s="1126"/>
      <c r="F177" s="1132"/>
      <c r="G177" s="100"/>
      <c r="H177" s="98"/>
      <c r="I177" s="1126"/>
      <c r="J177" s="1135"/>
      <c r="K177" s="1135"/>
      <c r="L177" s="916"/>
    </row>
    <row r="178" spans="1:12" s="103" customFormat="1" ht="15.75" hidden="1" customHeight="1" outlineLevel="1">
      <c r="A178" s="916"/>
      <c r="B178" s="1123">
        <v>56</v>
      </c>
      <c r="C178" s="1127"/>
      <c r="D178" s="1125"/>
      <c r="E178" s="1125" t="s">
        <v>18</v>
      </c>
      <c r="F178" s="1130" t="str">
        <f>VLOOKUP(E178,$N$13:$O$17,2,0)</f>
        <v>-</v>
      </c>
      <c r="G178" s="92"/>
      <c r="H178" s="90"/>
      <c r="I178" s="1125"/>
      <c r="J178" s="1133"/>
      <c r="K178" s="1133"/>
      <c r="L178" s="916"/>
    </row>
    <row r="179" spans="1:12" s="103" customFormat="1" ht="15.75" hidden="1" customHeight="1" outlineLevel="1">
      <c r="A179" s="916"/>
      <c r="B179" s="1123"/>
      <c r="C179" s="1127"/>
      <c r="D179" s="1125"/>
      <c r="E179" s="1125"/>
      <c r="F179" s="1130"/>
      <c r="G179" s="95"/>
      <c r="H179" s="90"/>
      <c r="I179" s="1125"/>
      <c r="J179" s="1134"/>
      <c r="K179" s="1134"/>
      <c r="L179" s="916"/>
    </row>
    <row r="180" spans="1:12" s="103" customFormat="1" ht="15.75" hidden="1" customHeight="1" outlineLevel="1">
      <c r="A180" s="916"/>
      <c r="B180" s="1124"/>
      <c r="C180" s="1128"/>
      <c r="D180" s="1126"/>
      <c r="E180" s="1126"/>
      <c r="F180" s="1132"/>
      <c r="G180" s="100"/>
      <c r="H180" s="98"/>
      <c r="I180" s="1126"/>
      <c r="J180" s="1135"/>
      <c r="K180" s="1135"/>
      <c r="L180" s="916"/>
    </row>
    <row r="181" spans="1:12" s="103" customFormat="1" ht="15.75" hidden="1" customHeight="1" outlineLevel="1">
      <c r="A181" s="916"/>
      <c r="B181" s="1123">
        <v>57</v>
      </c>
      <c r="C181" s="1127"/>
      <c r="D181" s="1125"/>
      <c r="E181" s="1125" t="s">
        <v>18</v>
      </c>
      <c r="F181" s="1130" t="str">
        <f>VLOOKUP(E181,$N$13:$O$17,2,0)</f>
        <v>-</v>
      </c>
      <c r="G181" s="92"/>
      <c r="H181" s="90"/>
      <c r="I181" s="1125"/>
      <c r="J181" s="1133"/>
      <c r="K181" s="1133"/>
      <c r="L181" s="916"/>
    </row>
    <row r="182" spans="1:12" s="103" customFormat="1" ht="15.75" hidden="1" customHeight="1" outlineLevel="1">
      <c r="A182" s="916"/>
      <c r="B182" s="1123"/>
      <c r="C182" s="1127"/>
      <c r="D182" s="1125"/>
      <c r="E182" s="1125"/>
      <c r="F182" s="1130"/>
      <c r="G182" s="95"/>
      <c r="H182" s="90"/>
      <c r="I182" s="1125"/>
      <c r="J182" s="1134"/>
      <c r="K182" s="1134"/>
      <c r="L182" s="916"/>
    </row>
    <row r="183" spans="1:12" s="103" customFormat="1" ht="15.75" hidden="1" customHeight="1" outlineLevel="1">
      <c r="A183" s="916"/>
      <c r="B183" s="1124"/>
      <c r="C183" s="1128"/>
      <c r="D183" s="1126"/>
      <c r="E183" s="1126"/>
      <c r="F183" s="1132"/>
      <c r="G183" s="100"/>
      <c r="H183" s="98"/>
      <c r="I183" s="1126"/>
      <c r="J183" s="1135"/>
      <c r="K183" s="1135"/>
      <c r="L183" s="916"/>
    </row>
    <row r="184" spans="1:12" s="103" customFormat="1" ht="15.75" hidden="1" customHeight="1" outlineLevel="1">
      <c r="A184" s="916"/>
      <c r="B184" s="1123">
        <v>58</v>
      </c>
      <c r="C184" s="1127"/>
      <c r="D184" s="1125"/>
      <c r="E184" s="1125" t="s">
        <v>18</v>
      </c>
      <c r="F184" s="1130" t="str">
        <f>VLOOKUP(E184,$N$13:$O$17,2,0)</f>
        <v>-</v>
      </c>
      <c r="G184" s="92"/>
      <c r="H184" s="90"/>
      <c r="I184" s="1125"/>
      <c r="J184" s="1133"/>
      <c r="K184" s="1133"/>
      <c r="L184" s="916"/>
    </row>
    <row r="185" spans="1:12" s="103" customFormat="1" ht="15.75" hidden="1" customHeight="1" outlineLevel="1">
      <c r="A185" s="916"/>
      <c r="B185" s="1123"/>
      <c r="C185" s="1127"/>
      <c r="D185" s="1125"/>
      <c r="E185" s="1125"/>
      <c r="F185" s="1130"/>
      <c r="G185" s="95"/>
      <c r="H185" s="90"/>
      <c r="I185" s="1125"/>
      <c r="J185" s="1134"/>
      <c r="K185" s="1134"/>
      <c r="L185" s="916"/>
    </row>
    <row r="186" spans="1:12" s="103" customFormat="1" ht="15.75" hidden="1" customHeight="1" outlineLevel="1">
      <c r="A186" s="916"/>
      <c r="B186" s="1124"/>
      <c r="C186" s="1128"/>
      <c r="D186" s="1126"/>
      <c r="E186" s="1126"/>
      <c r="F186" s="1132"/>
      <c r="G186" s="100"/>
      <c r="H186" s="98"/>
      <c r="I186" s="1126"/>
      <c r="J186" s="1135"/>
      <c r="K186" s="1135"/>
      <c r="L186" s="916"/>
    </row>
    <row r="187" spans="1:12" s="103" customFormat="1" ht="15.75" hidden="1" customHeight="1" outlineLevel="1">
      <c r="A187" s="916"/>
      <c r="B187" s="1123">
        <v>59</v>
      </c>
      <c r="C187" s="1127"/>
      <c r="D187" s="1125"/>
      <c r="E187" s="1125" t="s">
        <v>18</v>
      </c>
      <c r="F187" s="1130" t="str">
        <f>VLOOKUP(E187,$N$13:$O$17,2,0)</f>
        <v>-</v>
      </c>
      <c r="G187" s="92"/>
      <c r="H187" s="90"/>
      <c r="I187" s="1125"/>
      <c r="J187" s="1133"/>
      <c r="K187" s="1133"/>
      <c r="L187" s="916"/>
    </row>
    <row r="188" spans="1:12" s="103" customFormat="1" ht="15.75" hidden="1" customHeight="1" outlineLevel="1">
      <c r="A188" s="916"/>
      <c r="B188" s="1123"/>
      <c r="C188" s="1127"/>
      <c r="D188" s="1125"/>
      <c r="E188" s="1125"/>
      <c r="F188" s="1130"/>
      <c r="G188" s="95"/>
      <c r="H188" s="90"/>
      <c r="I188" s="1125"/>
      <c r="J188" s="1134"/>
      <c r="K188" s="1134"/>
      <c r="L188" s="916"/>
    </row>
    <row r="189" spans="1:12" s="103" customFormat="1" ht="15.75" hidden="1" customHeight="1" outlineLevel="1">
      <c r="A189" s="916"/>
      <c r="B189" s="1124"/>
      <c r="C189" s="1128"/>
      <c r="D189" s="1126"/>
      <c r="E189" s="1126"/>
      <c r="F189" s="1132"/>
      <c r="G189" s="100"/>
      <c r="H189" s="98"/>
      <c r="I189" s="1126"/>
      <c r="J189" s="1135"/>
      <c r="K189" s="1135"/>
      <c r="L189" s="916"/>
    </row>
    <row r="190" spans="1:12" s="103" customFormat="1" ht="15.75" hidden="1" customHeight="1" outlineLevel="1">
      <c r="A190" s="916"/>
      <c r="B190" s="1123">
        <v>60</v>
      </c>
      <c r="C190" s="1127"/>
      <c r="D190" s="1125"/>
      <c r="E190" s="1125" t="s">
        <v>18</v>
      </c>
      <c r="F190" s="1130" t="str">
        <f>VLOOKUP(E190,$N$13:$O$17,2,0)</f>
        <v>-</v>
      </c>
      <c r="G190" s="92"/>
      <c r="H190" s="90"/>
      <c r="I190" s="1125"/>
      <c r="J190" s="1133"/>
      <c r="K190" s="1133"/>
      <c r="L190" s="916"/>
    </row>
    <row r="191" spans="1:12" s="103" customFormat="1" ht="15.75" hidden="1" customHeight="1" outlineLevel="1">
      <c r="A191" s="916"/>
      <c r="B191" s="1123"/>
      <c r="C191" s="1127"/>
      <c r="D191" s="1125"/>
      <c r="E191" s="1125"/>
      <c r="F191" s="1130"/>
      <c r="G191" s="95"/>
      <c r="H191" s="90"/>
      <c r="I191" s="1125"/>
      <c r="J191" s="1134"/>
      <c r="K191" s="1134"/>
      <c r="L191" s="916"/>
    </row>
    <row r="192" spans="1:12" s="103" customFormat="1" ht="15.75" hidden="1" customHeight="1" outlineLevel="1">
      <c r="A192" s="916"/>
      <c r="B192" s="1124"/>
      <c r="C192" s="1128"/>
      <c r="D192" s="1126"/>
      <c r="E192" s="1126"/>
      <c r="F192" s="1132"/>
      <c r="G192" s="100"/>
      <c r="H192" s="98"/>
      <c r="I192" s="1126"/>
      <c r="J192" s="1135"/>
      <c r="K192" s="1135"/>
      <c r="L192" s="916"/>
    </row>
    <row r="193" spans="1:12" s="103" customFormat="1" ht="15.75" hidden="1" customHeight="1" outlineLevel="1">
      <c r="A193" s="916"/>
      <c r="B193" s="1123">
        <v>61</v>
      </c>
      <c r="C193" s="1127"/>
      <c r="D193" s="1125"/>
      <c r="E193" s="1125" t="s">
        <v>18</v>
      </c>
      <c r="F193" s="1130" t="str">
        <f>VLOOKUP(E193,$N$13:$O$17,2,0)</f>
        <v>-</v>
      </c>
      <c r="G193" s="92"/>
      <c r="H193" s="90"/>
      <c r="I193" s="1125"/>
      <c r="J193" s="1133"/>
      <c r="K193" s="1133"/>
      <c r="L193" s="916"/>
    </row>
    <row r="194" spans="1:12" s="103" customFormat="1" ht="15.75" hidden="1" customHeight="1" outlineLevel="1">
      <c r="A194" s="916"/>
      <c r="B194" s="1123"/>
      <c r="C194" s="1127"/>
      <c r="D194" s="1125"/>
      <c r="E194" s="1125"/>
      <c r="F194" s="1130"/>
      <c r="G194" s="95"/>
      <c r="H194" s="90"/>
      <c r="I194" s="1125"/>
      <c r="J194" s="1134"/>
      <c r="K194" s="1134"/>
      <c r="L194" s="916"/>
    </row>
    <row r="195" spans="1:12" s="103" customFormat="1" ht="15.75" hidden="1" customHeight="1" outlineLevel="1">
      <c r="A195" s="916"/>
      <c r="B195" s="1124"/>
      <c r="C195" s="1128"/>
      <c r="D195" s="1126"/>
      <c r="E195" s="1126"/>
      <c r="F195" s="1132"/>
      <c r="G195" s="100"/>
      <c r="H195" s="98"/>
      <c r="I195" s="1126"/>
      <c r="J195" s="1135"/>
      <c r="K195" s="1135"/>
      <c r="L195" s="916"/>
    </row>
    <row r="196" spans="1:12" s="103" customFormat="1" ht="15.75" hidden="1" customHeight="1" outlineLevel="1">
      <c r="A196" s="916"/>
      <c r="B196" s="1123">
        <v>62</v>
      </c>
      <c r="C196" s="1127"/>
      <c r="D196" s="1125"/>
      <c r="E196" s="1125" t="s">
        <v>18</v>
      </c>
      <c r="F196" s="1130" t="str">
        <f>VLOOKUP(E196,$N$13:$O$17,2,0)</f>
        <v>-</v>
      </c>
      <c r="G196" s="92"/>
      <c r="H196" s="90"/>
      <c r="I196" s="1125"/>
      <c r="J196" s="1133"/>
      <c r="K196" s="1133"/>
      <c r="L196" s="916"/>
    </row>
    <row r="197" spans="1:12" s="103" customFormat="1" ht="15.75" hidden="1" customHeight="1" outlineLevel="1">
      <c r="A197" s="916"/>
      <c r="B197" s="1123"/>
      <c r="C197" s="1127"/>
      <c r="D197" s="1125"/>
      <c r="E197" s="1125"/>
      <c r="F197" s="1130"/>
      <c r="G197" s="95"/>
      <c r="H197" s="90"/>
      <c r="I197" s="1125"/>
      <c r="J197" s="1134"/>
      <c r="K197" s="1134"/>
      <c r="L197" s="916"/>
    </row>
    <row r="198" spans="1:12" s="103" customFormat="1" ht="15.75" hidden="1" customHeight="1" outlineLevel="1">
      <c r="A198" s="916"/>
      <c r="B198" s="1124"/>
      <c r="C198" s="1128"/>
      <c r="D198" s="1126"/>
      <c r="E198" s="1126"/>
      <c r="F198" s="1132"/>
      <c r="G198" s="100"/>
      <c r="H198" s="98"/>
      <c r="I198" s="1126"/>
      <c r="J198" s="1135"/>
      <c r="K198" s="1135"/>
      <c r="L198" s="916"/>
    </row>
    <row r="199" spans="1:12" s="103" customFormat="1" ht="15.75" hidden="1" customHeight="1" outlineLevel="1">
      <c r="A199" s="916"/>
      <c r="B199" s="1123">
        <v>63</v>
      </c>
      <c r="C199" s="1127"/>
      <c r="D199" s="1125"/>
      <c r="E199" s="1125" t="s">
        <v>18</v>
      </c>
      <c r="F199" s="1130" t="str">
        <f>VLOOKUP(E199,$N$13:$O$17,2,0)</f>
        <v>-</v>
      </c>
      <c r="G199" s="92"/>
      <c r="H199" s="90"/>
      <c r="I199" s="1125"/>
      <c r="J199" s="1133"/>
      <c r="K199" s="1133"/>
      <c r="L199" s="916"/>
    </row>
    <row r="200" spans="1:12" s="103" customFormat="1" ht="15.75" hidden="1" customHeight="1" outlineLevel="1">
      <c r="A200" s="916"/>
      <c r="B200" s="1123"/>
      <c r="C200" s="1127"/>
      <c r="D200" s="1125"/>
      <c r="E200" s="1125"/>
      <c r="F200" s="1130"/>
      <c r="G200" s="95"/>
      <c r="H200" s="90"/>
      <c r="I200" s="1125"/>
      <c r="J200" s="1134"/>
      <c r="K200" s="1134"/>
      <c r="L200" s="916"/>
    </row>
    <row r="201" spans="1:12" s="103" customFormat="1" ht="15.75" hidden="1" customHeight="1" outlineLevel="1">
      <c r="A201" s="916"/>
      <c r="B201" s="1124"/>
      <c r="C201" s="1128"/>
      <c r="D201" s="1126"/>
      <c r="E201" s="1126"/>
      <c r="F201" s="1132"/>
      <c r="G201" s="100"/>
      <c r="H201" s="98"/>
      <c r="I201" s="1126"/>
      <c r="J201" s="1135"/>
      <c r="K201" s="1135"/>
      <c r="L201" s="916"/>
    </row>
    <row r="202" spans="1:12" s="103" customFormat="1" ht="15.75" hidden="1" customHeight="1" outlineLevel="1">
      <c r="A202" s="916"/>
      <c r="B202" s="1123">
        <v>64</v>
      </c>
      <c r="C202" s="1127"/>
      <c r="D202" s="1125"/>
      <c r="E202" s="1125" t="s">
        <v>18</v>
      </c>
      <c r="F202" s="1130" t="str">
        <f>VLOOKUP(E202,$N$13:$O$17,2,0)</f>
        <v>-</v>
      </c>
      <c r="G202" s="92"/>
      <c r="H202" s="90"/>
      <c r="I202" s="1125"/>
      <c r="J202" s="1133"/>
      <c r="K202" s="1133"/>
      <c r="L202" s="916"/>
    </row>
    <row r="203" spans="1:12" s="103" customFormat="1" ht="15.75" hidden="1" customHeight="1" outlineLevel="1">
      <c r="A203" s="916"/>
      <c r="B203" s="1123"/>
      <c r="C203" s="1127"/>
      <c r="D203" s="1125"/>
      <c r="E203" s="1125"/>
      <c r="F203" s="1130"/>
      <c r="G203" s="95"/>
      <c r="H203" s="90"/>
      <c r="I203" s="1125"/>
      <c r="J203" s="1134"/>
      <c r="K203" s="1134"/>
      <c r="L203" s="916"/>
    </row>
    <row r="204" spans="1:12" s="103" customFormat="1" ht="15.75" hidden="1" customHeight="1" outlineLevel="1">
      <c r="A204" s="916"/>
      <c r="B204" s="1124"/>
      <c r="C204" s="1128"/>
      <c r="D204" s="1126"/>
      <c r="E204" s="1126"/>
      <c r="F204" s="1132"/>
      <c r="G204" s="100"/>
      <c r="H204" s="98"/>
      <c r="I204" s="1126"/>
      <c r="J204" s="1135"/>
      <c r="K204" s="1135"/>
      <c r="L204" s="916"/>
    </row>
    <row r="205" spans="1:12" s="103" customFormat="1" ht="15.75" hidden="1" customHeight="1" outlineLevel="1">
      <c r="A205" s="916"/>
      <c r="B205" s="1123">
        <v>65</v>
      </c>
      <c r="C205" s="1127"/>
      <c r="D205" s="1125"/>
      <c r="E205" s="1125" t="s">
        <v>18</v>
      </c>
      <c r="F205" s="1130" t="str">
        <f>VLOOKUP(E205,$N$13:$O$17,2,0)</f>
        <v>-</v>
      </c>
      <c r="G205" s="92"/>
      <c r="H205" s="90"/>
      <c r="I205" s="1125"/>
      <c r="J205" s="1133"/>
      <c r="K205" s="1133"/>
      <c r="L205" s="916"/>
    </row>
    <row r="206" spans="1:12" s="103" customFormat="1" ht="15.75" hidden="1" customHeight="1" outlineLevel="1">
      <c r="A206" s="916"/>
      <c r="B206" s="1123"/>
      <c r="C206" s="1127"/>
      <c r="D206" s="1125"/>
      <c r="E206" s="1125"/>
      <c r="F206" s="1130"/>
      <c r="G206" s="95"/>
      <c r="H206" s="90"/>
      <c r="I206" s="1125"/>
      <c r="J206" s="1134"/>
      <c r="K206" s="1134"/>
      <c r="L206" s="916"/>
    </row>
    <row r="207" spans="1:12" s="103" customFormat="1" ht="15.75" hidden="1" customHeight="1" outlineLevel="1">
      <c r="A207" s="916"/>
      <c r="B207" s="1124"/>
      <c r="C207" s="1128"/>
      <c r="D207" s="1126"/>
      <c r="E207" s="1126"/>
      <c r="F207" s="1132"/>
      <c r="G207" s="100"/>
      <c r="H207" s="98"/>
      <c r="I207" s="1126"/>
      <c r="J207" s="1135"/>
      <c r="K207" s="1135"/>
      <c r="L207" s="916"/>
    </row>
    <row r="208" spans="1:12" s="103" customFormat="1" ht="15.75" hidden="1" customHeight="1" outlineLevel="1">
      <c r="A208" s="916"/>
      <c r="B208" s="1123">
        <v>66</v>
      </c>
      <c r="C208" s="1127"/>
      <c r="D208" s="1125"/>
      <c r="E208" s="1125" t="s">
        <v>18</v>
      </c>
      <c r="F208" s="1130" t="str">
        <f>VLOOKUP(E208,$N$13:$O$17,2,0)</f>
        <v>-</v>
      </c>
      <c r="G208" s="92"/>
      <c r="H208" s="90"/>
      <c r="I208" s="1125"/>
      <c r="J208" s="1133"/>
      <c r="K208" s="1133"/>
      <c r="L208" s="916"/>
    </row>
    <row r="209" spans="1:12" s="103" customFormat="1" ht="15.75" hidden="1" customHeight="1" outlineLevel="1">
      <c r="A209" s="916"/>
      <c r="B209" s="1123"/>
      <c r="C209" s="1127"/>
      <c r="D209" s="1125"/>
      <c r="E209" s="1125"/>
      <c r="F209" s="1130"/>
      <c r="G209" s="95"/>
      <c r="H209" s="90"/>
      <c r="I209" s="1125"/>
      <c r="J209" s="1134"/>
      <c r="K209" s="1134"/>
      <c r="L209" s="916"/>
    </row>
    <row r="210" spans="1:12" s="103" customFormat="1" ht="15.75" hidden="1" customHeight="1" outlineLevel="1">
      <c r="A210" s="916"/>
      <c r="B210" s="1124"/>
      <c r="C210" s="1128"/>
      <c r="D210" s="1126"/>
      <c r="E210" s="1126"/>
      <c r="F210" s="1132"/>
      <c r="G210" s="100"/>
      <c r="H210" s="98"/>
      <c r="I210" s="1126"/>
      <c r="J210" s="1135"/>
      <c r="K210" s="1135"/>
      <c r="L210" s="916"/>
    </row>
    <row r="211" spans="1:12" s="103" customFormat="1" ht="15.75" hidden="1" customHeight="1" outlineLevel="1">
      <c r="A211" s="916"/>
      <c r="B211" s="1123">
        <v>67</v>
      </c>
      <c r="C211" s="1127"/>
      <c r="D211" s="1125"/>
      <c r="E211" s="1125" t="s">
        <v>18</v>
      </c>
      <c r="F211" s="1130" t="str">
        <f>VLOOKUP(E211,$N$13:$O$17,2,0)</f>
        <v>-</v>
      </c>
      <c r="G211" s="92"/>
      <c r="H211" s="90"/>
      <c r="I211" s="1125"/>
      <c r="J211" s="1133"/>
      <c r="K211" s="1133"/>
      <c r="L211" s="916"/>
    </row>
    <row r="212" spans="1:12" s="103" customFormat="1" ht="15.75" hidden="1" customHeight="1" outlineLevel="1">
      <c r="A212" s="916"/>
      <c r="B212" s="1123"/>
      <c r="C212" s="1127"/>
      <c r="D212" s="1125"/>
      <c r="E212" s="1125"/>
      <c r="F212" s="1130"/>
      <c r="G212" s="95"/>
      <c r="H212" s="90"/>
      <c r="I212" s="1125"/>
      <c r="J212" s="1134"/>
      <c r="K212" s="1134"/>
      <c r="L212" s="916"/>
    </row>
    <row r="213" spans="1:12" s="103" customFormat="1" ht="15.75" hidden="1" customHeight="1" outlineLevel="1">
      <c r="A213" s="916"/>
      <c r="B213" s="1124"/>
      <c r="C213" s="1128"/>
      <c r="D213" s="1126"/>
      <c r="E213" s="1126"/>
      <c r="F213" s="1132"/>
      <c r="G213" s="100"/>
      <c r="H213" s="98"/>
      <c r="I213" s="1126"/>
      <c r="J213" s="1135"/>
      <c r="K213" s="1135"/>
      <c r="L213" s="916"/>
    </row>
    <row r="214" spans="1:12" s="103" customFormat="1" ht="15.75" hidden="1" customHeight="1" outlineLevel="1">
      <c r="A214" s="916"/>
      <c r="B214" s="1123">
        <v>68</v>
      </c>
      <c r="C214" s="1127"/>
      <c r="D214" s="1125"/>
      <c r="E214" s="1125" t="s">
        <v>18</v>
      </c>
      <c r="F214" s="1130" t="str">
        <f>VLOOKUP(E214,$N$13:$O$17,2,0)</f>
        <v>-</v>
      </c>
      <c r="G214" s="92"/>
      <c r="H214" s="90"/>
      <c r="I214" s="1125"/>
      <c r="J214" s="1133"/>
      <c r="K214" s="1133"/>
      <c r="L214" s="916"/>
    </row>
    <row r="215" spans="1:12" s="103" customFormat="1" ht="15.75" hidden="1" customHeight="1" outlineLevel="1">
      <c r="A215" s="916"/>
      <c r="B215" s="1123"/>
      <c r="C215" s="1127"/>
      <c r="D215" s="1125"/>
      <c r="E215" s="1125"/>
      <c r="F215" s="1130"/>
      <c r="G215" s="95"/>
      <c r="H215" s="90"/>
      <c r="I215" s="1125"/>
      <c r="J215" s="1134"/>
      <c r="K215" s="1134"/>
      <c r="L215" s="916"/>
    </row>
    <row r="216" spans="1:12" s="103" customFormat="1" ht="15.75" hidden="1" customHeight="1" outlineLevel="1">
      <c r="A216" s="916"/>
      <c r="B216" s="1124"/>
      <c r="C216" s="1128"/>
      <c r="D216" s="1126"/>
      <c r="E216" s="1126"/>
      <c r="F216" s="1132"/>
      <c r="G216" s="100"/>
      <c r="H216" s="98"/>
      <c r="I216" s="1126"/>
      <c r="J216" s="1135"/>
      <c r="K216" s="1135"/>
      <c r="L216" s="916"/>
    </row>
    <row r="217" spans="1:12" s="103" customFormat="1" ht="15.75" hidden="1" customHeight="1" outlineLevel="1">
      <c r="A217" s="916"/>
      <c r="B217" s="1123">
        <v>69</v>
      </c>
      <c r="C217" s="1127"/>
      <c r="D217" s="1125"/>
      <c r="E217" s="1125" t="s">
        <v>18</v>
      </c>
      <c r="F217" s="1130" t="str">
        <f>VLOOKUP(E217,$N$13:$O$17,2,0)</f>
        <v>-</v>
      </c>
      <c r="G217" s="92"/>
      <c r="H217" s="90"/>
      <c r="I217" s="1125"/>
      <c r="J217" s="1133"/>
      <c r="K217" s="1133"/>
      <c r="L217" s="916"/>
    </row>
    <row r="218" spans="1:12" s="103" customFormat="1" ht="15.75" hidden="1" customHeight="1" outlineLevel="1">
      <c r="A218" s="916"/>
      <c r="B218" s="1123"/>
      <c r="C218" s="1127"/>
      <c r="D218" s="1125"/>
      <c r="E218" s="1125"/>
      <c r="F218" s="1130"/>
      <c r="G218" s="95"/>
      <c r="H218" s="90"/>
      <c r="I218" s="1125"/>
      <c r="J218" s="1134"/>
      <c r="K218" s="1134"/>
      <c r="L218" s="916"/>
    </row>
    <row r="219" spans="1:12" s="103" customFormat="1" ht="15.75" hidden="1" customHeight="1" outlineLevel="1">
      <c r="A219" s="916"/>
      <c r="B219" s="1124"/>
      <c r="C219" s="1128"/>
      <c r="D219" s="1126"/>
      <c r="E219" s="1126"/>
      <c r="F219" s="1132"/>
      <c r="G219" s="100"/>
      <c r="H219" s="98"/>
      <c r="I219" s="1126"/>
      <c r="J219" s="1135"/>
      <c r="K219" s="1135"/>
      <c r="L219" s="916"/>
    </row>
    <row r="220" spans="1:12" s="103" customFormat="1" ht="15.75" hidden="1" customHeight="1" outlineLevel="1">
      <c r="A220" s="916"/>
      <c r="B220" s="1123">
        <v>70</v>
      </c>
      <c r="C220" s="1127"/>
      <c r="D220" s="1125"/>
      <c r="E220" s="1125" t="s">
        <v>18</v>
      </c>
      <c r="F220" s="1130" t="str">
        <f>VLOOKUP(E220,$N$13:$O$17,2,0)</f>
        <v>-</v>
      </c>
      <c r="G220" s="92"/>
      <c r="H220" s="90"/>
      <c r="I220" s="1125"/>
      <c r="J220" s="1133"/>
      <c r="K220" s="1133"/>
      <c r="L220" s="916"/>
    </row>
    <row r="221" spans="1:12" s="103" customFormat="1" ht="15.75" hidden="1" customHeight="1" outlineLevel="1">
      <c r="A221" s="916"/>
      <c r="B221" s="1123"/>
      <c r="C221" s="1127"/>
      <c r="D221" s="1125"/>
      <c r="E221" s="1125"/>
      <c r="F221" s="1130"/>
      <c r="G221" s="95"/>
      <c r="H221" s="90"/>
      <c r="I221" s="1125"/>
      <c r="J221" s="1134"/>
      <c r="K221" s="1134"/>
      <c r="L221" s="916"/>
    </row>
    <row r="222" spans="1:12" s="103" customFormat="1" ht="15.75" hidden="1" customHeight="1" outlineLevel="1">
      <c r="A222" s="916"/>
      <c r="B222" s="1124"/>
      <c r="C222" s="1128"/>
      <c r="D222" s="1126"/>
      <c r="E222" s="1126"/>
      <c r="F222" s="1132"/>
      <c r="G222" s="100"/>
      <c r="H222" s="98"/>
      <c r="I222" s="1126"/>
      <c r="J222" s="1135"/>
      <c r="K222" s="1135"/>
      <c r="L222" s="916"/>
    </row>
    <row r="223" spans="1:12" s="103" customFormat="1" ht="15.75" hidden="1" customHeight="1" outlineLevel="1">
      <c r="A223" s="916"/>
      <c r="B223" s="1123">
        <v>71</v>
      </c>
      <c r="C223" s="1127"/>
      <c r="D223" s="1125"/>
      <c r="E223" s="1125" t="s">
        <v>18</v>
      </c>
      <c r="F223" s="1130" t="str">
        <f>VLOOKUP(E223,$N$13:$O$17,2,0)</f>
        <v>-</v>
      </c>
      <c r="G223" s="92"/>
      <c r="H223" s="90"/>
      <c r="I223" s="1125"/>
      <c r="J223" s="1133"/>
      <c r="K223" s="1133"/>
      <c r="L223" s="916"/>
    </row>
    <row r="224" spans="1:12" s="103" customFormat="1" ht="15.75" hidden="1" customHeight="1" outlineLevel="1">
      <c r="A224" s="916"/>
      <c r="B224" s="1123"/>
      <c r="C224" s="1127"/>
      <c r="D224" s="1125"/>
      <c r="E224" s="1125"/>
      <c r="F224" s="1130"/>
      <c r="G224" s="95"/>
      <c r="H224" s="90"/>
      <c r="I224" s="1125"/>
      <c r="J224" s="1134"/>
      <c r="K224" s="1134"/>
      <c r="L224" s="916"/>
    </row>
    <row r="225" spans="1:12" s="103" customFormat="1" ht="15.75" hidden="1" customHeight="1" outlineLevel="1">
      <c r="A225" s="916"/>
      <c r="B225" s="1124"/>
      <c r="C225" s="1128"/>
      <c r="D225" s="1126"/>
      <c r="E225" s="1126"/>
      <c r="F225" s="1132"/>
      <c r="G225" s="100"/>
      <c r="H225" s="98"/>
      <c r="I225" s="1126"/>
      <c r="J225" s="1135"/>
      <c r="K225" s="1135"/>
      <c r="L225" s="916"/>
    </row>
    <row r="226" spans="1:12" s="103" customFormat="1" ht="15.75" hidden="1" customHeight="1" outlineLevel="1">
      <c r="A226" s="916"/>
      <c r="B226" s="1123">
        <v>72</v>
      </c>
      <c r="C226" s="1127"/>
      <c r="D226" s="1125"/>
      <c r="E226" s="1125" t="s">
        <v>18</v>
      </c>
      <c r="F226" s="1130" t="str">
        <f>VLOOKUP(E226,$N$13:$O$17,2,0)</f>
        <v>-</v>
      </c>
      <c r="G226" s="92"/>
      <c r="H226" s="90"/>
      <c r="I226" s="1125"/>
      <c r="J226" s="1133"/>
      <c r="K226" s="1133"/>
      <c r="L226" s="916"/>
    </row>
    <row r="227" spans="1:12" s="103" customFormat="1" ht="15.75" hidden="1" customHeight="1" outlineLevel="1">
      <c r="A227" s="916"/>
      <c r="B227" s="1123"/>
      <c r="C227" s="1127"/>
      <c r="D227" s="1125"/>
      <c r="E227" s="1125"/>
      <c r="F227" s="1130"/>
      <c r="G227" s="95"/>
      <c r="H227" s="90"/>
      <c r="I227" s="1125"/>
      <c r="J227" s="1134"/>
      <c r="K227" s="1134"/>
      <c r="L227" s="916"/>
    </row>
    <row r="228" spans="1:12" s="103" customFormat="1" ht="15.75" hidden="1" customHeight="1" outlineLevel="1">
      <c r="A228" s="916"/>
      <c r="B228" s="1124"/>
      <c r="C228" s="1128"/>
      <c r="D228" s="1126"/>
      <c r="E228" s="1126"/>
      <c r="F228" s="1132"/>
      <c r="G228" s="100"/>
      <c r="H228" s="98"/>
      <c r="I228" s="1126"/>
      <c r="J228" s="1135"/>
      <c r="K228" s="1135"/>
      <c r="L228" s="916"/>
    </row>
    <row r="229" spans="1:12" s="103" customFormat="1" ht="15.75" hidden="1" customHeight="1" outlineLevel="1">
      <c r="A229" s="916"/>
      <c r="B229" s="1123">
        <v>73</v>
      </c>
      <c r="C229" s="1127"/>
      <c r="D229" s="1125"/>
      <c r="E229" s="1125" t="s">
        <v>18</v>
      </c>
      <c r="F229" s="1130" t="str">
        <f>VLOOKUP(E229,$N$13:$O$17,2,0)</f>
        <v>-</v>
      </c>
      <c r="G229" s="92"/>
      <c r="H229" s="90"/>
      <c r="I229" s="1125"/>
      <c r="J229" s="1133"/>
      <c r="K229" s="1133"/>
      <c r="L229" s="916"/>
    </row>
    <row r="230" spans="1:12" s="103" customFormat="1" ht="15.75" hidden="1" customHeight="1" outlineLevel="1">
      <c r="A230" s="916"/>
      <c r="B230" s="1123"/>
      <c r="C230" s="1127"/>
      <c r="D230" s="1125"/>
      <c r="E230" s="1125"/>
      <c r="F230" s="1130"/>
      <c r="G230" s="95"/>
      <c r="H230" s="90"/>
      <c r="I230" s="1125"/>
      <c r="J230" s="1134"/>
      <c r="K230" s="1134"/>
      <c r="L230" s="916"/>
    </row>
    <row r="231" spans="1:12" s="103" customFormat="1" ht="15.75" hidden="1" customHeight="1" outlineLevel="1">
      <c r="A231" s="916"/>
      <c r="B231" s="1124"/>
      <c r="C231" s="1128"/>
      <c r="D231" s="1126"/>
      <c r="E231" s="1126"/>
      <c r="F231" s="1132"/>
      <c r="G231" s="100"/>
      <c r="H231" s="98"/>
      <c r="I231" s="1126"/>
      <c r="J231" s="1135"/>
      <c r="K231" s="1135"/>
      <c r="L231" s="916"/>
    </row>
    <row r="232" spans="1:12" s="103" customFormat="1" ht="15.75" hidden="1" customHeight="1" outlineLevel="1">
      <c r="A232" s="916"/>
      <c r="B232" s="1123">
        <v>74</v>
      </c>
      <c r="C232" s="1127"/>
      <c r="D232" s="1125"/>
      <c r="E232" s="1125" t="s">
        <v>18</v>
      </c>
      <c r="F232" s="1130" t="str">
        <f>VLOOKUP(E232,$N$13:$O$17,2,0)</f>
        <v>-</v>
      </c>
      <c r="G232" s="92"/>
      <c r="H232" s="90"/>
      <c r="I232" s="1125"/>
      <c r="J232" s="1133"/>
      <c r="K232" s="1133"/>
      <c r="L232" s="916"/>
    </row>
    <row r="233" spans="1:12" s="103" customFormat="1" ht="15.75" hidden="1" customHeight="1" outlineLevel="1">
      <c r="A233" s="916"/>
      <c r="B233" s="1123"/>
      <c r="C233" s="1127"/>
      <c r="D233" s="1125"/>
      <c r="E233" s="1125"/>
      <c r="F233" s="1130"/>
      <c r="G233" s="95"/>
      <c r="H233" s="90"/>
      <c r="I233" s="1125"/>
      <c r="J233" s="1134"/>
      <c r="K233" s="1134"/>
      <c r="L233" s="916"/>
    </row>
    <row r="234" spans="1:12" s="103" customFormat="1" ht="15.75" hidden="1" customHeight="1" outlineLevel="1">
      <c r="A234" s="916"/>
      <c r="B234" s="1124"/>
      <c r="C234" s="1128"/>
      <c r="D234" s="1126"/>
      <c r="E234" s="1126"/>
      <c r="F234" s="1132"/>
      <c r="G234" s="100"/>
      <c r="H234" s="98"/>
      <c r="I234" s="1126"/>
      <c r="J234" s="1135"/>
      <c r="K234" s="1135"/>
      <c r="L234" s="916"/>
    </row>
    <row r="235" spans="1:12" s="103" customFormat="1" ht="15.75" hidden="1" customHeight="1" outlineLevel="1">
      <c r="A235" s="916"/>
      <c r="B235" s="1123">
        <v>75</v>
      </c>
      <c r="C235" s="1127"/>
      <c r="D235" s="1125"/>
      <c r="E235" s="1125" t="s">
        <v>18</v>
      </c>
      <c r="F235" s="1130" t="str">
        <f>VLOOKUP(E235,$N$13:$O$17,2,0)</f>
        <v>-</v>
      </c>
      <c r="G235" s="92"/>
      <c r="H235" s="90"/>
      <c r="I235" s="1125"/>
      <c r="J235" s="1133"/>
      <c r="K235" s="1133"/>
      <c r="L235" s="916"/>
    </row>
    <row r="236" spans="1:12" s="103" customFormat="1" ht="15.75" hidden="1" customHeight="1" outlineLevel="1">
      <c r="A236" s="916"/>
      <c r="B236" s="1123"/>
      <c r="C236" s="1127"/>
      <c r="D236" s="1125"/>
      <c r="E236" s="1125"/>
      <c r="F236" s="1130"/>
      <c r="G236" s="95"/>
      <c r="H236" s="90"/>
      <c r="I236" s="1125"/>
      <c r="J236" s="1134"/>
      <c r="K236" s="1134"/>
      <c r="L236" s="916"/>
    </row>
    <row r="237" spans="1:12" s="103" customFormat="1" ht="15.75" hidden="1" customHeight="1" outlineLevel="1">
      <c r="A237" s="916"/>
      <c r="B237" s="1124"/>
      <c r="C237" s="1128"/>
      <c r="D237" s="1126"/>
      <c r="E237" s="1126"/>
      <c r="F237" s="1132"/>
      <c r="G237" s="100"/>
      <c r="H237" s="98"/>
      <c r="I237" s="1126"/>
      <c r="J237" s="1135"/>
      <c r="K237" s="1135"/>
      <c r="L237" s="916"/>
    </row>
    <row r="238" spans="1:12" s="103" customFormat="1" ht="15.75" hidden="1" customHeight="1" outlineLevel="1">
      <c r="A238" s="916"/>
      <c r="B238" s="1123">
        <v>76</v>
      </c>
      <c r="C238" s="1127"/>
      <c r="D238" s="1125"/>
      <c r="E238" s="1125" t="s">
        <v>18</v>
      </c>
      <c r="F238" s="1130" t="str">
        <f>VLOOKUP(E238,$N$13:$O$17,2,0)</f>
        <v>-</v>
      </c>
      <c r="G238" s="92"/>
      <c r="H238" s="90"/>
      <c r="I238" s="1125"/>
      <c r="J238" s="1133"/>
      <c r="K238" s="1133"/>
      <c r="L238" s="916"/>
    </row>
    <row r="239" spans="1:12" s="103" customFormat="1" ht="15.75" hidden="1" customHeight="1" outlineLevel="1">
      <c r="A239" s="916"/>
      <c r="B239" s="1123"/>
      <c r="C239" s="1127"/>
      <c r="D239" s="1125"/>
      <c r="E239" s="1125"/>
      <c r="F239" s="1130"/>
      <c r="G239" s="95"/>
      <c r="H239" s="90"/>
      <c r="I239" s="1125"/>
      <c r="J239" s="1134"/>
      <c r="K239" s="1134"/>
      <c r="L239" s="916"/>
    </row>
    <row r="240" spans="1:12" s="103" customFormat="1" ht="15.75" hidden="1" customHeight="1" outlineLevel="1">
      <c r="A240" s="916"/>
      <c r="B240" s="1124"/>
      <c r="C240" s="1128"/>
      <c r="D240" s="1126"/>
      <c r="E240" s="1126"/>
      <c r="F240" s="1132"/>
      <c r="G240" s="100"/>
      <c r="H240" s="98"/>
      <c r="I240" s="1126"/>
      <c r="J240" s="1135"/>
      <c r="K240" s="1135"/>
      <c r="L240" s="916"/>
    </row>
    <row r="241" spans="1:12" s="103" customFormat="1" ht="15.75" hidden="1" customHeight="1" outlineLevel="1">
      <c r="A241" s="916"/>
      <c r="B241" s="1123">
        <v>77</v>
      </c>
      <c r="C241" s="1127"/>
      <c r="D241" s="1125"/>
      <c r="E241" s="1125" t="s">
        <v>18</v>
      </c>
      <c r="F241" s="1130" t="str">
        <f>VLOOKUP(E241,$N$13:$O$17,2,0)</f>
        <v>-</v>
      </c>
      <c r="G241" s="92"/>
      <c r="H241" s="90"/>
      <c r="I241" s="1125"/>
      <c r="J241" s="1133"/>
      <c r="K241" s="1133"/>
      <c r="L241" s="916"/>
    </row>
    <row r="242" spans="1:12" s="103" customFormat="1" ht="15.75" hidden="1" customHeight="1" outlineLevel="1">
      <c r="A242" s="916"/>
      <c r="B242" s="1123"/>
      <c r="C242" s="1127"/>
      <c r="D242" s="1125"/>
      <c r="E242" s="1125"/>
      <c r="F242" s="1130"/>
      <c r="G242" s="95"/>
      <c r="H242" s="90"/>
      <c r="I242" s="1125"/>
      <c r="J242" s="1134"/>
      <c r="K242" s="1134"/>
      <c r="L242" s="916"/>
    </row>
    <row r="243" spans="1:12" s="103" customFormat="1" ht="15.75" hidden="1" customHeight="1" outlineLevel="1">
      <c r="A243" s="916"/>
      <c r="B243" s="1124"/>
      <c r="C243" s="1128"/>
      <c r="D243" s="1126"/>
      <c r="E243" s="1126"/>
      <c r="F243" s="1132"/>
      <c r="G243" s="100"/>
      <c r="H243" s="98"/>
      <c r="I243" s="1126"/>
      <c r="J243" s="1135"/>
      <c r="K243" s="1135"/>
      <c r="L243" s="916"/>
    </row>
    <row r="244" spans="1:12" s="103" customFormat="1" ht="15.75" hidden="1" customHeight="1" outlineLevel="1">
      <c r="A244" s="916"/>
      <c r="B244" s="1123">
        <v>78</v>
      </c>
      <c r="C244" s="1127"/>
      <c r="D244" s="1125"/>
      <c r="E244" s="1125" t="s">
        <v>18</v>
      </c>
      <c r="F244" s="1130" t="str">
        <f>VLOOKUP(E244,$N$13:$O$17,2,0)</f>
        <v>-</v>
      </c>
      <c r="G244" s="92"/>
      <c r="H244" s="90"/>
      <c r="I244" s="1125"/>
      <c r="J244" s="1133"/>
      <c r="K244" s="1133"/>
      <c r="L244" s="916"/>
    </row>
    <row r="245" spans="1:12" s="103" customFormat="1" ht="15.75" hidden="1" customHeight="1" outlineLevel="1">
      <c r="A245" s="916"/>
      <c r="B245" s="1123"/>
      <c r="C245" s="1127"/>
      <c r="D245" s="1125"/>
      <c r="E245" s="1125"/>
      <c r="F245" s="1130"/>
      <c r="G245" s="95"/>
      <c r="H245" s="90"/>
      <c r="I245" s="1125"/>
      <c r="J245" s="1134"/>
      <c r="K245" s="1134"/>
      <c r="L245" s="916"/>
    </row>
    <row r="246" spans="1:12" s="103" customFormat="1" ht="15.75" hidden="1" customHeight="1" outlineLevel="1">
      <c r="A246" s="916"/>
      <c r="B246" s="1124"/>
      <c r="C246" s="1128"/>
      <c r="D246" s="1126"/>
      <c r="E246" s="1126"/>
      <c r="F246" s="1132"/>
      <c r="G246" s="100"/>
      <c r="H246" s="98"/>
      <c r="I246" s="1126"/>
      <c r="J246" s="1135"/>
      <c r="K246" s="1135"/>
      <c r="L246" s="916"/>
    </row>
    <row r="247" spans="1:12" s="103" customFormat="1" ht="15.75" hidden="1" customHeight="1" outlineLevel="1">
      <c r="A247" s="916"/>
      <c r="B247" s="1123">
        <v>79</v>
      </c>
      <c r="C247" s="1127"/>
      <c r="D247" s="1125"/>
      <c r="E247" s="1125" t="s">
        <v>18</v>
      </c>
      <c r="F247" s="1130" t="str">
        <f>VLOOKUP(E247,$N$13:$O$17,2,0)</f>
        <v>-</v>
      </c>
      <c r="G247" s="92"/>
      <c r="H247" s="90"/>
      <c r="I247" s="1125"/>
      <c r="J247" s="1133"/>
      <c r="K247" s="1133"/>
      <c r="L247" s="916"/>
    </row>
    <row r="248" spans="1:12" s="103" customFormat="1" ht="15.75" hidden="1" customHeight="1" outlineLevel="1">
      <c r="A248" s="916"/>
      <c r="B248" s="1123"/>
      <c r="C248" s="1127"/>
      <c r="D248" s="1125"/>
      <c r="E248" s="1125"/>
      <c r="F248" s="1130"/>
      <c r="G248" s="95"/>
      <c r="H248" s="90"/>
      <c r="I248" s="1125"/>
      <c r="J248" s="1134"/>
      <c r="K248" s="1134"/>
      <c r="L248" s="916"/>
    </row>
    <row r="249" spans="1:12" s="103" customFormat="1" ht="15.75" hidden="1" customHeight="1" outlineLevel="1">
      <c r="A249" s="916"/>
      <c r="B249" s="1124"/>
      <c r="C249" s="1128"/>
      <c r="D249" s="1126"/>
      <c r="E249" s="1126"/>
      <c r="F249" s="1132"/>
      <c r="G249" s="100"/>
      <c r="H249" s="98"/>
      <c r="I249" s="1126"/>
      <c r="J249" s="1135"/>
      <c r="K249" s="1135"/>
      <c r="L249" s="916"/>
    </row>
    <row r="250" spans="1:12" s="103" customFormat="1" ht="15.75" hidden="1" customHeight="1" outlineLevel="1">
      <c r="A250" s="916"/>
      <c r="B250" s="1123">
        <v>80</v>
      </c>
      <c r="C250" s="1127"/>
      <c r="D250" s="1125"/>
      <c r="E250" s="1125" t="s">
        <v>18</v>
      </c>
      <c r="F250" s="1130" t="str">
        <f>VLOOKUP(E250,$N$13:$O$17,2,0)</f>
        <v>-</v>
      </c>
      <c r="G250" s="92"/>
      <c r="H250" s="90"/>
      <c r="I250" s="1125"/>
      <c r="J250" s="1133"/>
      <c r="K250" s="1133"/>
      <c r="L250" s="916"/>
    </row>
    <row r="251" spans="1:12" s="103" customFormat="1" ht="15.75" hidden="1" customHeight="1" outlineLevel="1">
      <c r="A251" s="916"/>
      <c r="B251" s="1123"/>
      <c r="C251" s="1127"/>
      <c r="D251" s="1125"/>
      <c r="E251" s="1125"/>
      <c r="F251" s="1130"/>
      <c r="G251" s="95"/>
      <c r="H251" s="90"/>
      <c r="I251" s="1125"/>
      <c r="J251" s="1134"/>
      <c r="K251" s="1134"/>
      <c r="L251" s="916"/>
    </row>
    <row r="252" spans="1:12" s="103" customFormat="1" ht="15.75" hidden="1" customHeight="1" outlineLevel="1">
      <c r="A252" s="916"/>
      <c r="B252" s="1124"/>
      <c r="C252" s="1128"/>
      <c r="D252" s="1126"/>
      <c r="E252" s="1126"/>
      <c r="F252" s="1132"/>
      <c r="G252" s="100"/>
      <c r="H252" s="98"/>
      <c r="I252" s="1126"/>
      <c r="J252" s="1135"/>
      <c r="K252" s="1135"/>
      <c r="L252" s="916"/>
    </row>
    <row r="253" spans="1:12" s="103" customFormat="1" ht="15.75" hidden="1" customHeight="1" outlineLevel="1">
      <c r="A253" s="916"/>
      <c r="B253" s="1123">
        <v>81</v>
      </c>
      <c r="C253" s="1127"/>
      <c r="D253" s="1125"/>
      <c r="E253" s="1125" t="s">
        <v>18</v>
      </c>
      <c r="F253" s="1130" t="str">
        <f>VLOOKUP(E253,$N$13:$O$17,2,0)</f>
        <v>-</v>
      </c>
      <c r="G253" s="92"/>
      <c r="H253" s="90"/>
      <c r="I253" s="1125"/>
      <c r="J253" s="1133"/>
      <c r="K253" s="1133"/>
      <c r="L253" s="916"/>
    </row>
    <row r="254" spans="1:12" s="103" customFormat="1" ht="15.75" hidden="1" customHeight="1" outlineLevel="1">
      <c r="A254" s="916"/>
      <c r="B254" s="1123"/>
      <c r="C254" s="1127"/>
      <c r="D254" s="1125"/>
      <c r="E254" s="1125"/>
      <c r="F254" s="1130"/>
      <c r="G254" s="95"/>
      <c r="H254" s="90"/>
      <c r="I254" s="1125"/>
      <c r="J254" s="1134"/>
      <c r="K254" s="1134"/>
      <c r="L254" s="916"/>
    </row>
    <row r="255" spans="1:12" s="103" customFormat="1" ht="15.75" hidden="1" customHeight="1" outlineLevel="1">
      <c r="A255" s="916"/>
      <c r="B255" s="1124"/>
      <c r="C255" s="1128"/>
      <c r="D255" s="1126"/>
      <c r="E255" s="1126"/>
      <c r="F255" s="1132"/>
      <c r="G255" s="100"/>
      <c r="H255" s="98"/>
      <c r="I255" s="1126"/>
      <c r="J255" s="1135"/>
      <c r="K255" s="1135"/>
      <c r="L255" s="916"/>
    </row>
    <row r="256" spans="1:12" s="103" customFormat="1" ht="15.75" hidden="1" customHeight="1" outlineLevel="1">
      <c r="A256" s="916"/>
      <c r="B256" s="1123">
        <v>82</v>
      </c>
      <c r="C256" s="1127"/>
      <c r="D256" s="1125"/>
      <c r="E256" s="1125" t="s">
        <v>18</v>
      </c>
      <c r="F256" s="1130" t="str">
        <f>VLOOKUP(E256,$N$13:$O$17,2,0)</f>
        <v>-</v>
      </c>
      <c r="G256" s="92"/>
      <c r="H256" s="90"/>
      <c r="I256" s="1125"/>
      <c r="J256" s="1133"/>
      <c r="K256" s="1133"/>
      <c r="L256" s="916"/>
    </row>
    <row r="257" spans="1:12" s="103" customFormat="1" ht="15.75" hidden="1" customHeight="1" outlineLevel="1">
      <c r="A257" s="916"/>
      <c r="B257" s="1123"/>
      <c r="C257" s="1127"/>
      <c r="D257" s="1125"/>
      <c r="E257" s="1125"/>
      <c r="F257" s="1130"/>
      <c r="G257" s="95"/>
      <c r="H257" s="90"/>
      <c r="I257" s="1125"/>
      <c r="J257" s="1134"/>
      <c r="K257" s="1134"/>
      <c r="L257" s="916"/>
    </row>
    <row r="258" spans="1:12" s="103" customFormat="1" ht="15.75" hidden="1" customHeight="1" outlineLevel="1">
      <c r="A258" s="916"/>
      <c r="B258" s="1124"/>
      <c r="C258" s="1128"/>
      <c r="D258" s="1126"/>
      <c r="E258" s="1126"/>
      <c r="F258" s="1132"/>
      <c r="G258" s="100"/>
      <c r="H258" s="98"/>
      <c r="I258" s="1126"/>
      <c r="J258" s="1135"/>
      <c r="K258" s="1135"/>
      <c r="L258" s="916"/>
    </row>
    <row r="259" spans="1:12" s="103" customFormat="1" ht="15.75" hidden="1" customHeight="1" outlineLevel="1">
      <c r="A259" s="916"/>
      <c r="B259" s="1123">
        <v>83</v>
      </c>
      <c r="C259" s="1127"/>
      <c r="D259" s="1125"/>
      <c r="E259" s="1125" t="s">
        <v>18</v>
      </c>
      <c r="F259" s="1130" t="str">
        <f>VLOOKUP(E259,$N$13:$O$17,2,0)</f>
        <v>-</v>
      </c>
      <c r="G259" s="92"/>
      <c r="H259" s="90"/>
      <c r="I259" s="1125"/>
      <c r="J259" s="1133"/>
      <c r="K259" s="1133"/>
      <c r="L259" s="916"/>
    </row>
    <row r="260" spans="1:12" s="103" customFormat="1" ht="15.75" hidden="1" customHeight="1" outlineLevel="1">
      <c r="A260" s="916"/>
      <c r="B260" s="1123"/>
      <c r="C260" s="1127"/>
      <c r="D260" s="1125"/>
      <c r="E260" s="1125"/>
      <c r="F260" s="1130"/>
      <c r="G260" s="95"/>
      <c r="H260" s="90"/>
      <c r="I260" s="1125"/>
      <c r="J260" s="1134"/>
      <c r="K260" s="1134"/>
      <c r="L260" s="916"/>
    </row>
    <row r="261" spans="1:12" s="103" customFormat="1" ht="15.75" hidden="1" customHeight="1" outlineLevel="1">
      <c r="A261" s="916"/>
      <c r="B261" s="1124"/>
      <c r="C261" s="1128"/>
      <c r="D261" s="1126"/>
      <c r="E261" s="1126"/>
      <c r="F261" s="1132"/>
      <c r="G261" s="100"/>
      <c r="H261" s="98"/>
      <c r="I261" s="1126"/>
      <c r="J261" s="1135"/>
      <c r="K261" s="1135"/>
      <c r="L261" s="916"/>
    </row>
    <row r="262" spans="1:12" s="103" customFormat="1" ht="15.75" hidden="1" customHeight="1" outlineLevel="1">
      <c r="A262" s="916"/>
      <c r="B262" s="1123">
        <v>84</v>
      </c>
      <c r="C262" s="1127"/>
      <c r="D262" s="1125"/>
      <c r="E262" s="1125" t="s">
        <v>18</v>
      </c>
      <c r="F262" s="1130" t="str">
        <f>VLOOKUP(E262,$N$13:$O$17,2,0)</f>
        <v>-</v>
      </c>
      <c r="G262" s="92"/>
      <c r="H262" s="90"/>
      <c r="I262" s="1125"/>
      <c r="J262" s="1133"/>
      <c r="K262" s="1133"/>
      <c r="L262" s="916"/>
    </row>
    <row r="263" spans="1:12" s="103" customFormat="1" ht="15.75" hidden="1" customHeight="1" outlineLevel="1">
      <c r="A263" s="916"/>
      <c r="B263" s="1123"/>
      <c r="C263" s="1127"/>
      <c r="D263" s="1125"/>
      <c r="E263" s="1125"/>
      <c r="F263" s="1130"/>
      <c r="G263" s="95"/>
      <c r="H263" s="90"/>
      <c r="I263" s="1125"/>
      <c r="J263" s="1134"/>
      <c r="K263" s="1134"/>
      <c r="L263" s="916"/>
    </row>
    <row r="264" spans="1:12" s="103" customFormat="1" ht="15.75" hidden="1" customHeight="1" outlineLevel="1">
      <c r="A264" s="916"/>
      <c r="B264" s="1124"/>
      <c r="C264" s="1128"/>
      <c r="D264" s="1126"/>
      <c r="E264" s="1126"/>
      <c r="F264" s="1132"/>
      <c r="G264" s="100"/>
      <c r="H264" s="98"/>
      <c r="I264" s="1126"/>
      <c r="J264" s="1135"/>
      <c r="K264" s="1135"/>
      <c r="L264" s="916"/>
    </row>
    <row r="265" spans="1:12" s="103" customFormat="1" ht="15.75" hidden="1" customHeight="1" outlineLevel="1">
      <c r="A265" s="916"/>
      <c r="B265" s="1123">
        <v>85</v>
      </c>
      <c r="C265" s="1127"/>
      <c r="D265" s="1125"/>
      <c r="E265" s="1125" t="s">
        <v>18</v>
      </c>
      <c r="F265" s="1130" t="str">
        <f>VLOOKUP(E265,$N$13:$O$17,2,0)</f>
        <v>-</v>
      </c>
      <c r="G265" s="92"/>
      <c r="H265" s="90"/>
      <c r="I265" s="1125"/>
      <c r="J265" s="1133"/>
      <c r="K265" s="1133"/>
      <c r="L265" s="916"/>
    </row>
    <row r="266" spans="1:12" s="103" customFormat="1" ht="15.75" hidden="1" customHeight="1" outlineLevel="1">
      <c r="A266" s="916"/>
      <c r="B266" s="1123"/>
      <c r="C266" s="1127"/>
      <c r="D266" s="1125"/>
      <c r="E266" s="1125"/>
      <c r="F266" s="1130"/>
      <c r="G266" s="95"/>
      <c r="H266" s="90"/>
      <c r="I266" s="1125"/>
      <c r="J266" s="1134"/>
      <c r="K266" s="1134"/>
      <c r="L266" s="916"/>
    </row>
    <row r="267" spans="1:12" s="103" customFormat="1" ht="15.75" hidden="1" customHeight="1" outlineLevel="1">
      <c r="A267" s="916"/>
      <c r="B267" s="1124"/>
      <c r="C267" s="1128"/>
      <c r="D267" s="1126"/>
      <c r="E267" s="1126"/>
      <c r="F267" s="1132"/>
      <c r="G267" s="100"/>
      <c r="H267" s="98"/>
      <c r="I267" s="1126"/>
      <c r="J267" s="1135"/>
      <c r="K267" s="1135"/>
      <c r="L267" s="916"/>
    </row>
    <row r="268" spans="1:12" s="103" customFormat="1" ht="15.75" hidden="1" customHeight="1" outlineLevel="1">
      <c r="A268" s="916"/>
      <c r="B268" s="1123">
        <v>86</v>
      </c>
      <c r="C268" s="1127"/>
      <c r="D268" s="1125"/>
      <c r="E268" s="1125" t="s">
        <v>18</v>
      </c>
      <c r="F268" s="1130" t="str">
        <f>VLOOKUP(E268,$N$13:$O$17,2,0)</f>
        <v>-</v>
      </c>
      <c r="G268" s="92"/>
      <c r="H268" s="90"/>
      <c r="I268" s="1125"/>
      <c r="J268" s="1133"/>
      <c r="K268" s="1133"/>
      <c r="L268" s="916"/>
    </row>
    <row r="269" spans="1:12" s="103" customFormat="1" ht="15.75" hidden="1" customHeight="1" outlineLevel="1">
      <c r="A269" s="916"/>
      <c r="B269" s="1123"/>
      <c r="C269" s="1127"/>
      <c r="D269" s="1125"/>
      <c r="E269" s="1125"/>
      <c r="F269" s="1130"/>
      <c r="G269" s="95"/>
      <c r="H269" s="90"/>
      <c r="I269" s="1125"/>
      <c r="J269" s="1134"/>
      <c r="K269" s="1134"/>
      <c r="L269" s="916"/>
    </row>
    <row r="270" spans="1:12" s="103" customFormat="1" ht="15.75" hidden="1" customHeight="1" outlineLevel="1">
      <c r="A270" s="916"/>
      <c r="B270" s="1124"/>
      <c r="C270" s="1128"/>
      <c r="D270" s="1126"/>
      <c r="E270" s="1126"/>
      <c r="F270" s="1132"/>
      <c r="G270" s="100"/>
      <c r="H270" s="98"/>
      <c r="I270" s="1126"/>
      <c r="J270" s="1135"/>
      <c r="K270" s="1135"/>
      <c r="L270" s="916"/>
    </row>
    <row r="271" spans="1:12" s="103" customFormat="1" ht="15.75" hidden="1" customHeight="1" outlineLevel="1">
      <c r="A271" s="916"/>
      <c r="B271" s="1123">
        <v>87</v>
      </c>
      <c r="C271" s="1127"/>
      <c r="D271" s="1125"/>
      <c r="E271" s="1125" t="s">
        <v>18</v>
      </c>
      <c r="F271" s="1130" t="str">
        <f>VLOOKUP(E271,$N$13:$O$17,2,0)</f>
        <v>-</v>
      </c>
      <c r="G271" s="92"/>
      <c r="H271" s="90"/>
      <c r="I271" s="1125"/>
      <c r="J271" s="1133"/>
      <c r="K271" s="1133"/>
      <c r="L271" s="916"/>
    </row>
    <row r="272" spans="1:12" s="103" customFormat="1" ht="15.75" hidden="1" customHeight="1" outlineLevel="1">
      <c r="A272" s="916"/>
      <c r="B272" s="1123"/>
      <c r="C272" s="1127"/>
      <c r="D272" s="1125"/>
      <c r="E272" s="1125"/>
      <c r="F272" s="1130"/>
      <c r="G272" s="95"/>
      <c r="H272" s="90"/>
      <c r="I272" s="1125"/>
      <c r="J272" s="1134"/>
      <c r="K272" s="1134"/>
      <c r="L272" s="916"/>
    </row>
    <row r="273" spans="1:12" s="103" customFormat="1" ht="15.75" hidden="1" customHeight="1" outlineLevel="1">
      <c r="A273" s="916"/>
      <c r="B273" s="1124"/>
      <c r="C273" s="1128"/>
      <c r="D273" s="1126"/>
      <c r="E273" s="1126"/>
      <c r="F273" s="1132"/>
      <c r="G273" s="100"/>
      <c r="H273" s="98"/>
      <c r="I273" s="1126"/>
      <c r="J273" s="1135"/>
      <c r="K273" s="1135"/>
      <c r="L273" s="916"/>
    </row>
    <row r="274" spans="1:12" s="103" customFormat="1" ht="15.75" hidden="1" customHeight="1" outlineLevel="1">
      <c r="A274" s="916"/>
      <c r="B274" s="1123">
        <v>88</v>
      </c>
      <c r="C274" s="1127"/>
      <c r="D274" s="1125"/>
      <c r="E274" s="1125" t="s">
        <v>18</v>
      </c>
      <c r="F274" s="1130" t="str">
        <f>VLOOKUP(E274,$N$13:$O$17,2,0)</f>
        <v>-</v>
      </c>
      <c r="G274" s="92"/>
      <c r="H274" s="90"/>
      <c r="I274" s="1125"/>
      <c r="J274" s="1133"/>
      <c r="K274" s="1133"/>
      <c r="L274" s="916"/>
    </row>
    <row r="275" spans="1:12" s="103" customFormat="1" ht="15.75" hidden="1" customHeight="1" outlineLevel="1">
      <c r="A275" s="916"/>
      <c r="B275" s="1123"/>
      <c r="C275" s="1127"/>
      <c r="D275" s="1125"/>
      <c r="E275" s="1125"/>
      <c r="F275" s="1130"/>
      <c r="G275" s="95"/>
      <c r="H275" s="90"/>
      <c r="I275" s="1125"/>
      <c r="J275" s="1134"/>
      <c r="K275" s="1134"/>
      <c r="L275" s="916"/>
    </row>
    <row r="276" spans="1:12" s="103" customFormat="1" ht="15.75" hidden="1" customHeight="1" outlineLevel="1">
      <c r="A276" s="916"/>
      <c r="B276" s="1124"/>
      <c r="C276" s="1128"/>
      <c r="D276" s="1126"/>
      <c r="E276" s="1126"/>
      <c r="F276" s="1132"/>
      <c r="G276" s="100"/>
      <c r="H276" s="98"/>
      <c r="I276" s="1126"/>
      <c r="J276" s="1135"/>
      <c r="K276" s="1135"/>
      <c r="L276" s="916"/>
    </row>
    <row r="277" spans="1:12" s="103" customFormat="1" ht="15.75" hidden="1" customHeight="1" outlineLevel="1">
      <c r="A277" s="916"/>
      <c r="B277" s="1123">
        <v>89</v>
      </c>
      <c r="C277" s="1127"/>
      <c r="D277" s="1125"/>
      <c r="E277" s="1125" t="s">
        <v>18</v>
      </c>
      <c r="F277" s="1130" t="str">
        <f>VLOOKUP(E277,$N$13:$O$17,2,0)</f>
        <v>-</v>
      </c>
      <c r="G277" s="92"/>
      <c r="H277" s="90"/>
      <c r="I277" s="1125"/>
      <c r="J277" s="1133"/>
      <c r="K277" s="1133"/>
      <c r="L277" s="916"/>
    </row>
    <row r="278" spans="1:12" s="103" customFormat="1" ht="15.75" hidden="1" customHeight="1" outlineLevel="1">
      <c r="A278" s="916"/>
      <c r="B278" s="1123"/>
      <c r="C278" s="1127"/>
      <c r="D278" s="1125"/>
      <c r="E278" s="1125"/>
      <c r="F278" s="1130"/>
      <c r="G278" s="95"/>
      <c r="H278" s="90"/>
      <c r="I278" s="1125"/>
      <c r="J278" s="1134"/>
      <c r="K278" s="1134"/>
      <c r="L278" s="916"/>
    </row>
    <row r="279" spans="1:12" s="103" customFormat="1" ht="15.75" hidden="1" customHeight="1" outlineLevel="1">
      <c r="A279" s="916"/>
      <c r="B279" s="1124"/>
      <c r="C279" s="1128"/>
      <c r="D279" s="1126"/>
      <c r="E279" s="1126"/>
      <c r="F279" s="1132"/>
      <c r="G279" s="100"/>
      <c r="H279" s="98"/>
      <c r="I279" s="1126"/>
      <c r="J279" s="1135"/>
      <c r="K279" s="1135"/>
      <c r="L279" s="916"/>
    </row>
    <row r="280" spans="1:12" s="103" customFormat="1" ht="15.75" hidden="1" customHeight="1" outlineLevel="1">
      <c r="A280" s="916"/>
      <c r="B280" s="1123">
        <v>90</v>
      </c>
      <c r="C280" s="1127"/>
      <c r="D280" s="1125"/>
      <c r="E280" s="1125" t="s">
        <v>18</v>
      </c>
      <c r="F280" s="1130" t="str">
        <f>VLOOKUP(E280,$N$13:$O$17,2,0)</f>
        <v>-</v>
      </c>
      <c r="G280" s="92"/>
      <c r="H280" s="90"/>
      <c r="I280" s="1125"/>
      <c r="J280" s="1133"/>
      <c r="K280" s="1133"/>
      <c r="L280" s="916"/>
    </row>
    <row r="281" spans="1:12" s="103" customFormat="1" ht="15.75" hidden="1" customHeight="1" outlineLevel="1">
      <c r="A281" s="916"/>
      <c r="B281" s="1123"/>
      <c r="C281" s="1127"/>
      <c r="D281" s="1125"/>
      <c r="E281" s="1125"/>
      <c r="F281" s="1130"/>
      <c r="G281" s="95"/>
      <c r="H281" s="90"/>
      <c r="I281" s="1125"/>
      <c r="J281" s="1134"/>
      <c r="K281" s="1134"/>
      <c r="L281" s="916"/>
    </row>
    <row r="282" spans="1:12" s="103" customFormat="1" ht="15.75" hidden="1" customHeight="1" outlineLevel="1">
      <c r="A282" s="916"/>
      <c r="B282" s="1124"/>
      <c r="C282" s="1128"/>
      <c r="D282" s="1126"/>
      <c r="E282" s="1126"/>
      <c r="F282" s="1132"/>
      <c r="G282" s="100"/>
      <c r="H282" s="98"/>
      <c r="I282" s="1126"/>
      <c r="J282" s="1135"/>
      <c r="K282" s="1135"/>
      <c r="L282" s="916"/>
    </row>
    <row r="283" spans="1:12" s="103" customFormat="1" ht="15.75" hidden="1" customHeight="1" outlineLevel="1">
      <c r="A283" s="916"/>
      <c r="B283" s="1123">
        <v>91</v>
      </c>
      <c r="C283" s="1127"/>
      <c r="D283" s="1125"/>
      <c r="E283" s="1125" t="s">
        <v>18</v>
      </c>
      <c r="F283" s="1130" t="str">
        <f>VLOOKUP(E283,$N$13:$O$17,2,0)</f>
        <v>-</v>
      </c>
      <c r="G283" s="92"/>
      <c r="H283" s="90"/>
      <c r="I283" s="1125"/>
      <c r="J283" s="1133"/>
      <c r="K283" s="1133"/>
      <c r="L283" s="916"/>
    </row>
    <row r="284" spans="1:12" s="103" customFormat="1" ht="15.75" hidden="1" customHeight="1" outlineLevel="1">
      <c r="A284" s="916"/>
      <c r="B284" s="1123"/>
      <c r="C284" s="1127"/>
      <c r="D284" s="1125"/>
      <c r="E284" s="1125"/>
      <c r="F284" s="1130"/>
      <c r="G284" s="95"/>
      <c r="H284" s="90"/>
      <c r="I284" s="1125"/>
      <c r="J284" s="1134"/>
      <c r="K284" s="1134"/>
      <c r="L284" s="916"/>
    </row>
    <row r="285" spans="1:12" s="103" customFormat="1" ht="15.75" hidden="1" customHeight="1" outlineLevel="1">
      <c r="A285" s="916"/>
      <c r="B285" s="1124"/>
      <c r="C285" s="1128"/>
      <c r="D285" s="1126"/>
      <c r="E285" s="1126"/>
      <c r="F285" s="1132"/>
      <c r="G285" s="100"/>
      <c r="H285" s="98"/>
      <c r="I285" s="1126"/>
      <c r="J285" s="1135"/>
      <c r="K285" s="1135"/>
      <c r="L285" s="916"/>
    </row>
    <row r="286" spans="1:12" s="103" customFormat="1" ht="15.75" hidden="1" customHeight="1" outlineLevel="1">
      <c r="A286" s="916"/>
      <c r="B286" s="1123">
        <v>92</v>
      </c>
      <c r="C286" s="1127"/>
      <c r="D286" s="1125"/>
      <c r="E286" s="1125" t="s">
        <v>18</v>
      </c>
      <c r="F286" s="1130" t="str">
        <f>VLOOKUP(E286,$N$13:$O$17,2,0)</f>
        <v>-</v>
      </c>
      <c r="G286" s="92"/>
      <c r="H286" s="90"/>
      <c r="I286" s="1125"/>
      <c r="J286" s="1133"/>
      <c r="K286" s="1133"/>
      <c r="L286" s="916"/>
    </row>
    <row r="287" spans="1:12" s="103" customFormat="1" ht="15.75" hidden="1" customHeight="1" outlineLevel="1">
      <c r="A287" s="916"/>
      <c r="B287" s="1123"/>
      <c r="C287" s="1127"/>
      <c r="D287" s="1125"/>
      <c r="E287" s="1125"/>
      <c r="F287" s="1130"/>
      <c r="G287" s="95"/>
      <c r="H287" s="90"/>
      <c r="I287" s="1125"/>
      <c r="J287" s="1134"/>
      <c r="K287" s="1134"/>
      <c r="L287" s="916"/>
    </row>
    <row r="288" spans="1:12" s="103" customFormat="1" ht="15.75" hidden="1" customHeight="1" outlineLevel="1">
      <c r="A288" s="916"/>
      <c r="B288" s="1124"/>
      <c r="C288" s="1128"/>
      <c r="D288" s="1126"/>
      <c r="E288" s="1126"/>
      <c r="F288" s="1132"/>
      <c r="G288" s="100"/>
      <c r="H288" s="98"/>
      <c r="I288" s="1126"/>
      <c r="J288" s="1135"/>
      <c r="K288" s="1135"/>
      <c r="L288" s="916"/>
    </row>
    <row r="289" spans="1:12" s="103" customFormat="1" ht="15.75" hidden="1" customHeight="1" outlineLevel="1">
      <c r="A289" s="916"/>
      <c r="B289" s="1123">
        <v>93</v>
      </c>
      <c r="C289" s="1127"/>
      <c r="D289" s="1125"/>
      <c r="E289" s="1125" t="s">
        <v>18</v>
      </c>
      <c r="F289" s="1130" t="str">
        <f>VLOOKUP(E289,$N$13:$O$17,2,0)</f>
        <v>-</v>
      </c>
      <c r="G289" s="92"/>
      <c r="H289" s="90"/>
      <c r="I289" s="1125"/>
      <c r="J289" s="1133"/>
      <c r="K289" s="1133"/>
      <c r="L289" s="916"/>
    </row>
    <row r="290" spans="1:12" s="103" customFormat="1" ht="15.75" hidden="1" customHeight="1" outlineLevel="1">
      <c r="A290" s="916"/>
      <c r="B290" s="1123"/>
      <c r="C290" s="1127"/>
      <c r="D290" s="1125"/>
      <c r="E290" s="1125"/>
      <c r="F290" s="1130"/>
      <c r="G290" s="95"/>
      <c r="H290" s="90"/>
      <c r="I290" s="1125"/>
      <c r="J290" s="1134"/>
      <c r="K290" s="1134"/>
      <c r="L290" s="916"/>
    </row>
    <row r="291" spans="1:12" s="103" customFormat="1" ht="15.75" hidden="1" customHeight="1" outlineLevel="1">
      <c r="A291" s="916"/>
      <c r="B291" s="1124"/>
      <c r="C291" s="1128"/>
      <c r="D291" s="1126"/>
      <c r="E291" s="1126"/>
      <c r="F291" s="1132"/>
      <c r="G291" s="100"/>
      <c r="H291" s="98"/>
      <c r="I291" s="1126"/>
      <c r="J291" s="1135"/>
      <c r="K291" s="1135"/>
      <c r="L291" s="916"/>
    </row>
    <row r="292" spans="1:12" s="103" customFormat="1" ht="15.75" hidden="1" customHeight="1" outlineLevel="1">
      <c r="A292" s="916"/>
      <c r="B292" s="1123">
        <v>94</v>
      </c>
      <c r="C292" s="1127"/>
      <c r="D292" s="1125"/>
      <c r="E292" s="1125" t="s">
        <v>18</v>
      </c>
      <c r="F292" s="1130" t="str">
        <f>VLOOKUP(E292,$N$13:$O$17,2,0)</f>
        <v>-</v>
      </c>
      <c r="G292" s="92"/>
      <c r="H292" s="90"/>
      <c r="I292" s="1125"/>
      <c r="J292" s="1133"/>
      <c r="K292" s="1133"/>
      <c r="L292" s="916"/>
    </row>
    <row r="293" spans="1:12" s="103" customFormat="1" ht="15.75" hidden="1" customHeight="1" outlineLevel="1">
      <c r="A293" s="916"/>
      <c r="B293" s="1123"/>
      <c r="C293" s="1127"/>
      <c r="D293" s="1125"/>
      <c r="E293" s="1125"/>
      <c r="F293" s="1130"/>
      <c r="G293" s="95"/>
      <c r="H293" s="90"/>
      <c r="I293" s="1125"/>
      <c r="J293" s="1134"/>
      <c r="K293" s="1134"/>
      <c r="L293" s="916"/>
    </row>
    <row r="294" spans="1:12" s="103" customFormat="1" ht="15.75" hidden="1" customHeight="1" outlineLevel="1">
      <c r="A294" s="916"/>
      <c r="B294" s="1124"/>
      <c r="C294" s="1128"/>
      <c r="D294" s="1126"/>
      <c r="E294" s="1126"/>
      <c r="F294" s="1132"/>
      <c r="G294" s="100"/>
      <c r="H294" s="98"/>
      <c r="I294" s="1126"/>
      <c r="J294" s="1135"/>
      <c r="K294" s="1135"/>
      <c r="L294" s="916"/>
    </row>
    <row r="295" spans="1:12" s="103" customFormat="1" ht="15.75" hidden="1" customHeight="1" outlineLevel="1">
      <c r="A295" s="916"/>
      <c r="B295" s="1123">
        <v>95</v>
      </c>
      <c r="C295" s="1127"/>
      <c r="D295" s="1125"/>
      <c r="E295" s="1125" t="s">
        <v>18</v>
      </c>
      <c r="F295" s="1130" t="str">
        <f>VLOOKUP(E295,$N$13:$O$17,2,0)</f>
        <v>-</v>
      </c>
      <c r="G295" s="92"/>
      <c r="H295" s="90"/>
      <c r="I295" s="1125"/>
      <c r="J295" s="1133"/>
      <c r="K295" s="1133"/>
      <c r="L295" s="916"/>
    </row>
    <row r="296" spans="1:12" s="103" customFormat="1" ht="15.75" hidden="1" customHeight="1" outlineLevel="1">
      <c r="A296" s="916"/>
      <c r="B296" s="1123"/>
      <c r="C296" s="1127"/>
      <c r="D296" s="1125"/>
      <c r="E296" s="1125"/>
      <c r="F296" s="1130"/>
      <c r="G296" s="95"/>
      <c r="H296" s="90"/>
      <c r="I296" s="1125"/>
      <c r="J296" s="1134"/>
      <c r="K296" s="1134"/>
      <c r="L296" s="916"/>
    </row>
    <row r="297" spans="1:12" s="103" customFormat="1" ht="15.75" hidden="1" customHeight="1" outlineLevel="1">
      <c r="A297" s="916"/>
      <c r="B297" s="1124"/>
      <c r="C297" s="1128"/>
      <c r="D297" s="1126"/>
      <c r="E297" s="1126"/>
      <c r="F297" s="1132"/>
      <c r="G297" s="100"/>
      <c r="H297" s="98"/>
      <c r="I297" s="1126"/>
      <c r="J297" s="1135"/>
      <c r="K297" s="1135"/>
      <c r="L297" s="916"/>
    </row>
    <row r="298" spans="1:12" s="103" customFormat="1" ht="15.75" hidden="1" customHeight="1" outlineLevel="1">
      <c r="A298" s="916"/>
      <c r="B298" s="1123">
        <v>96</v>
      </c>
      <c r="C298" s="1127"/>
      <c r="D298" s="1125"/>
      <c r="E298" s="1125" t="s">
        <v>18</v>
      </c>
      <c r="F298" s="1130" t="str">
        <f>VLOOKUP(E298,$N$13:$O$17,2,0)</f>
        <v>-</v>
      </c>
      <c r="G298" s="92"/>
      <c r="H298" s="90"/>
      <c r="I298" s="1125"/>
      <c r="J298" s="1133"/>
      <c r="K298" s="1133"/>
      <c r="L298" s="916"/>
    </row>
    <row r="299" spans="1:12" s="103" customFormat="1" ht="15.75" hidden="1" customHeight="1" outlineLevel="1">
      <c r="A299" s="916"/>
      <c r="B299" s="1123"/>
      <c r="C299" s="1127"/>
      <c r="D299" s="1125"/>
      <c r="E299" s="1125"/>
      <c r="F299" s="1130"/>
      <c r="G299" s="95"/>
      <c r="H299" s="90"/>
      <c r="I299" s="1125"/>
      <c r="J299" s="1134"/>
      <c r="K299" s="1134"/>
      <c r="L299" s="916"/>
    </row>
    <row r="300" spans="1:12" s="103" customFormat="1" ht="15.75" hidden="1" customHeight="1" outlineLevel="1">
      <c r="A300" s="916"/>
      <c r="B300" s="1124"/>
      <c r="C300" s="1128"/>
      <c r="D300" s="1126"/>
      <c r="E300" s="1126"/>
      <c r="F300" s="1132"/>
      <c r="G300" s="100"/>
      <c r="H300" s="98"/>
      <c r="I300" s="1126"/>
      <c r="J300" s="1135"/>
      <c r="K300" s="1135"/>
      <c r="L300" s="916"/>
    </row>
    <row r="301" spans="1:12" s="103" customFormat="1" ht="15.75" hidden="1" customHeight="1" outlineLevel="1">
      <c r="A301" s="916"/>
      <c r="B301" s="1123">
        <v>97</v>
      </c>
      <c r="C301" s="1127"/>
      <c r="D301" s="1125"/>
      <c r="E301" s="1125" t="s">
        <v>18</v>
      </c>
      <c r="F301" s="1130" t="str">
        <f>VLOOKUP(E301,$N$13:$O$17,2,0)</f>
        <v>-</v>
      </c>
      <c r="G301" s="92"/>
      <c r="H301" s="90"/>
      <c r="I301" s="1125"/>
      <c r="J301" s="1133"/>
      <c r="K301" s="1133"/>
      <c r="L301" s="916"/>
    </row>
    <row r="302" spans="1:12" s="103" customFormat="1" ht="15.75" hidden="1" customHeight="1" outlineLevel="1">
      <c r="A302" s="916"/>
      <c r="B302" s="1123"/>
      <c r="C302" s="1127"/>
      <c r="D302" s="1125"/>
      <c r="E302" s="1125"/>
      <c r="F302" s="1130"/>
      <c r="G302" s="95"/>
      <c r="H302" s="90"/>
      <c r="I302" s="1125"/>
      <c r="J302" s="1134"/>
      <c r="K302" s="1134"/>
      <c r="L302" s="916"/>
    </row>
    <row r="303" spans="1:12" s="103" customFormat="1" ht="15.75" hidden="1" customHeight="1" outlineLevel="1">
      <c r="A303" s="916"/>
      <c r="B303" s="1124"/>
      <c r="C303" s="1128"/>
      <c r="D303" s="1126"/>
      <c r="E303" s="1126"/>
      <c r="F303" s="1132"/>
      <c r="G303" s="100"/>
      <c r="H303" s="98"/>
      <c r="I303" s="1126"/>
      <c r="J303" s="1135"/>
      <c r="K303" s="1135"/>
      <c r="L303" s="916"/>
    </row>
    <row r="304" spans="1:12" s="103" customFormat="1" ht="15.75" hidden="1" customHeight="1" outlineLevel="1">
      <c r="A304" s="916"/>
      <c r="B304" s="1123">
        <v>98</v>
      </c>
      <c r="C304" s="1127"/>
      <c r="D304" s="1125"/>
      <c r="E304" s="1125" t="s">
        <v>18</v>
      </c>
      <c r="F304" s="1130" t="str">
        <f>VLOOKUP(E304,$N$13:$O$17,2,0)</f>
        <v>-</v>
      </c>
      <c r="G304" s="92"/>
      <c r="H304" s="90"/>
      <c r="I304" s="1125"/>
      <c r="J304" s="1133"/>
      <c r="K304" s="1133"/>
      <c r="L304" s="916"/>
    </row>
    <row r="305" spans="1:12" s="103" customFormat="1" ht="15.75" hidden="1" customHeight="1" outlineLevel="1">
      <c r="A305" s="916"/>
      <c r="B305" s="1123"/>
      <c r="C305" s="1127"/>
      <c r="D305" s="1125"/>
      <c r="E305" s="1125"/>
      <c r="F305" s="1130"/>
      <c r="G305" s="95"/>
      <c r="H305" s="90"/>
      <c r="I305" s="1125"/>
      <c r="J305" s="1134"/>
      <c r="K305" s="1134"/>
      <c r="L305" s="916"/>
    </row>
    <row r="306" spans="1:12" s="103" customFormat="1" ht="15.75" hidden="1" customHeight="1" outlineLevel="1">
      <c r="A306" s="916"/>
      <c r="B306" s="1124"/>
      <c r="C306" s="1128"/>
      <c r="D306" s="1126"/>
      <c r="E306" s="1126"/>
      <c r="F306" s="1132"/>
      <c r="G306" s="100"/>
      <c r="H306" s="98"/>
      <c r="I306" s="1126"/>
      <c r="J306" s="1135"/>
      <c r="K306" s="1135"/>
      <c r="L306" s="916"/>
    </row>
    <row r="307" spans="1:12" s="103" customFormat="1" ht="15.75" hidden="1" customHeight="1" outlineLevel="1">
      <c r="A307" s="916"/>
      <c r="B307" s="1123">
        <v>99</v>
      </c>
      <c r="C307" s="1127"/>
      <c r="D307" s="1125"/>
      <c r="E307" s="1125" t="s">
        <v>18</v>
      </c>
      <c r="F307" s="1130" t="str">
        <f>VLOOKUP(E307,$N$13:$O$17,2,0)</f>
        <v>-</v>
      </c>
      <c r="G307" s="92"/>
      <c r="H307" s="90"/>
      <c r="I307" s="1125"/>
      <c r="J307" s="1133"/>
      <c r="K307" s="1133"/>
      <c r="L307" s="916"/>
    </row>
    <row r="308" spans="1:12" s="103" customFormat="1" ht="15.75" hidden="1" customHeight="1" outlineLevel="1">
      <c r="A308" s="916"/>
      <c r="B308" s="1123"/>
      <c r="C308" s="1127"/>
      <c r="D308" s="1125"/>
      <c r="E308" s="1125"/>
      <c r="F308" s="1130"/>
      <c r="G308" s="95"/>
      <c r="H308" s="90"/>
      <c r="I308" s="1125"/>
      <c r="J308" s="1134"/>
      <c r="K308" s="1134"/>
      <c r="L308" s="916"/>
    </row>
    <row r="309" spans="1:12" s="103" customFormat="1" ht="15.75" hidden="1" customHeight="1" outlineLevel="1">
      <c r="A309" s="916"/>
      <c r="B309" s="1124"/>
      <c r="C309" s="1128"/>
      <c r="D309" s="1126"/>
      <c r="E309" s="1126"/>
      <c r="F309" s="1132"/>
      <c r="G309" s="100"/>
      <c r="H309" s="98"/>
      <c r="I309" s="1126"/>
      <c r="J309" s="1135"/>
      <c r="K309" s="1135"/>
      <c r="L309" s="916"/>
    </row>
    <row r="310" spans="1:12" s="103" customFormat="1" ht="15.75" hidden="1" customHeight="1" outlineLevel="1">
      <c r="A310" s="916"/>
      <c r="B310" s="1123">
        <v>100</v>
      </c>
      <c r="C310" s="1127"/>
      <c r="D310" s="1125"/>
      <c r="E310" s="1125" t="s">
        <v>18</v>
      </c>
      <c r="F310" s="1130" t="str">
        <f>VLOOKUP(E310,$N$13:$O$17,2,0)</f>
        <v>-</v>
      </c>
      <c r="G310" s="92"/>
      <c r="H310" s="90"/>
      <c r="I310" s="1125"/>
      <c r="J310" s="1133"/>
      <c r="K310" s="1133"/>
      <c r="L310" s="916"/>
    </row>
    <row r="311" spans="1:12" s="103" customFormat="1" ht="15.75" hidden="1" customHeight="1" outlineLevel="1">
      <c r="A311" s="916"/>
      <c r="B311" s="1123"/>
      <c r="C311" s="1127"/>
      <c r="D311" s="1125"/>
      <c r="E311" s="1125"/>
      <c r="F311" s="1130"/>
      <c r="G311" s="95"/>
      <c r="H311" s="90"/>
      <c r="I311" s="1125"/>
      <c r="J311" s="1134"/>
      <c r="K311" s="1134"/>
      <c r="L311" s="916"/>
    </row>
    <row r="312" spans="1:12" s="103" customFormat="1" ht="15.75" hidden="1" customHeight="1" outlineLevel="1">
      <c r="A312" s="916"/>
      <c r="B312" s="1124"/>
      <c r="C312" s="1128"/>
      <c r="D312" s="1126"/>
      <c r="E312" s="1126"/>
      <c r="F312" s="1132"/>
      <c r="G312" s="100"/>
      <c r="H312" s="98"/>
      <c r="I312" s="1126"/>
      <c r="J312" s="1135"/>
      <c r="K312" s="1135"/>
      <c r="L312" s="916"/>
    </row>
    <row r="313" spans="1:12" s="103" customFormat="1" ht="15.75" hidden="1" customHeight="1" outlineLevel="1">
      <c r="A313" s="916"/>
      <c r="B313" s="1123">
        <v>101</v>
      </c>
      <c r="C313" s="1127"/>
      <c r="D313" s="1125"/>
      <c r="E313" s="1125" t="s">
        <v>18</v>
      </c>
      <c r="F313" s="1130" t="str">
        <f>VLOOKUP(E313,$N$13:$O$17,2,0)</f>
        <v>-</v>
      </c>
      <c r="G313" s="92"/>
      <c r="H313" s="90"/>
      <c r="I313" s="1125"/>
      <c r="J313" s="1133"/>
      <c r="K313" s="1133"/>
      <c r="L313" s="916"/>
    </row>
    <row r="314" spans="1:12" s="103" customFormat="1" ht="15.75" hidden="1" customHeight="1" outlineLevel="1">
      <c r="A314" s="916"/>
      <c r="B314" s="1123"/>
      <c r="C314" s="1127"/>
      <c r="D314" s="1125"/>
      <c r="E314" s="1125"/>
      <c r="F314" s="1130"/>
      <c r="G314" s="95"/>
      <c r="H314" s="90"/>
      <c r="I314" s="1125"/>
      <c r="J314" s="1134"/>
      <c r="K314" s="1134"/>
      <c r="L314" s="916"/>
    </row>
    <row r="315" spans="1:12" s="103" customFormat="1" ht="15.75" hidden="1" customHeight="1" outlineLevel="1">
      <c r="A315" s="916"/>
      <c r="B315" s="1124"/>
      <c r="C315" s="1128"/>
      <c r="D315" s="1126"/>
      <c r="E315" s="1126"/>
      <c r="F315" s="1132"/>
      <c r="G315" s="100"/>
      <c r="H315" s="98"/>
      <c r="I315" s="1126"/>
      <c r="J315" s="1135"/>
      <c r="K315" s="1135"/>
      <c r="L315" s="916"/>
    </row>
    <row r="316" spans="1:12" s="103" customFormat="1" ht="15.75" hidden="1" customHeight="1" outlineLevel="1">
      <c r="A316" s="916"/>
      <c r="B316" s="1123">
        <v>102</v>
      </c>
      <c r="C316" s="1127"/>
      <c r="D316" s="1125"/>
      <c r="E316" s="1125" t="s">
        <v>18</v>
      </c>
      <c r="F316" s="1130" t="str">
        <f>VLOOKUP(E316,$N$13:$O$17,2,0)</f>
        <v>-</v>
      </c>
      <c r="G316" s="92"/>
      <c r="H316" s="90"/>
      <c r="I316" s="1125"/>
      <c r="J316" s="1133"/>
      <c r="K316" s="1133"/>
      <c r="L316" s="916"/>
    </row>
    <row r="317" spans="1:12" s="103" customFormat="1" ht="15.75" hidden="1" customHeight="1" outlineLevel="1">
      <c r="A317" s="916"/>
      <c r="B317" s="1123"/>
      <c r="C317" s="1127"/>
      <c r="D317" s="1125"/>
      <c r="E317" s="1125"/>
      <c r="F317" s="1130"/>
      <c r="G317" s="95"/>
      <c r="H317" s="90"/>
      <c r="I317" s="1125"/>
      <c r="J317" s="1134"/>
      <c r="K317" s="1134"/>
      <c r="L317" s="916"/>
    </row>
    <row r="318" spans="1:12" s="103" customFormat="1" ht="15.75" hidden="1" customHeight="1" outlineLevel="1">
      <c r="A318" s="916"/>
      <c r="B318" s="1124"/>
      <c r="C318" s="1128"/>
      <c r="D318" s="1126"/>
      <c r="E318" s="1126"/>
      <c r="F318" s="1132"/>
      <c r="G318" s="100"/>
      <c r="H318" s="98"/>
      <c r="I318" s="1126"/>
      <c r="J318" s="1135"/>
      <c r="K318" s="1135"/>
      <c r="L318" s="916"/>
    </row>
    <row r="319" spans="1:12" s="103" customFormat="1" ht="15.75" hidden="1" customHeight="1" outlineLevel="1">
      <c r="A319" s="916"/>
      <c r="B319" s="1123">
        <v>103</v>
      </c>
      <c r="C319" s="1127"/>
      <c r="D319" s="1125"/>
      <c r="E319" s="1125" t="s">
        <v>18</v>
      </c>
      <c r="F319" s="1130" t="str">
        <f>VLOOKUP(E319,$N$13:$O$17,2,0)</f>
        <v>-</v>
      </c>
      <c r="G319" s="92"/>
      <c r="H319" s="90"/>
      <c r="I319" s="1125"/>
      <c r="J319" s="1133"/>
      <c r="K319" s="1133"/>
      <c r="L319" s="916"/>
    </row>
    <row r="320" spans="1:12" s="103" customFormat="1" ht="15.75" hidden="1" customHeight="1" outlineLevel="1">
      <c r="A320" s="916"/>
      <c r="B320" s="1123"/>
      <c r="C320" s="1127"/>
      <c r="D320" s="1125"/>
      <c r="E320" s="1125"/>
      <c r="F320" s="1130"/>
      <c r="G320" s="95"/>
      <c r="H320" s="90"/>
      <c r="I320" s="1125"/>
      <c r="J320" s="1134"/>
      <c r="K320" s="1134"/>
      <c r="L320" s="916"/>
    </row>
    <row r="321" spans="1:12" s="103" customFormat="1" ht="15.75" hidden="1" customHeight="1" outlineLevel="1">
      <c r="A321" s="916"/>
      <c r="B321" s="1124"/>
      <c r="C321" s="1128"/>
      <c r="D321" s="1126"/>
      <c r="E321" s="1126"/>
      <c r="F321" s="1132"/>
      <c r="G321" s="100"/>
      <c r="H321" s="98"/>
      <c r="I321" s="1126"/>
      <c r="J321" s="1135"/>
      <c r="K321" s="1135"/>
      <c r="L321" s="916"/>
    </row>
    <row r="322" spans="1:12" s="103" customFormat="1" ht="15.75" hidden="1" customHeight="1" outlineLevel="1">
      <c r="A322" s="916"/>
      <c r="B322" s="1123">
        <v>104</v>
      </c>
      <c r="C322" s="1127"/>
      <c r="D322" s="1125"/>
      <c r="E322" s="1125" t="s">
        <v>18</v>
      </c>
      <c r="F322" s="1130" t="str">
        <f>VLOOKUP(E322,$N$13:$O$17,2,0)</f>
        <v>-</v>
      </c>
      <c r="G322" s="92"/>
      <c r="H322" s="90"/>
      <c r="I322" s="1125"/>
      <c r="J322" s="1133"/>
      <c r="K322" s="1133"/>
      <c r="L322" s="916"/>
    </row>
    <row r="323" spans="1:12" s="103" customFormat="1" ht="15.75" hidden="1" customHeight="1" outlineLevel="1">
      <c r="A323" s="916"/>
      <c r="B323" s="1123"/>
      <c r="C323" s="1127"/>
      <c r="D323" s="1125"/>
      <c r="E323" s="1125"/>
      <c r="F323" s="1130"/>
      <c r="G323" s="95"/>
      <c r="H323" s="90"/>
      <c r="I323" s="1125"/>
      <c r="J323" s="1134"/>
      <c r="K323" s="1134"/>
      <c r="L323" s="916"/>
    </row>
    <row r="324" spans="1:12" s="103" customFormat="1" ht="15.75" hidden="1" customHeight="1" outlineLevel="1">
      <c r="A324" s="916"/>
      <c r="B324" s="1124"/>
      <c r="C324" s="1128"/>
      <c r="D324" s="1126"/>
      <c r="E324" s="1126"/>
      <c r="F324" s="1132"/>
      <c r="G324" s="100"/>
      <c r="H324" s="98"/>
      <c r="I324" s="1126"/>
      <c r="J324" s="1135"/>
      <c r="K324" s="1135"/>
      <c r="L324" s="916"/>
    </row>
    <row r="325" spans="1:12" s="103" customFormat="1" ht="15.75" hidden="1" customHeight="1" outlineLevel="1">
      <c r="A325" s="916"/>
      <c r="B325" s="1123">
        <v>105</v>
      </c>
      <c r="C325" s="1127"/>
      <c r="D325" s="1125"/>
      <c r="E325" s="1125" t="s">
        <v>18</v>
      </c>
      <c r="F325" s="1130" t="str">
        <f>VLOOKUP(E325,$N$13:$O$17,2,0)</f>
        <v>-</v>
      </c>
      <c r="G325" s="92"/>
      <c r="H325" s="90"/>
      <c r="I325" s="1125"/>
      <c r="J325" s="1133"/>
      <c r="K325" s="1133"/>
      <c r="L325" s="916"/>
    </row>
    <row r="326" spans="1:12" s="103" customFormat="1" ht="15.75" hidden="1" customHeight="1" outlineLevel="1">
      <c r="A326" s="916"/>
      <c r="B326" s="1123"/>
      <c r="C326" s="1127"/>
      <c r="D326" s="1125"/>
      <c r="E326" s="1125"/>
      <c r="F326" s="1130"/>
      <c r="G326" s="95"/>
      <c r="H326" s="90"/>
      <c r="I326" s="1125"/>
      <c r="J326" s="1134"/>
      <c r="K326" s="1134"/>
      <c r="L326" s="916"/>
    </row>
    <row r="327" spans="1:12" s="103" customFormat="1" ht="15.75" hidden="1" customHeight="1" outlineLevel="1">
      <c r="A327" s="916"/>
      <c r="B327" s="1124"/>
      <c r="C327" s="1128"/>
      <c r="D327" s="1126"/>
      <c r="E327" s="1126"/>
      <c r="F327" s="1132"/>
      <c r="G327" s="100"/>
      <c r="H327" s="98"/>
      <c r="I327" s="1126"/>
      <c r="J327" s="1135"/>
      <c r="K327" s="1135"/>
      <c r="L327" s="916"/>
    </row>
    <row r="328" spans="1:12" s="103" customFormat="1" ht="15.75" hidden="1" customHeight="1" outlineLevel="1">
      <c r="A328" s="916"/>
      <c r="B328" s="1123">
        <v>106</v>
      </c>
      <c r="C328" s="1127"/>
      <c r="D328" s="1125"/>
      <c r="E328" s="1125" t="s">
        <v>18</v>
      </c>
      <c r="F328" s="1130" t="str">
        <f>VLOOKUP(E328,$N$13:$O$17,2,0)</f>
        <v>-</v>
      </c>
      <c r="G328" s="92"/>
      <c r="H328" s="90"/>
      <c r="I328" s="1125"/>
      <c r="J328" s="1133"/>
      <c r="K328" s="1133"/>
      <c r="L328" s="916"/>
    </row>
    <row r="329" spans="1:12" s="103" customFormat="1" ht="15.75" hidden="1" customHeight="1" outlineLevel="1">
      <c r="A329" s="916"/>
      <c r="B329" s="1123"/>
      <c r="C329" s="1127"/>
      <c r="D329" s="1125"/>
      <c r="E329" s="1125"/>
      <c r="F329" s="1130"/>
      <c r="G329" s="95"/>
      <c r="H329" s="90"/>
      <c r="I329" s="1125"/>
      <c r="J329" s="1134"/>
      <c r="K329" s="1134"/>
      <c r="L329" s="916"/>
    </row>
    <row r="330" spans="1:12" s="103" customFormat="1" ht="15.75" hidden="1" customHeight="1" outlineLevel="1">
      <c r="A330" s="916"/>
      <c r="B330" s="1124"/>
      <c r="C330" s="1128"/>
      <c r="D330" s="1126"/>
      <c r="E330" s="1126"/>
      <c r="F330" s="1132"/>
      <c r="G330" s="100"/>
      <c r="H330" s="98"/>
      <c r="I330" s="1126"/>
      <c r="J330" s="1135"/>
      <c r="K330" s="1135"/>
      <c r="L330" s="916"/>
    </row>
    <row r="331" spans="1:12" s="103" customFormat="1" ht="15.75" hidden="1" customHeight="1" outlineLevel="1">
      <c r="A331" s="916"/>
      <c r="B331" s="1123">
        <v>107</v>
      </c>
      <c r="C331" s="1127"/>
      <c r="D331" s="1125"/>
      <c r="E331" s="1125" t="s">
        <v>18</v>
      </c>
      <c r="F331" s="1130" t="str">
        <f>VLOOKUP(E331,$N$13:$O$17,2,0)</f>
        <v>-</v>
      </c>
      <c r="G331" s="92"/>
      <c r="H331" s="90"/>
      <c r="I331" s="1125"/>
      <c r="J331" s="1133"/>
      <c r="K331" s="1133"/>
      <c r="L331" s="916"/>
    </row>
    <row r="332" spans="1:12" s="103" customFormat="1" ht="15.75" hidden="1" customHeight="1" outlineLevel="1">
      <c r="A332" s="916"/>
      <c r="B332" s="1123"/>
      <c r="C332" s="1127"/>
      <c r="D332" s="1125"/>
      <c r="E332" s="1125"/>
      <c r="F332" s="1130"/>
      <c r="G332" s="95"/>
      <c r="H332" s="90"/>
      <c r="I332" s="1125"/>
      <c r="J332" s="1134"/>
      <c r="K332" s="1134"/>
      <c r="L332" s="916"/>
    </row>
    <row r="333" spans="1:12" s="103" customFormat="1" ht="15.75" hidden="1" customHeight="1" outlineLevel="1">
      <c r="A333" s="916"/>
      <c r="B333" s="1124"/>
      <c r="C333" s="1128"/>
      <c r="D333" s="1126"/>
      <c r="E333" s="1126"/>
      <c r="F333" s="1132"/>
      <c r="G333" s="100"/>
      <c r="H333" s="98"/>
      <c r="I333" s="1126"/>
      <c r="J333" s="1135"/>
      <c r="K333" s="1135"/>
      <c r="L333" s="916"/>
    </row>
    <row r="334" spans="1:12" s="103" customFormat="1" ht="15.75" hidden="1" customHeight="1" outlineLevel="1">
      <c r="A334" s="916"/>
      <c r="B334" s="1123">
        <v>108</v>
      </c>
      <c r="C334" s="1127"/>
      <c r="D334" s="1125"/>
      <c r="E334" s="1125" t="s">
        <v>18</v>
      </c>
      <c r="F334" s="1130" t="str">
        <f>VLOOKUP(E334,$N$13:$O$17,2,0)</f>
        <v>-</v>
      </c>
      <c r="G334" s="92"/>
      <c r="H334" s="90"/>
      <c r="I334" s="1125"/>
      <c r="J334" s="1133"/>
      <c r="K334" s="1133"/>
      <c r="L334" s="916"/>
    </row>
    <row r="335" spans="1:12" s="103" customFormat="1" ht="15.75" hidden="1" customHeight="1" outlineLevel="1">
      <c r="A335" s="916"/>
      <c r="B335" s="1123"/>
      <c r="C335" s="1127"/>
      <c r="D335" s="1125"/>
      <c r="E335" s="1125"/>
      <c r="F335" s="1130"/>
      <c r="G335" s="95"/>
      <c r="H335" s="90"/>
      <c r="I335" s="1125"/>
      <c r="J335" s="1134"/>
      <c r="K335" s="1134"/>
      <c r="L335" s="916"/>
    </row>
    <row r="336" spans="1:12" s="103" customFormat="1" ht="15.75" hidden="1" customHeight="1" outlineLevel="1">
      <c r="A336" s="916"/>
      <c r="B336" s="1124"/>
      <c r="C336" s="1128"/>
      <c r="D336" s="1126"/>
      <c r="E336" s="1126"/>
      <c r="F336" s="1132"/>
      <c r="G336" s="100"/>
      <c r="H336" s="98"/>
      <c r="I336" s="1126"/>
      <c r="J336" s="1135"/>
      <c r="K336" s="1135"/>
      <c r="L336" s="916"/>
    </row>
    <row r="337" spans="1:12" s="103" customFormat="1" ht="15.75" hidden="1" customHeight="1" outlineLevel="1">
      <c r="A337" s="916"/>
      <c r="B337" s="1123">
        <v>109</v>
      </c>
      <c r="C337" s="1127"/>
      <c r="D337" s="1125"/>
      <c r="E337" s="1125" t="s">
        <v>18</v>
      </c>
      <c r="F337" s="1130" t="str">
        <f>VLOOKUP(E337,$N$13:$O$17,2,0)</f>
        <v>-</v>
      </c>
      <c r="G337" s="92"/>
      <c r="H337" s="90"/>
      <c r="I337" s="1125"/>
      <c r="J337" s="1133"/>
      <c r="K337" s="1133"/>
      <c r="L337" s="916"/>
    </row>
    <row r="338" spans="1:12" s="103" customFormat="1" ht="15.75" hidden="1" customHeight="1" outlineLevel="1">
      <c r="A338" s="916"/>
      <c r="B338" s="1123"/>
      <c r="C338" s="1127"/>
      <c r="D338" s="1125"/>
      <c r="E338" s="1125"/>
      <c r="F338" s="1130"/>
      <c r="G338" s="95"/>
      <c r="H338" s="90"/>
      <c r="I338" s="1125"/>
      <c r="J338" s="1134"/>
      <c r="K338" s="1134"/>
      <c r="L338" s="916"/>
    </row>
    <row r="339" spans="1:12" s="103" customFormat="1" ht="15.75" hidden="1" customHeight="1" outlineLevel="1">
      <c r="A339" s="916"/>
      <c r="B339" s="1124"/>
      <c r="C339" s="1128"/>
      <c r="D339" s="1126"/>
      <c r="E339" s="1126"/>
      <c r="F339" s="1132"/>
      <c r="G339" s="100"/>
      <c r="H339" s="98"/>
      <c r="I339" s="1126"/>
      <c r="J339" s="1135"/>
      <c r="K339" s="1135"/>
      <c r="L339" s="916"/>
    </row>
    <row r="340" spans="1:12" s="103" customFormat="1" ht="15.75" hidden="1" customHeight="1" outlineLevel="1">
      <c r="A340" s="916"/>
      <c r="B340" s="1123">
        <v>110</v>
      </c>
      <c r="C340" s="1127"/>
      <c r="D340" s="1125"/>
      <c r="E340" s="1125" t="s">
        <v>18</v>
      </c>
      <c r="F340" s="1130" t="str">
        <f>VLOOKUP(E340,$N$13:$O$17,2,0)</f>
        <v>-</v>
      </c>
      <c r="G340" s="92"/>
      <c r="H340" s="90"/>
      <c r="I340" s="1125"/>
      <c r="J340" s="1133"/>
      <c r="K340" s="1133"/>
      <c r="L340" s="916"/>
    </row>
    <row r="341" spans="1:12" s="103" customFormat="1" ht="15.75" hidden="1" customHeight="1" outlineLevel="1">
      <c r="A341" s="916"/>
      <c r="B341" s="1123"/>
      <c r="C341" s="1127"/>
      <c r="D341" s="1125"/>
      <c r="E341" s="1125"/>
      <c r="F341" s="1130"/>
      <c r="G341" s="95"/>
      <c r="H341" s="90"/>
      <c r="I341" s="1125"/>
      <c r="J341" s="1134"/>
      <c r="K341" s="1134"/>
      <c r="L341" s="916"/>
    </row>
    <row r="342" spans="1:12" s="103" customFormat="1" ht="15.75" hidden="1" customHeight="1" outlineLevel="1">
      <c r="A342" s="916"/>
      <c r="B342" s="1124"/>
      <c r="C342" s="1128"/>
      <c r="D342" s="1126"/>
      <c r="E342" s="1126"/>
      <c r="F342" s="1132"/>
      <c r="G342" s="100"/>
      <c r="H342" s="98"/>
      <c r="I342" s="1126"/>
      <c r="J342" s="1135"/>
      <c r="K342" s="1135"/>
      <c r="L342" s="916"/>
    </row>
    <row r="343" spans="1:12" s="103" customFormat="1" ht="15.75" hidden="1" customHeight="1" outlineLevel="1">
      <c r="A343" s="916"/>
      <c r="B343" s="1123">
        <v>111</v>
      </c>
      <c r="C343" s="1127"/>
      <c r="D343" s="1125"/>
      <c r="E343" s="1125" t="s">
        <v>18</v>
      </c>
      <c r="F343" s="1130" t="str">
        <f>VLOOKUP(E343,$N$13:$O$17,2,0)</f>
        <v>-</v>
      </c>
      <c r="G343" s="92"/>
      <c r="H343" s="90"/>
      <c r="I343" s="1125"/>
      <c r="J343" s="1133"/>
      <c r="K343" s="1133"/>
      <c r="L343" s="916"/>
    </row>
    <row r="344" spans="1:12" s="103" customFormat="1" ht="15.75" hidden="1" customHeight="1" outlineLevel="1">
      <c r="A344" s="916"/>
      <c r="B344" s="1123"/>
      <c r="C344" s="1127"/>
      <c r="D344" s="1125"/>
      <c r="E344" s="1125"/>
      <c r="F344" s="1130"/>
      <c r="G344" s="95"/>
      <c r="H344" s="90"/>
      <c r="I344" s="1125"/>
      <c r="J344" s="1134"/>
      <c r="K344" s="1134"/>
      <c r="L344" s="916"/>
    </row>
    <row r="345" spans="1:12" s="103" customFormat="1" ht="15.75" hidden="1" customHeight="1" outlineLevel="1">
      <c r="A345" s="916"/>
      <c r="B345" s="1124"/>
      <c r="C345" s="1128"/>
      <c r="D345" s="1126"/>
      <c r="E345" s="1126"/>
      <c r="F345" s="1132"/>
      <c r="G345" s="100"/>
      <c r="H345" s="98"/>
      <c r="I345" s="1126"/>
      <c r="J345" s="1135"/>
      <c r="K345" s="1135"/>
      <c r="L345" s="916"/>
    </row>
    <row r="346" spans="1:12" s="103" customFormat="1" ht="15.75" hidden="1" customHeight="1" outlineLevel="1">
      <c r="A346" s="916"/>
      <c r="B346" s="1123">
        <v>112</v>
      </c>
      <c r="C346" s="1127"/>
      <c r="D346" s="1125"/>
      <c r="E346" s="1125" t="s">
        <v>18</v>
      </c>
      <c r="F346" s="1130" t="str">
        <f>VLOOKUP(E346,$N$13:$O$17,2,0)</f>
        <v>-</v>
      </c>
      <c r="G346" s="92"/>
      <c r="H346" s="90"/>
      <c r="I346" s="1125"/>
      <c r="J346" s="1133"/>
      <c r="K346" s="1133"/>
      <c r="L346" s="916"/>
    </row>
    <row r="347" spans="1:12" s="103" customFormat="1" ht="15.75" hidden="1" customHeight="1" outlineLevel="1">
      <c r="A347" s="916"/>
      <c r="B347" s="1123"/>
      <c r="C347" s="1127"/>
      <c r="D347" s="1125"/>
      <c r="E347" s="1125"/>
      <c r="F347" s="1130"/>
      <c r="G347" s="95"/>
      <c r="H347" s="90"/>
      <c r="I347" s="1125"/>
      <c r="J347" s="1134"/>
      <c r="K347" s="1134"/>
      <c r="L347" s="916"/>
    </row>
    <row r="348" spans="1:12" s="103" customFormat="1" ht="15.75" hidden="1" customHeight="1" outlineLevel="1">
      <c r="A348" s="916"/>
      <c r="B348" s="1124"/>
      <c r="C348" s="1128"/>
      <c r="D348" s="1126"/>
      <c r="E348" s="1126"/>
      <c r="F348" s="1132"/>
      <c r="G348" s="100"/>
      <c r="H348" s="98"/>
      <c r="I348" s="1126"/>
      <c r="J348" s="1135"/>
      <c r="K348" s="1135"/>
      <c r="L348" s="916"/>
    </row>
    <row r="349" spans="1:12" s="103" customFormat="1" ht="15.75" hidden="1" customHeight="1" outlineLevel="1">
      <c r="A349" s="916"/>
      <c r="B349" s="1123">
        <v>113</v>
      </c>
      <c r="C349" s="1127"/>
      <c r="D349" s="1125"/>
      <c r="E349" s="1125" t="s">
        <v>18</v>
      </c>
      <c r="F349" s="1130" t="str">
        <f>VLOOKUP(E349,$N$13:$O$17,2,0)</f>
        <v>-</v>
      </c>
      <c r="G349" s="92"/>
      <c r="H349" s="90"/>
      <c r="I349" s="1125"/>
      <c r="J349" s="1133"/>
      <c r="K349" s="1133"/>
      <c r="L349" s="916"/>
    </row>
    <row r="350" spans="1:12" s="103" customFormat="1" ht="15.75" hidden="1" customHeight="1" outlineLevel="1">
      <c r="A350" s="916"/>
      <c r="B350" s="1123"/>
      <c r="C350" s="1127"/>
      <c r="D350" s="1125"/>
      <c r="E350" s="1125"/>
      <c r="F350" s="1130"/>
      <c r="G350" s="95"/>
      <c r="H350" s="90"/>
      <c r="I350" s="1125"/>
      <c r="J350" s="1134"/>
      <c r="K350" s="1134"/>
      <c r="L350" s="916"/>
    </row>
    <row r="351" spans="1:12" s="103" customFormat="1" ht="15.75" hidden="1" customHeight="1" outlineLevel="1">
      <c r="A351" s="916"/>
      <c r="B351" s="1124"/>
      <c r="C351" s="1128"/>
      <c r="D351" s="1126"/>
      <c r="E351" s="1126"/>
      <c r="F351" s="1132"/>
      <c r="G351" s="100"/>
      <c r="H351" s="98"/>
      <c r="I351" s="1126"/>
      <c r="J351" s="1135"/>
      <c r="K351" s="1135"/>
      <c r="L351" s="916"/>
    </row>
    <row r="352" spans="1:12" s="103" customFormat="1" ht="15.75" hidden="1" customHeight="1" outlineLevel="1">
      <c r="A352" s="916"/>
      <c r="B352" s="1123">
        <v>114</v>
      </c>
      <c r="C352" s="1127"/>
      <c r="D352" s="1125"/>
      <c r="E352" s="1125" t="s">
        <v>18</v>
      </c>
      <c r="F352" s="1130" t="str">
        <f>VLOOKUP(E352,$N$13:$O$17,2,0)</f>
        <v>-</v>
      </c>
      <c r="G352" s="92"/>
      <c r="H352" s="90"/>
      <c r="I352" s="1125"/>
      <c r="J352" s="1133"/>
      <c r="K352" s="1133"/>
      <c r="L352" s="916"/>
    </row>
    <row r="353" spans="1:12" s="103" customFormat="1" ht="15.75" hidden="1" customHeight="1" outlineLevel="1">
      <c r="A353" s="916"/>
      <c r="B353" s="1123"/>
      <c r="C353" s="1127"/>
      <c r="D353" s="1125"/>
      <c r="E353" s="1125"/>
      <c r="F353" s="1130"/>
      <c r="G353" s="95"/>
      <c r="H353" s="90"/>
      <c r="I353" s="1125"/>
      <c r="J353" s="1134"/>
      <c r="K353" s="1134"/>
      <c r="L353" s="916"/>
    </row>
    <row r="354" spans="1:12" s="103" customFormat="1" ht="15.75" hidden="1" customHeight="1" outlineLevel="1">
      <c r="A354" s="916"/>
      <c r="B354" s="1124"/>
      <c r="C354" s="1128"/>
      <c r="D354" s="1126"/>
      <c r="E354" s="1126"/>
      <c r="F354" s="1132"/>
      <c r="G354" s="100"/>
      <c r="H354" s="98"/>
      <c r="I354" s="1126"/>
      <c r="J354" s="1135"/>
      <c r="K354" s="1135"/>
      <c r="L354" s="916"/>
    </row>
    <row r="355" spans="1:12" s="103" customFormat="1" ht="15.75" hidden="1" customHeight="1" outlineLevel="1">
      <c r="A355" s="916"/>
      <c r="B355" s="1123">
        <v>115</v>
      </c>
      <c r="C355" s="1127"/>
      <c r="D355" s="1125"/>
      <c r="E355" s="1125" t="s">
        <v>18</v>
      </c>
      <c r="F355" s="1130" t="str">
        <f>VLOOKUP(E355,$N$13:$O$17,2,0)</f>
        <v>-</v>
      </c>
      <c r="G355" s="92"/>
      <c r="H355" s="90"/>
      <c r="I355" s="1125"/>
      <c r="J355" s="1133"/>
      <c r="K355" s="1133"/>
      <c r="L355" s="916"/>
    </row>
    <row r="356" spans="1:12" s="103" customFormat="1" ht="15.75" hidden="1" customHeight="1" outlineLevel="1">
      <c r="A356" s="916"/>
      <c r="B356" s="1123"/>
      <c r="C356" s="1127"/>
      <c r="D356" s="1125"/>
      <c r="E356" s="1125"/>
      <c r="F356" s="1130"/>
      <c r="G356" s="95"/>
      <c r="H356" s="90"/>
      <c r="I356" s="1125"/>
      <c r="J356" s="1134"/>
      <c r="K356" s="1134"/>
      <c r="L356" s="916"/>
    </row>
    <row r="357" spans="1:12" s="103" customFormat="1" ht="15.75" hidden="1" customHeight="1" outlineLevel="1">
      <c r="A357" s="916"/>
      <c r="B357" s="1124"/>
      <c r="C357" s="1128"/>
      <c r="D357" s="1126"/>
      <c r="E357" s="1126"/>
      <c r="F357" s="1132"/>
      <c r="G357" s="100"/>
      <c r="H357" s="98"/>
      <c r="I357" s="1126"/>
      <c r="J357" s="1135"/>
      <c r="K357" s="1135"/>
      <c r="L357" s="916"/>
    </row>
    <row r="358" spans="1:12" s="103" customFormat="1" ht="15.75" hidden="1" customHeight="1" outlineLevel="1">
      <c r="A358" s="916"/>
      <c r="B358" s="1123">
        <v>116</v>
      </c>
      <c r="C358" s="1127"/>
      <c r="D358" s="1125"/>
      <c r="E358" s="1125" t="s">
        <v>18</v>
      </c>
      <c r="F358" s="1130" t="str">
        <f>VLOOKUP(E358,$N$13:$O$17,2,0)</f>
        <v>-</v>
      </c>
      <c r="G358" s="92"/>
      <c r="H358" s="90"/>
      <c r="I358" s="1125"/>
      <c r="J358" s="1133"/>
      <c r="K358" s="1133"/>
      <c r="L358" s="916"/>
    </row>
    <row r="359" spans="1:12" s="103" customFormat="1" ht="15.75" hidden="1" customHeight="1" outlineLevel="1">
      <c r="A359" s="916"/>
      <c r="B359" s="1123"/>
      <c r="C359" s="1127"/>
      <c r="D359" s="1125"/>
      <c r="E359" s="1125"/>
      <c r="F359" s="1130"/>
      <c r="G359" s="95"/>
      <c r="H359" s="90"/>
      <c r="I359" s="1125"/>
      <c r="J359" s="1134"/>
      <c r="K359" s="1134"/>
      <c r="L359" s="916"/>
    </row>
    <row r="360" spans="1:12" s="103" customFormat="1" ht="15.75" hidden="1" customHeight="1" outlineLevel="1">
      <c r="A360" s="916"/>
      <c r="B360" s="1124"/>
      <c r="C360" s="1128"/>
      <c r="D360" s="1126"/>
      <c r="E360" s="1126"/>
      <c r="F360" s="1132"/>
      <c r="G360" s="100"/>
      <c r="H360" s="98"/>
      <c r="I360" s="1126"/>
      <c r="J360" s="1135"/>
      <c r="K360" s="1135"/>
      <c r="L360" s="916"/>
    </row>
    <row r="361" spans="1:12" s="103" customFormat="1" ht="15.75" hidden="1" customHeight="1" outlineLevel="1">
      <c r="A361" s="916"/>
      <c r="B361" s="1123">
        <v>117</v>
      </c>
      <c r="C361" s="1127"/>
      <c r="D361" s="1125"/>
      <c r="E361" s="1125" t="s">
        <v>18</v>
      </c>
      <c r="F361" s="1130" t="str">
        <f>VLOOKUP(E361,$N$13:$O$17,2,0)</f>
        <v>-</v>
      </c>
      <c r="G361" s="92"/>
      <c r="H361" s="90"/>
      <c r="I361" s="1125"/>
      <c r="J361" s="1133"/>
      <c r="K361" s="1133"/>
      <c r="L361" s="916"/>
    </row>
    <row r="362" spans="1:12" s="103" customFormat="1" ht="15.75" hidden="1" customHeight="1" outlineLevel="1">
      <c r="A362" s="916"/>
      <c r="B362" s="1123"/>
      <c r="C362" s="1127"/>
      <c r="D362" s="1125"/>
      <c r="E362" s="1125"/>
      <c r="F362" s="1130"/>
      <c r="G362" s="95"/>
      <c r="H362" s="90"/>
      <c r="I362" s="1125"/>
      <c r="J362" s="1134"/>
      <c r="K362" s="1134"/>
      <c r="L362" s="916"/>
    </row>
    <row r="363" spans="1:12" s="103" customFormat="1" ht="15.75" hidden="1" customHeight="1" outlineLevel="1">
      <c r="A363" s="916"/>
      <c r="B363" s="1124"/>
      <c r="C363" s="1128"/>
      <c r="D363" s="1126"/>
      <c r="E363" s="1126"/>
      <c r="F363" s="1132"/>
      <c r="G363" s="100"/>
      <c r="H363" s="98"/>
      <c r="I363" s="1126"/>
      <c r="J363" s="1135"/>
      <c r="K363" s="1135"/>
      <c r="L363" s="916"/>
    </row>
    <row r="364" spans="1:12" s="103" customFormat="1" ht="15.75" hidden="1" customHeight="1" outlineLevel="1">
      <c r="A364" s="916"/>
      <c r="B364" s="1123">
        <v>118</v>
      </c>
      <c r="C364" s="1127"/>
      <c r="D364" s="1125"/>
      <c r="E364" s="1125" t="s">
        <v>18</v>
      </c>
      <c r="F364" s="1130" t="str">
        <f>VLOOKUP(E364,$N$13:$O$17,2,0)</f>
        <v>-</v>
      </c>
      <c r="G364" s="92"/>
      <c r="H364" s="90"/>
      <c r="I364" s="1125"/>
      <c r="J364" s="1133"/>
      <c r="K364" s="1133"/>
      <c r="L364" s="916"/>
    </row>
    <row r="365" spans="1:12" s="103" customFormat="1" ht="15.75" hidden="1" customHeight="1" outlineLevel="1">
      <c r="A365" s="916"/>
      <c r="B365" s="1123"/>
      <c r="C365" s="1127"/>
      <c r="D365" s="1125"/>
      <c r="E365" s="1125"/>
      <c r="F365" s="1130"/>
      <c r="G365" s="95"/>
      <c r="H365" s="90"/>
      <c r="I365" s="1125"/>
      <c r="J365" s="1134"/>
      <c r="K365" s="1134"/>
      <c r="L365" s="916"/>
    </row>
    <row r="366" spans="1:12" s="103" customFormat="1" ht="15.75" hidden="1" customHeight="1" outlineLevel="1">
      <c r="A366" s="916"/>
      <c r="B366" s="1124"/>
      <c r="C366" s="1128"/>
      <c r="D366" s="1126"/>
      <c r="E366" s="1126"/>
      <c r="F366" s="1132"/>
      <c r="G366" s="100"/>
      <c r="H366" s="98"/>
      <c r="I366" s="1126"/>
      <c r="J366" s="1135"/>
      <c r="K366" s="1135"/>
      <c r="L366" s="916"/>
    </row>
    <row r="367" spans="1:12" s="103" customFormat="1" ht="15.75" hidden="1" customHeight="1" outlineLevel="1">
      <c r="A367" s="916"/>
      <c r="B367" s="1123">
        <v>119</v>
      </c>
      <c r="C367" s="1127"/>
      <c r="D367" s="1125"/>
      <c r="E367" s="1125" t="s">
        <v>18</v>
      </c>
      <c r="F367" s="1130" t="str">
        <f>VLOOKUP(E367,$N$13:$O$17,2,0)</f>
        <v>-</v>
      </c>
      <c r="G367" s="92"/>
      <c r="H367" s="90"/>
      <c r="I367" s="1125"/>
      <c r="J367" s="1133"/>
      <c r="K367" s="1133"/>
      <c r="L367" s="916"/>
    </row>
    <row r="368" spans="1:12" s="103" customFormat="1" ht="15.75" hidden="1" customHeight="1" outlineLevel="1">
      <c r="A368" s="916"/>
      <c r="B368" s="1123"/>
      <c r="C368" s="1127"/>
      <c r="D368" s="1125"/>
      <c r="E368" s="1125"/>
      <c r="F368" s="1130"/>
      <c r="G368" s="95"/>
      <c r="H368" s="90"/>
      <c r="I368" s="1125"/>
      <c r="J368" s="1134"/>
      <c r="K368" s="1134"/>
      <c r="L368" s="916"/>
    </row>
    <row r="369" spans="1:12" s="103" customFormat="1" ht="15.75" hidden="1" customHeight="1" outlineLevel="1">
      <c r="A369" s="916"/>
      <c r="B369" s="1124"/>
      <c r="C369" s="1128"/>
      <c r="D369" s="1126"/>
      <c r="E369" s="1126"/>
      <c r="F369" s="1132"/>
      <c r="G369" s="100"/>
      <c r="H369" s="98"/>
      <c r="I369" s="1126"/>
      <c r="J369" s="1135"/>
      <c r="K369" s="1135"/>
      <c r="L369" s="916"/>
    </row>
    <row r="370" spans="1:12" s="103" customFormat="1" ht="15.75" hidden="1" customHeight="1" outlineLevel="1">
      <c r="A370" s="916"/>
      <c r="B370" s="1123">
        <v>120</v>
      </c>
      <c r="C370" s="1127"/>
      <c r="D370" s="1125"/>
      <c r="E370" s="1125" t="s">
        <v>18</v>
      </c>
      <c r="F370" s="1130" t="str">
        <f>VLOOKUP(E370,$N$13:$O$17,2,0)</f>
        <v>-</v>
      </c>
      <c r="G370" s="92"/>
      <c r="H370" s="90"/>
      <c r="I370" s="1125"/>
      <c r="J370" s="1133"/>
      <c r="K370" s="1133"/>
      <c r="L370" s="916"/>
    </row>
    <row r="371" spans="1:12" s="103" customFormat="1" ht="15.75" hidden="1" customHeight="1" outlineLevel="1">
      <c r="A371" s="916"/>
      <c r="B371" s="1123"/>
      <c r="C371" s="1127"/>
      <c r="D371" s="1125"/>
      <c r="E371" s="1125"/>
      <c r="F371" s="1130"/>
      <c r="G371" s="95"/>
      <c r="H371" s="90"/>
      <c r="I371" s="1125"/>
      <c r="J371" s="1134"/>
      <c r="K371" s="1134"/>
      <c r="L371" s="916"/>
    </row>
    <row r="372" spans="1:12" s="103" customFormat="1" ht="15.75" hidden="1" customHeight="1" outlineLevel="1">
      <c r="A372" s="916"/>
      <c r="B372" s="1124"/>
      <c r="C372" s="1128"/>
      <c r="D372" s="1126"/>
      <c r="E372" s="1126"/>
      <c r="F372" s="1132"/>
      <c r="G372" s="100"/>
      <c r="H372" s="98"/>
      <c r="I372" s="1126"/>
      <c r="J372" s="1135"/>
      <c r="K372" s="1135"/>
      <c r="L372" s="916"/>
    </row>
    <row r="373" spans="1:12" s="103" customFormat="1" ht="15.75" hidden="1" customHeight="1" outlineLevel="1">
      <c r="A373" s="916"/>
      <c r="B373" s="1123">
        <v>121</v>
      </c>
      <c r="C373" s="1127"/>
      <c r="D373" s="1125"/>
      <c r="E373" s="1125" t="s">
        <v>18</v>
      </c>
      <c r="F373" s="1130" t="str">
        <f>VLOOKUP(E373,$N$13:$O$17,2,0)</f>
        <v>-</v>
      </c>
      <c r="G373" s="92"/>
      <c r="H373" s="90"/>
      <c r="I373" s="1125"/>
      <c r="J373" s="1133"/>
      <c r="K373" s="1133"/>
      <c r="L373" s="916"/>
    </row>
    <row r="374" spans="1:12" s="103" customFormat="1" ht="15.75" hidden="1" customHeight="1" outlineLevel="1">
      <c r="A374" s="916"/>
      <c r="B374" s="1123"/>
      <c r="C374" s="1127"/>
      <c r="D374" s="1125"/>
      <c r="E374" s="1125"/>
      <c r="F374" s="1130"/>
      <c r="G374" s="95"/>
      <c r="H374" s="90"/>
      <c r="I374" s="1125"/>
      <c r="J374" s="1134"/>
      <c r="K374" s="1134"/>
      <c r="L374" s="916"/>
    </row>
    <row r="375" spans="1:12" s="103" customFormat="1" ht="15.75" hidden="1" customHeight="1" outlineLevel="1">
      <c r="A375" s="916"/>
      <c r="B375" s="1124"/>
      <c r="C375" s="1128"/>
      <c r="D375" s="1126"/>
      <c r="E375" s="1126"/>
      <c r="F375" s="1132"/>
      <c r="G375" s="100"/>
      <c r="H375" s="98"/>
      <c r="I375" s="1126"/>
      <c r="J375" s="1135"/>
      <c r="K375" s="1135"/>
      <c r="L375" s="916"/>
    </row>
    <row r="376" spans="1:12" s="103" customFormat="1" ht="15.75" hidden="1" customHeight="1" outlineLevel="1">
      <c r="A376" s="916"/>
      <c r="B376" s="1123">
        <v>122</v>
      </c>
      <c r="C376" s="1127"/>
      <c r="D376" s="1125"/>
      <c r="E376" s="1125" t="s">
        <v>18</v>
      </c>
      <c r="F376" s="1130" t="str">
        <f>VLOOKUP(E376,$N$13:$O$17,2,0)</f>
        <v>-</v>
      </c>
      <c r="G376" s="92"/>
      <c r="H376" s="90"/>
      <c r="I376" s="1125"/>
      <c r="J376" s="1133"/>
      <c r="K376" s="1133"/>
      <c r="L376" s="916"/>
    </row>
    <row r="377" spans="1:12" s="103" customFormat="1" ht="15.75" hidden="1" customHeight="1" outlineLevel="1">
      <c r="A377" s="916"/>
      <c r="B377" s="1123"/>
      <c r="C377" s="1127"/>
      <c r="D377" s="1125"/>
      <c r="E377" s="1125"/>
      <c r="F377" s="1130"/>
      <c r="G377" s="95"/>
      <c r="H377" s="90"/>
      <c r="I377" s="1125"/>
      <c r="J377" s="1134"/>
      <c r="K377" s="1134"/>
      <c r="L377" s="916"/>
    </row>
    <row r="378" spans="1:12" s="103" customFormat="1" ht="15.75" hidden="1" customHeight="1" outlineLevel="1">
      <c r="A378" s="916"/>
      <c r="B378" s="1124"/>
      <c r="C378" s="1128"/>
      <c r="D378" s="1126"/>
      <c r="E378" s="1126"/>
      <c r="F378" s="1132"/>
      <c r="G378" s="100"/>
      <c r="H378" s="98"/>
      <c r="I378" s="1126"/>
      <c r="J378" s="1135"/>
      <c r="K378" s="1135"/>
      <c r="L378" s="916"/>
    </row>
    <row r="379" spans="1:12" s="103" customFormat="1" ht="15.75" hidden="1" customHeight="1" outlineLevel="1">
      <c r="A379" s="916"/>
      <c r="B379" s="1123">
        <v>123</v>
      </c>
      <c r="C379" s="1127"/>
      <c r="D379" s="1125"/>
      <c r="E379" s="1125" t="s">
        <v>18</v>
      </c>
      <c r="F379" s="1130" t="str">
        <f>VLOOKUP(E379,$N$13:$O$17,2,0)</f>
        <v>-</v>
      </c>
      <c r="G379" s="92"/>
      <c r="H379" s="90"/>
      <c r="I379" s="1125"/>
      <c r="J379" s="1133"/>
      <c r="K379" s="1133"/>
      <c r="L379" s="916"/>
    </row>
    <row r="380" spans="1:12" s="103" customFormat="1" ht="15.75" hidden="1" customHeight="1" outlineLevel="1">
      <c r="A380" s="916"/>
      <c r="B380" s="1123"/>
      <c r="C380" s="1127"/>
      <c r="D380" s="1125"/>
      <c r="E380" s="1125"/>
      <c r="F380" s="1130"/>
      <c r="G380" s="95"/>
      <c r="H380" s="90"/>
      <c r="I380" s="1125"/>
      <c r="J380" s="1134"/>
      <c r="K380" s="1134"/>
      <c r="L380" s="916"/>
    </row>
    <row r="381" spans="1:12" s="103" customFormat="1" ht="15.75" hidden="1" customHeight="1" outlineLevel="1">
      <c r="A381" s="916"/>
      <c r="B381" s="1124"/>
      <c r="C381" s="1128"/>
      <c r="D381" s="1126"/>
      <c r="E381" s="1126"/>
      <c r="F381" s="1132"/>
      <c r="G381" s="100"/>
      <c r="H381" s="98"/>
      <c r="I381" s="1126"/>
      <c r="J381" s="1135"/>
      <c r="K381" s="1135"/>
      <c r="L381" s="916"/>
    </row>
    <row r="382" spans="1:12" s="103" customFormat="1" ht="15.75" hidden="1" customHeight="1" outlineLevel="1">
      <c r="A382" s="916"/>
      <c r="B382" s="1123">
        <v>124</v>
      </c>
      <c r="C382" s="1127"/>
      <c r="D382" s="1125"/>
      <c r="E382" s="1125" t="s">
        <v>18</v>
      </c>
      <c r="F382" s="1130" t="str">
        <f>VLOOKUP(E382,$N$13:$O$17,2,0)</f>
        <v>-</v>
      </c>
      <c r="G382" s="92"/>
      <c r="H382" s="90"/>
      <c r="I382" s="1125"/>
      <c r="J382" s="1133"/>
      <c r="K382" s="1133"/>
      <c r="L382" s="916"/>
    </row>
    <row r="383" spans="1:12" s="103" customFormat="1" ht="15.75" hidden="1" customHeight="1" outlineLevel="1">
      <c r="A383" s="916"/>
      <c r="B383" s="1123"/>
      <c r="C383" s="1127"/>
      <c r="D383" s="1125"/>
      <c r="E383" s="1125"/>
      <c r="F383" s="1130"/>
      <c r="G383" s="95"/>
      <c r="H383" s="90"/>
      <c r="I383" s="1125"/>
      <c r="J383" s="1134"/>
      <c r="K383" s="1134"/>
      <c r="L383" s="916"/>
    </row>
    <row r="384" spans="1:12" s="103" customFormat="1" ht="15.75" hidden="1" customHeight="1" outlineLevel="1">
      <c r="A384" s="916"/>
      <c r="B384" s="1124"/>
      <c r="C384" s="1128"/>
      <c r="D384" s="1126"/>
      <c r="E384" s="1126"/>
      <c r="F384" s="1132"/>
      <c r="G384" s="100"/>
      <c r="H384" s="98"/>
      <c r="I384" s="1126"/>
      <c r="J384" s="1135"/>
      <c r="K384" s="1135"/>
      <c r="L384" s="916"/>
    </row>
    <row r="385" spans="1:12" s="103" customFormat="1" ht="15.75" hidden="1" customHeight="1" outlineLevel="1">
      <c r="A385" s="916"/>
      <c r="B385" s="1123">
        <v>125</v>
      </c>
      <c r="C385" s="1127"/>
      <c r="D385" s="1125"/>
      <c r="E385" s="1125" t="s">
        <v>18</v>
      </c>
      <c r="F385" s="1130" t="str">
        <f>VLOOKUP(E385,$N$13:$O$17,2,0)</f>
        <v>-</v>
      </c>
      <c r="G385" s="92"/>
      <c r="H385" s="90"/>
      <c r="I385" s="1125"/>
      <c r="J385" s="1133"/>
      <c r="K385" s="1133"/>
      <c r="L385" s="916"/>
    </row>
    <row r="386" spans="1:12" s="103" customFormat="1" ht="15.75" hidden="1" customHeight="1" outlineLevel="1">
      <c r="A386" s="916"/>
      <c r="B386" s="1123"/>
      <c r="C386" s="1127"/>
      <c r="D386" s="1125"/>
      <c r="E386" s="1125"/>
      <c r="F386" s="1130"/>
      <c r="G386" s="95"/>
      <c r="H386" s="90"/>
      <c r="I386" s="1125"/>
      <c r="J386" s="1134"/>
      <c r="K386" s="1134"/>
      <c r="L386" s="916"/>
    </row>
    <row r="387" spans="1:12" s="103" customFormat="1" ht="15.75" hidden="1" customHeight="1" outlineLevel="1">
      <c r="A387" s="916"/>
      <c r="B387" s="1124"/>
      <c r="C387" s="1128"/>
      <c r="D387" s="1126"/>
      <c r="E387" s="1126"/>
      <c r="F387" s="1132"/>
      <c r="G387" s="100"/>
      <c r="H387" s="98"/>
      <c r="I387" s="1126"/>
      <c r="J387" s="1135"/>
      <c r="K387" s="1135"/>
      <c r="L387" s="916"/>
    </row>
    <row r="388" spans="1:12" s="103" customFormat="1" ht="15.75" hidden="1" customHeight="1" outlineLevel="1">
      <c r="A388" s="916"/>
      <c r="B388" s="1123">
        <v>126</v>
      </c>
      <c r="C388" s="1127"/>
      <c r="D388" s="1125"/>
      <c r="E388" s="1125" t="s">
        <v>18</v>
      </c>
      <c r="F388" s="1130" t="str">
        <f>VLOOKUP(E388,$N$13:$O$17,2,0)</f>
        <v>-</v>
      </c>
      <c r="G388" s="92"/>
      <c r="H388" s="90"/>
      <c r="I388" s="1125"/>
      <c r="J388" s="1133"/>
      <c r="K388" s="1133"/>
      <c r="L388" s="916"/>
    </row>
    <row r="389" spans="1:12" s="103" customFormat="1" ht="15.75" hidden="1" customHeight="1" outlineLevel="1">
      <c r="A389" s="916"/>
      <c r="B389" s="1123"/>
      <c r="C389" s="1127"/>
      <c r="D389" s="1125"/>
      <c r="E389" s="1125"/>
      <c r="F389" s="1130"/>
      <c r="G389" s="95"/>
      <c r="H389" s="90"/>
      <c r="I389" s="1125"/>
      <c r="J389" s="1134"/>
      <c r="K389" s="1134"/>
      <c r="L389" s="916"/>
    </row>
    <row r="390" spans="1:12" s="103" customFormat="1" ht="15.75" hidden="1" customHeight="1" outlineLevel="1">
      <c r="A390" s="916"/>
      <c r="B390" s="1124"/>
      <c r="C390" s="1128"/>
      <c r="D390" s="1126"/>
      <c r="E390" s="1126"/>
      <c r="F390" s="1132"/>
      <c r="G390" s="100"/>
      <c r="H390" s="98"/>
      <c r="I390" s="1126"/>
      <c r="J390" s="1135"/>
      <c r="K390" s="1135"/>
      <c r="L390" s="916"/>
    </row>
    <row r="391" spans="1:12" s="103" customFormat="1" ht="15.75" hidden="1" customHeight="1" outlineLevel="1">
      <c r="A391" s="916"/>
      <c r="B391" s="1123">
        <v>127</v>
      </c>
      <c r="C391" s="1127"/>
      <c r="D391" s="1125"/>
      <c r="E391" s="1125" t="s">
        <v>18</v>
      </c>
      <c r="F391" s="1130" t="str">
        <f>VLOOKUP(E391,$N$13:$O$17,2,0)</f>
        <v>-</v>
      </c>
      <c r="G391" s="92"/>
      <c r="H391" s="90"/>
      <c r="I391" s="1125"/>
      <c r="J391" s="1133"/>
      <c r="K391" s="1133"/>
      <c r="L391" s="916"/>
    </row>
    <row r="392" spans="1:12" s="103" customFormat="1" ht="15.75" hidden="1" customHeight="1" outlineLevel="1">
      <c r="A392" s="916"/>
      <c r="B392" s="1123"/>
      <c r="C392" s="1127"/>
      <c r="D392" s="1125"/>
      <c r="E392" s="1125"/>
      <c r="F392" s="1130"/>
      <c r="G392" s="95"/>
      <c r="H392" s="90"/>
      <c r="I392" s="1125"/>
      <c r="J392" s="1134"/>
      <c r="K392" s="1134"/>
      <c r="L392" s="916"/>
    </row>
    <row r="393" spans="1:12" s="103" customFormat="1" ht="15.75" hidden="1" customHeight="1" outlineLevel="1">
      <c r="A393" s="916"/>
      <c r="B393" s="1124"/>
      <c r="C393" s="1128"/>
      <c r="D393" s="1126"/>
      <c r="E393" s="1126"/>
      <c r="F393" s="1132"/>
      <c r="G393" s="100"/>
      <c r="H393" s="98"/>
      <c r="I393" s="1126"/>
      <c r="J393" s="1135"/>
      <c r="K393" s="1135"/>
      <c r="L393" s="916"/>
    </row>
    <row r="394" spans="1:12" s="103" customFormat="1" ht="15.75" hidden="1" customHeight="1" outlineLevel="1">
      <c r="A394" s="916"/>
      <c r="B394" s="1123">
        <v>128</v>
      </c>
      <c r="C394" s="1127"/>
      <c r="D394" s="1125"/>
      <c r="E394" s="1125" t="s">
        <v>18</v>
      </c>
      <c r="F394" s="1130" t="str">
        <f>VLOOKUP(E394,$N$13:$O$17,2,0)</f>
        <v>-</v>
      </c>
      <c r="G394" s="92"/>
      <c r="H394" s="90"/>
      <c r="I394" s="1125"/>
      <c r="J394" s="1133"/>
      <c r="K394" s="1133"/>
      <c r="L394" s="916"/>
    </row>
    <row r="395" spans="1:12" s="103" customFormat="1" ht="15.75" hidden="1" customHeight="1" outlineLevel="1">
      <c r="A395" s="916"/>
      <c r="B395" s="1123"/>
      <c r="C395" s="1127"/>
      <c r="D395" s="1125"/>
      <c r="E395" s="1125"/>
      <c r="F395" s="1130"/>
      <c r="G395" s="95"/>
      <c r="H395" s="90"/>
      <c r="I395" s="1125"/>
      <c r="J395" s="1134"/>
      <c r="K395" s="1134"/>
      <c r="L395" s="916"/>
    </row>
    <row r="396" spans="1:12" s="103" customFormat="1" ht="15.75" hidden="1" customHeight="1" outlineLevel="1">
      <c r="A396" s="916"/>
      <c r="B396" s="1124"/>
      <c r="C396" s="1128"/>
      <c r="D396" s="1126"/>
      <c r="E396" s="1126"/>
      <c r="F396" s="1132"/>
      <c r="G396" s="100"/>
      <c r="H396" s="98"/>
      <c r="I396" s="1126"/>
      <c r="J396" s="1135"/>
      <c r="K396" s="1135"/>
      <c r="L396" s="916"/>
    </row>
    <row r="397" spans="1:12" s="103" customFormat="1" ht="15.75" hidden="1" customHeight="1" outlineLevel="1">
      <c r="A397" s="916"/>
      <c r="B397" s="1123">
        <v>129</v>
      </c>
      <c r="C397" s="1127"/>
      <c r="D397" s="1125"/>
      <c r="E397" s="1125" t="s">
        <v>18</v>
      </c>
      <c r="F397" s="1130" t="str">
        <f>VLOOKUP(E397,$N$13:$O$17,2,0)</f>
        <v>-</v>
      </c>
      <c r="G397" s="92"/>
      <c r="H397" s="90"/>
      <c r="I397" s="1125"/>
      <c r="J397" s="1133"/>
      <c r="K397" s="1133"/>
      <c r="L397" s="916"/>
    </row>
    <row r="398" spans="1:12" s="103" customFormat="1" ht="15.75" hidden="1" customHeight="1" outlineLevel="1">
      <c r="A398" s="916"/>
      <c r="B398" s="1123"/>
      <c r="C398" s="1127"/>
      <c r="D398" s="1125"/>
      <c r="E398" s="1125"/>
      <c r="F398" s="1130"/>
      <c r="G398" s="95"/>
      <c r="H398" s="90"/>
      <c r="I398" s="1125"/>
      <c r="J398" s="1134"/>
      <c r="K398" s="1134"/>
      <c r="L398" s="916"/>
    </row>
    <row r="399" spans="1:12" s="103" customFormat="1" ht="15.75" hidden="1" customHeight="1" outlineLevel="1">
      <c r="A399" s="916"/>
      <c r="B399" s="1124"/>
      <c r="C399" s="1128"/>
      <c r="D399" s="1126"/>
      <c r="E399" s="1126"/>
      <c r="F399" s="1132"/>
      <c r="G399" s="100"/>
      <c r="H399" s="98"/>
      <c r="I399" s="1126"/>
      <c r="J399" s="1135"/>
      <c r="K399" s="1135"/>
      <c r="L399" s="916"/>
    </row>
    <row r="400" spans="1:12" s="103" customFormat="1" ht="15.75" hidden="1" customHeight="1" outlineLevel="1">
      <c r="A400" s="916"/>
      <c r="B400" s="1123">
        <v>130</v>
      </c>
      <c r="C400" s="1127"/>
      <c r="D400" s="1125"/>
      <c r="E400" s="1125" t="s">
        <v>18</v>
      </c>
      <c r="F400" s="1130" t="str">
        <f>VLOOKUP(E400,$N$13:$O$17,2,0)</f>
        <v>-</v>
      </c>
      <c r="G400" s="92"/>
      <c r="H400" s="90"/>
      <c r="I400" s="1125"/>
      <c r="J400" s="1133"/>
      <c r="K400" s="1133"/>
      <c r="L400" s="916"/>
    </row>
    <row r="401" spans="1:12" s="103" customFormat="1" ht="15.75" hidden="1" customHeight="1" outlineLevel="1">
      <c r="A401" s="916"/>
      <c r="B401" s="1123"/>
      <c r="C401" s="1127"/>
      <c r="D401" s="1125"/>
      <c r="E401" s="1125"/>
      <c r="F401" s="1130"/>
      <c r="G401" s="95"/>
      <c r="H401" s="90"/>
      <c r="I401" s="1125"/>
      <c r="J401" s="1134"/>
      <c r="K401" s="1134"/>
      <c r="L401" s="916"/>
    </row>
    <row r="402" spans="1:12" s="103" customFormat="1" ht="15.75" hidden="1" customHeight="1" outlineLevel="1">
      <c r="A402" s="916"/>
      <c r="B402" s="1124"/>
      <c r="C402" s="1128"/>
      <c r="D402" s="1126"/>
      <c r="E402" s="1126"/>
      <c r="F402" s="1132"/>
      <c r="G402" s="100"/>
      <c r="H402" s="98"/>
      <c r="I402" s="1126"/>
      <c r="J402" s="1135"/>
      <c r="K402" s="1135"/>
      <c r="L402" s="916"/>
    </row>
    <row r="403" spans="1:12" s="103" customFormat="1" ht="15.75" hidden="1" customHeight="1" outlineLevel="1">
      <c r="A403" s="916"/>
      <c r="B403" s="1123">
        <v>131</v>
      </c>
      <c r="C403" s="1127"/>
      <c r="D403" s="1125"/>
      <c r="E403" s="1125" t="s">
        <v>18</v>
      </c>
      <c r="F403" s="1130" t="str">
        <f>VLOOKUP(E403,$N$13:$O$17,2,0)</f>
        <v>-</v>
      </c>
      <c r="G403" s="92"/>
      <c r="H403" s="90"/>
      <c r="I403" s="1125"/>
      <c r="J403" s="1133"/>
      <c r="K403" s="1133"/>
      <c r="L403" s="916"/>
    </row>
    <row r="404" spans="1:12" s="103" customFormat="1" ht="15.75" hidden="1" customHeight="1" outlineLevel="1">
      <c r="A404" s="916"/>
      <c r="B404" s="1123"/>
      <c r="C404" s="1127"/>
      <c r="D404" s="1125"/>
      <c r="E404" s="1125"/>
      <c r="F404" s="1130"/>
      <c r="G404" s="95"/>
      <c r="H404" s="90"/>
      <c r="I404" s="1125"/>
      <c r="J404" s="1134"/>
      <c r="K404" s="1134"/>
      <c r="L404" s="916"/>
    </row>
    <row r="405" spans="1:12" s="103" customFormat="1" ht="15.75" hidden="1" customHeight="1" outlineLevel="1">
      <c r="A405" s="916"/>
      <c r="B405" s="1124"/>
      <c r="C405" s="1128"/>
      <c r="D405" s="1126"/>
      <c r="E405" s="1126"/>
      <c r="F405" s="1132"/>
      <c r="G405" s="100"/>
      <c r="H405" s="98"/>
      <c r="I405" s="1126"/>
      <c r="J405" s="1135"/>
      <c r="K405" s="1135"/>
      <c r="L405" s="916"/>
    </row>
    <row r="406" spans="1:12" s="103" customFormat="1" ht="15.75" hidden="1" customHeight="1" outlineLevel="1">
      <c r="A406" s="916"/>
      <c r="B406" s="1123">
        <v>132</v>
      </c>
      <c r="C406" s="1127"/>
      <c r="D406" s="1125"/>
      <c r="E406" s="1125" t="s">
        <v>18</v>
      </c>
      <c r="F406" s="1130" t="str">
        <f>VLOOKUP(E406,$N$13:$O$17,2,0)</f>
        <v>-</v>
      </c>
      <c r="G406" s="92"/>
      <c r="H406" s="90"/>
      <c r="I406" s="1125"/>
      <c r="J406" s="1133"/>
      <c r="K406" s="1133"/>
      <c r="L406" s="916"/>
    </row>
    <row r="407" spans="1:12" s="103" customFormat="1" ht="15.75" hidden="1" customHeight="1" outlineLevel="1">
      <c r="A407" s="916"/>
      <c r="B407" s="1123"/>
      <c r="C407" s="1127"/>
      <c r="D407" s="1125"/>
      <c r="E407" s="1125"/>
      <c r="F407" s="1130"/>
      <c r="G407" s="95"/>
      <c r="H407" s="90"/>
      <c r="I407" s="1125"/>
      <c r="J407" s="1134"/>
      <c r="K407" s="1134"/>
      <c r="L407" s="916"/>
    </row>
    <row r="408" spans="1:12" s="103" customFormat="1" ht="15.75" hidden="1" customHeight="1" outlineLevel="1">
      <c r="A408" s="916"/>
      <c r="B408" s="1124"/>
      <c r="C408" s="1128"/>
      <c r="D408" s="1126"/>
      <c r="E408" s="1126"/>
      <c r="F408" s="1132"/>
      <c r="G408" s="100"/>
      <c r="H408" s="98"/>
      <c r="I408" s="1126"/>
      <c r="J408" s="1135"/>
      <c r="K408" s="1135"/>
      <c r="L408" s="916"/>
    </row>
    <row r="409" spans="1:12" s="103" customFormat="1" ht="15.75" hidden="1" customHeight="1" outlineLevel="1">
      <c r="A409" s="916"/>
      <c r="B409" s="1123">
        <v>133</v>
      </c>
      <c r="C409" s="1127"/>
      <c r="D409" s="1125"/>
      <c r="E409" s="1125" t="s">
        <v>18</v>
      </c>
      <c r="F409" s="1130" t="str">
        <f>VLOOKUP(E409,$N$13:$O$17,2,0)</f>
        <v>-</v>
      </c>
      <c r="G409" s="92"/>
      <c r="H409" s="90"/>
      <c r="I409" s="1125"/>
      <c r="J409" s="1133"/>
      <c r="K409" s="1133"/>
      <c r="L409" s="916"/>
    </row>
    <row r="410" spans="1:12" s="103" customFormat="1" ht="15.75" hidden="1" customHeight="1" outlineLevel="1">
      <c r="A410" s="916"/>
      <c r="B410" s="1123"/>
      <c r="C410" s="1127"/>
      <c r="D410" s="1125"/>
      <c r="E410" s="1125"/>
      <c r="F410" s="1130"/>
      <c r="G410" s="95"/>
      <c r="H410" s="90"/>
      <c r="I410" s="1125"/>
      <c r="J410" s="1134"/>
      <c r="K410" s="1134"/>
      <c r="L410" s="916"/>
    </row>
    <row r="411" spans="1:12" s="103" customFormat="1" ht="15.75" hidden="1" customHeight="1" outlineLevel="1">
      <c r="A411" s="916"/>
      <c r="B411" s="1124"/>
      <c r="C411" s="1128"/>
      <c r="D411" s="1126"/>
      <c r="E411" s="1126"/>
      <c r="F411" s="1132"/>
      <c r="G411" s="100"/>
      <c r="H411" s="98"/>
      <c r="I411" s="1126"/>
      <c r="J411" s="1135"/>
      <c r="K411" s="1135"/>
      <c r="L411" s="916"/>
    </row>
    <row r="412" spans="1:12" s="103" customFormat="1" ht="15.75" hidden="1" customHeight="1" outlineLevel="1">
      <c r="A412" s="916"/>
      <c r="B412" s="1123">
        <v>134</v>
      </c>
      <c r="C412" s="1127"/>
      <c r="D412" s="1125"/>
      <c r="E412" s="1125" t="s">
        <v>18</v>
      </c>
      <c r="F412" s="1130" t="str">
        <f>VLOOKUP(E412,$N$13:$O$17,2,0)</f>
        <v>-</v>
      </c>
      <c r="G412" s="92"/>
      <c r="H412" s="90"/>
      <c r="I412" s="1125"/>
      <c r="J412" s="1133"/>
      <c r="K412" s="1133"/>
      <c r="L412" s="916"/>
    </row>
    <row r="413" spans="1:12" s="103" customFormat="1" ht="15.75" hidden="1" customHeight="1" outlineLevel="1">
      <c r="A413" s="916"/>
      <c r="B413" s="1123"/>
      <c r="C413" s="1127"/>
      <c r="D413" s="1125"/>
      <c r="E413" s="1125"/>
      <c r="F413" s="1130"/>
      <c r="G413" s="95"/>
      <c r="H413" s="90"/>
      <c r="I413" s="1125"/>
      <c r="J413" s="1134"/>
      <c r="K413" s="1134"/>
      <c r="L413" s="916"/>
    </row>
    <row r="414" spans="1:12" s="103" customFormat="1" ht="15.75" hidden="1" customHeight="1" outlineLevel="1">
      <c r="A414" s="916"/>
      <c r="B414" s="1124"/>
      <c r="C414" s="1128"/>
      <c r="D414" s="1126"/>
      <c r="E414" s="1126"/>
      <c r="F414" s="1132"/>
      <c r="G414" s="100"/>
      <c r="H414" s="98"/>
      <c r="I414" s="1126"/>
      <c r="J414" s="1135"/>
      <c r="K414" s="1135"/>
      <c r="L414" s="916"/>
    </row>
    <row r="415" spans="1:12" s="103" customFormat="1" ht="15.75" hidden="1" customHeight="1" outlineLevel="1">
      <c r="A415" s="916"/>
      <c r="B415" s="1123">
        <v>135</v>
      </c>
      <c r="C415" s="1127"/>
      <c r="D415" s="1125"/>
      <c r="E415" s="1125" t="s">
        <v>18</v>
      </c>
      <c r="F415" s="1130" t="str">
        <f>VLOOKUP(E415,$N$13:$O$17,2,0)</f>
        <v>-</v>
      </c>
      <c r="G415" s="92"/>
      <c r="H415" s="90"/>
      <c r="I415" s="1125"/>
      <c r="J415" s="1133"/>
      <c r="K415" s="1133"/>
      <c r="L415" s="916"/>
    </row>
    <row r="416" spans="1:12" s="103" customFormat="1" ht="15.75" hidden="1" customHeight="1" outlineLevel="1">
      <c r="A416" s="916"/>
      <c r="B416" s="1123"/>
      <c r="C416" s="1127"/>
      <c r="D416" s="1125"/>
      <c r="E416" s="1125"/>
      <c r="F416" s="1130"/>
      <c r="G416" s="95"/>
      <c r="H416" s="90"/>
      <c r="I416" s="1125"/>
      <c r="J416" s="1134"/>
      <c r="K416" s="1134"/>
      <c r="L416" s="916"/>
    </row>
    <row r="417" spans="1:12" s="103" customFormat="1" ht="15.75" hidden="1" customHeight="1" outlineLevel="1">
      <c r="A417" s="916"/>
      <c r="B417" s="1124"/>
      <c r="C417" s="1128"/>
      <c r="D417" s="1126"/>
      <c r="E417" s="1126"/>
      <c r="F417" s="1132"/>
      <c r="G417" s="100"/>
      <c r="H417" s="98"/>
      <c r="I417" s="1126"/>
      <c r="J417" s="1135"/>
      <c r="K417" s="1135"/>
      <c r="L417" s="916"/>
    </row>
    <row r="418" spans="1:12" s="103" customFormat="1" ht="15.75" hidden="1" customHeight="1" outlineLevel="1">
      <c r="A418" s="916"/>
      <c r="B418" s="1123">
        <v>136</v>
      </c>
      <c r="C418" s="1127"/>
      <c r="D418" s="1125"/>
      <c r="E418" s="1125" t="s">
        <v>18</v>
      </c>
      <c r="F418" s="1130" t="str">
        <f>VLOOKUP(E418,$N$13:$O$17,2,0)</f>
        <v>-</v>
      </c>
      <c r="G418" s="92"/>
      <c r="H418" s="90"/>
      <c r="I418" s="1125"/>
      <c r="J418" s="1133"/>
      <c r="K418" s="1133"/>
      <c r="L418" s="916"/>
    </row>
    <row r="419" spans="1:12" s="103" customFormat="1" ht="15.75" hidden="1" customHeight="1" outlineLevel="1">
      <c r="A419" s="916"/>
      <c r="B419" s="1123"/>
      <c r="C419" s="1127"/>
      <c r="D419" s="1125"/>
      <c r="E419" s="1125"/>
      <c r="F419" s="1130"/>
      <c r="G419" s="95"/>
      <c r="H419" s="90"/>
      <c r="I419" s="1125"/>
      <c r="J419" s="1134"/>
      <c r="K419" s="1134"/>
      <c r="L419" s="916"/>
    </row>
    <row r="420" spans="1:12" s="103" customFormat="1" ht="15.75" hidden="1" customHeight="1" outlineLevel="1">
      <c r="A420" s="916"/>
      <c r="B420" s="1124"/>
      <c r="C420" s="1128"/>
      <c r="D420" s="1126"/>
      <c r="E420" s="1126"/>
      <c r="F420" s="1132"/>
      <c r="G420" s="100"/>
      <c r="H420" s="98"/>
      <c r="I420" s="1126"/>
      <c r="J420" s="1135"/>
      <c r="K420" s="1135"/>
      <c r="L420" s="916"/>
    </row>
    <row r="421" spans="1:12" s="103" customFormat="1" ht="15.75" hidden="1" customHeight="1" outlineLevel="1">
      <c r="A421" s="916"/>
      <c r="B421" s="1123">
        <v>137</v>
      </c>
      <c r="C421" s="1127"/>
      <c r="D421" s="1125"/>
      <c r="E421" s="1125" t="s">
        <v>18</v>
      </c>
      <c r="F421" s="1130" t="str">
        <f>VLOOKUP(E421,$N$13:$O$17,2,0)</f>
        <v>-</v>
      </c>
      <c r="G421" s="92"/>
      <c r="H421" s="90"/>
      <c r="I421" s="1125"/>
      <c r="J421" s="1133"/>
      <c r="K421" s="1133"/>
      <c r="L421" s="916"/>
    </row>
    <row r="422" spans="1:12" s="103" customFormat="1" ht="15.75" hidden="1" customHeight="1" outlineLevel="1">
      <c r="A422" s="916"/>
      <c r="B422" s="1123"/>
      <c r="C422" s="1127"/>
      <c r="D422" s="1125"/>
      <c r="E422" s="1125"/>
      <c r="F422" s="1130"/>
      <c r="G422" s="95"/>
      <c r="H422" s="90"/>
      <c r="I422" s="1125"/>
      <c r="J422" s="1134"/>
      <c r="K422" s="1134"/>
      <c r="L422" s="916"/>
    </row>
    <row r="423" spans="1:12" s="103" customFormat="1" ht="15.75" hidden="1" customHeight="1" outlineLevel="1">
      <c r="A423" s="916"/>
      <c r="B423" s="1124"/>
      <c r="C423" s="1128"/>
      <c r="D423" s="1126"/>
      <c r="E423" s="1126"/>
      <c r="F423" s="1132"/>
      <c r="G423" s="100"/>
      <c r="H423" s="98"/>
      <c r="I423" s="1126"/>
      <c r="J423" s="1135"/>
      <c r="K423" s="1135"/>
      <c r="L423" s="916"/>
    </row>
    <row r="424" spans="1:12" s="103" customFormat="1" ht="15.75" hidden="1" customHeight="1" outlineLevel="1">
      <c r="A424" s="916"/>
      <c r="B424" s="1123">
        <v>138</v>
      </c>
      <c r="C424" s="1127"/>
      <c r="D424" s="1125"/>
      <c r="E424" s="1125" t="s">
        <v>18</v>
      </c>
      <c r="F424" s="1130" t="str">
        <f>VLOOKUP(E424,$N$13:$O$17,2,0)</f>
        <v>-</v>
      </c>
      <c r="G424" s="92"/>
      <c r="H424" s="90"/>
      <c r="I424" s="1125"/>
      <c r="J424" s="1133"/>
      <c r="K424" s="1133"/>
      <c r="L424" s="916"/>
    </row>
    <row r="425" spans="1:12" s="103" customFormat="1" ht="15.75" hidden="1" customHeight="1" outlineLevel="1">
      <c r="A425" s="916"/>
      <c r="B425" s="1123"/>
      <c r="C425" s="1127"/>
      <c r="D425" s="1125"/>
      <c r="E425" s="1125"/>
      <c r="F425" s="1130"/>
      <c r="G425" s="95"/>
      <c r="H425" s="90"/>
      <c r="I425" s="1125"/>
      <c r="J425" s="1134"/>
      <c r="K425" s="1134"/>
      <c r="L425" s="916"/>
    </row>
    <row r="426" spans="1:12" s="103" customFormat="1" ht="15.75" hidden="1" customHeight="1" outlineLevel="1">
      <c r="A426" s="916"/>
      <c r="B426" s="1124"/>
      <c r="C426" s="1128"/>
      <c r="D426" s="1126"/>
      <c r="E426" s="1126"/>
      <c r="F426" s="1132"/>
      <c r="G426" s="100"/>
      <c r="H426" s="98"/>
      <c r="I426" s="1126"/>
      <c r="J426" s="1135"/>
      <c r="K426" s="1135"/>
      <c r="L426" s="916"/>
    </row>
    <row r="427" spans="1:12" s="103" customFormat="1" ht="15.75" hidden="1" customHeight="1" outlineLevel="1">
      <c r="A427" s="916"/>
      <c r="B427" s="1123">
        <v>139</v>
      </c>
      <c r="C427" s="1127"/>
      <c r="D427" s="1125"/>
      <c r="E427" s="1125" t="s">
        <v>18</v>
      </c>
      <c r="F427" s="1130" t="str">
        <f>VLOOKUP(E427,$N$13:$O$17,2,0)</f>
        <v>-</v>
      </c>
      <c r="G427" s="92"/>
      <c r="H427" s="90"/>
      <c r="I427" s="1125"/>
      <c r="J427" s="1133"/>
      <c r="K427" s="1133"/>
      <c r="L427" s="916"/>
    </row>
    <row r="428" spans="1:12" s="103" customFormat="1" ht="15.75" hidden="1" customHeight="1" outlineLevel="1">
      <c r="A428" s="916"/>
      <c r="B428" s="1123"/>
      <c r="C428" s="1127"/>
      <c r="D428" s="1125"/>
      <c r="E428" s="1125"/>
      <c r="F428" s="1130"/>
      <c r="G428" s="95"/>
      <c r="H428" s="90"/>
      <c r="I428" s="1125"/>
      <c r="J428" s="1134"/>
      <c r="K428" s="1134"/>
      <c r="L428" s="916"/>
    </row>
    <row r="429" spans="1:12" s="103" customFormat="1" ht="15.75" hidden="1" customHeight="1" outlineLevel="1">
      <c r="A429" s="916"/>
      <c r="B429" s="1124"/>
      <c r="C429" s="1128"/>
      <c r="D429" s="1126"/>
      <c r="E429" s="1126"/>
      <c r="F429" s="1132"/>
      <c r="G429" s="100"/>
      <c r="H429" s="98"/>
      <c r="I429" s="1126"/>
      <c r="J429" s="1135"/>
      <c r="K429" s="1135"/>
      <c r="L429" s="916"/>
    </row>
    <row r="430" spans="1:12" s="103" customFormat="1" ht="15.75" hidden="1" customHeight="1" outlineLevel="1">
      <c r="A430" s="916"/>
      <c r="B430" s="1123">
        <v>140</v>
      </c>
      <c r="C430" s="1127"/>
      <c r="D430" s="1125"/>
      <c r="E430" s="1125" t="s">
        <v>18</v>
      </c>
      <c r="F430" s="1130" t="str">
        <f>VLOOKUP(E430,$N$13:$O$17,2,0)</f>
        <v>-</v>
      </c>
      <c r="G430" s="92"/>
      <c r="H430" s="90"/>
      <c r="I430" s="1125"/>
      <c r="J430" s="1133"/>
      <c r="K430" s="1133"/>
      <c r="L430" s="916"/>
    </row>
    <row r="431" spans="1:12" s="103" customFormat="1" ht="15.75" hidden="1" customHeight="1" outlineLevel="1">
      <c r="A431" s="916"/>
      <c r="B431" s="1123"/>
      <c r="C431" s="1127"/>
      <c r="D431" s="1125"/>
      <c r="E431" s="1125"/>
      <c r="F431" s="1130"/>
      <c r="G431" s="95"/>
      <c r="H431" s="90"/>
      <c r="I431" s="1125"/>
      <c r="J431" s="1134"/>
      <c r="K431" s="1134"/>
      <c r="L431" s="916"/>
    </row>
    <row r="432" spans="1:12" s="103" customFormat="1" ht="15.75" hidden="1" customHeight="1" outlineLevel="1">
      <c r="A432" s="916"/>
      <c r="B432" s="1124"/>
      <c r="C432" s="1128"/>
      <c r="D432" s="1126"/>
      <c r="E432" s="1126"/>
      <c r="F432" s="1132"/>
      <c r="G432" s="100"/>
      <c r="H432" s="98"/>
      <c r="I432" s="1126"/>
      <c r="J432" s="1135"/>
      <c r="K432" s="1135"/>
      <c r="L432" s="916"/>
    </row>
    <row r="433" spans="1:12" s="103" customFormat="1" ht="15.75" hidden="1" customHeight="1" outlineLevel="1">
      <c r="A433" s="916"/>
      <c r="B433" s="1123">
        <v>141</v>
      </c>
      <c r="C433" s="1127"/>
      <c r="D433" s="1125"/>
      <c r="E433" s="1125" t="s">
        <v>18</v>
      </c>
      <c r="F433" s="1130" t="str">
        <f>VLOOKUP(E433,$N$13:$O$17,2,0)</f>
        <v>-</v>
      </c>
      <c r="G433" s="92"/>
      <c r="H433" s="90"/>
      <c r="I433" s="1125"/>
      <c r="J433" s="1133"/>
      <c r="K433" s="1133"/>
      <c r="L433" s="916"/>
    </row>
    <row r="434" spans="1:12" s="103" customFormat="1" ht="15.75" hidden="1" customHeight="1" outlineLevel="1">
      <c r="A434" s="916"/>
      <c r="B434" s="1123"/>
      <c r="C434" s="1127"/>
      <c r="D434" s="1125"/>
      <c r="E434" s="1125"/>
      <c r="F434" s="1130"/>
      <c r="G434" s="95"/>
      <c r="H434" s="90"/>
      <c r="I434" s="1125"/>
      <c r="J434" s="1134"/>
      <c r="K434" s="1134"/>
      <c r="L434" s="916"/>
    </row>
    <row r="435" spans="1:12" s="103" customFormat="1" ht="15.75" hidden="1" customHeight="1" outlineLevel="1">
      <c r="A435" s="916"/>
      <c r="B435" s="1124"/>
      <c r="C435" s="1128"/>
      <c r="D435" s="1126"/>
      <c r="E435" s="1126"/>
      <c r="F435" s="1132"/>
      <c r="G435" s="100"/>
      <c r="H435" s="98"/>
      <c r="I435" s="1126"/>
      <c r="J435" s="1135"/>
      <c r="K435" s="1135"/>
      <c r="L435" s="916"/>
    </row>
    <row r="436" spans="1:12" s="103" customFormat="1" ht="15.75" hidden="1" customHeight="1" outlineLevel="1">
      <c r="A436" s="916"/>
      <c r="B436" s="1123">
        <v>142</v>
      </c>
      <c r="C436" s="1127"/>
      <c r="D436" s="1125"/>
      <c r="E436" s="1125" t="s">
        <v>18</v>
      </c>
      <c r="F436" s="1130" t="str">
        <f>VLOOKUP(E436,$N$13:$O$17,2,0)</f>
        <v>-</v>
      </c>
      <c r="G436" s="92"/>
      <c r="H436" s="90"/>
      <c r="I436" s="1125"/>
      <c r="J436" s="1133"/>
      <c r="K436" s="1133"/>
      <c r="L436" s="916"/>
    </row>
    <row r="437" spans="1:12" s="103" customFormat="1" ht="15.75" hidden="1" customHeight="1" outlineLevel="1">
      <c r="A437" s="916"/>
      <c r="B437" s="1123"/>
      <c r="C437" s="1127"/>
      <c r="D437" s="1125"/>
      <c r="E437" s="1125"/>
      <c r="F437" s="1130"/>
      <c r="G437" s="95"/>
      <c r="H437" s="90"/>
      <c r="I437" s="1125"/>
      <c r="J437" s="1134"/>
      <c r="K437" s="1134"/>
      <c r="L437" s="916"/>
    </row>
    <row r="438" spans="1:12" s="103" customFormat="1" ht="15.75" hidden="1" customHeight="1" outlineLevel="1">
      <c r="A438" s="916"/>
      <c r="B438" s="1124"/>
      <c r="C438" s="1128"/>
      <c r="D438" s="1126"/>
      <c r="E438" s="1126"/>
      <c r="F438" s="1132"/>
      <c r="G438" s="100"/>
      <c r="H438" s="98"/>
      <c r="I438" s="1126"/>
      <c r="J438" s="1135"/>
      <c r="K438" s="1135"/>
      <c r="L438" s="916"/>
    </row>
    <row r="439" spans="1:12" s="103" customFormat="1" ht="15.75" hidden="1" customHeight="1" outlineLevel="1">
      <c r="A439" s="916"/>
      <c r="B439" s="1123">
        <v>143</v>
      </c>
      <c r="C439" s="1127"/>
      <c r="D439" s="1125"/>
      <c r="E439" s="1125" t="s">
        <v>18</v>
      </c>
      <c r="F439" s="1130" t="str">
        <f>VLOOKUP(E439,$N$13:$O$17,2,0)</f>
        <v>-</v>
      </c>
      <c r="G439" s="92"/>
      <c r="H439" s="90"/>
      <c r="I439" s="1125"/>
      <c r="J439" s="1133"/>
      <c r="K439" s="1133"/>
      <c r="L439" s="916"/>
    </row>
    <row r="440" spans="1:12" s="103" customFormat="1" ht="15.75" hidden="1" customHeight="1" outlineLevel="1">
      <c r="A440" s="916"/>
      <c r="B440" s="1123"/>
      <c r="C440" s="1127"/>
      <c r="D440" s="1125"/>
      <c r="E440" s="1125"/>
      <c r="F440" s="1130"/>
      <c r="G440" s="95"/>
      <c r="H440" s="90"/>
      <c r="I440" s="1125"/>
      <c r="J440" s="1134"/>
      <c r="K440" s="1134"/>
      <c r="L440" s="916"/>
    </row>
    <row r="441" spans="1:12" s="103" customFormat="1" ht="15.75" hidden="1" customHeight="1" outlineLevel="1">
      <c r="A441" s="916"/>
      <c r="B441" s="1124"/>
      <c r="C441" s="1128"/>
      <c r="D441" s="1126"/>
      <c r="E441" s="1126"/>
      <c r="F441" s="1132"/>
      <c r="G441" s="100"/>
      <c r="H441" s="98"/>
      <c r="I441" s="1126"/>
      <c r="J441" s="1135"/>
      <c r="K441" s="1135"/>
      <c r="L441" s="916"/>
    </row>
    <row r="442" spans="1:12" s="103" customFormat="1" ht="15.75" hidden="1" customHeight="1" outlineLevel="1">
      <c r="A442" s="916"/>
      <c r="B442" s="1123">
        <v>144</v>
      </c>
      <c r="C442" s="1127"/>
      <c r="D442" s="1125"/>
      <c r="E442" s="1125" t="s">
        <v>18</v>
      </c>
      <c r="F442" s="1130" t="str">
        <f>VLOOKUP(E442,$N$13:$O$17,2,0)</f>
        <v>-</v>
      </c>
      <c r="G442" s="92"/>
      <c r="H442" s="90"/>
      <c r="I442" s="1125"/>
      <c r="J442" s="1133"/>
      <c r="K442" s="1133"/>
      <c r="L442" s="916"/>
    </row>
    <row r="443" spans="1:12" s="103" customFormat="1" ht="15.75" hidden="1" customHeight="1" outlineLevel="1">
      <c r="A443" s="916"/>
      <c r="B443" s="1123"/>
      <c r="C443" s="1127"/>
      <c r="D443" s="1125"/>
      <c r="E443" s="1125"/>
      <c r="F443" s="1130"/>
      <c r="G443" s="95"/>
      <c r="H443" s="90"/>
      <c r="I443" s="1125"/>
      <c r="J443" s="1134"/>
      <c r="K443" s="1134"/>
      <c r="L443" s="916"/>
    </row>
    <row r="444" spans="1:12" s="103" customFormat="1" ht="15.75" hidden="1" customHeight="1" outlineLevel="1">
      <c r="A444" s="916"/>
      <c r="B444" s="1124"/>
      <c r="C444" s="1128"/>
      <c r="D444" s="1126"/>
      <c r="E444" s="1126"/>
      <c r="F444" s="1132"/>
      <c r="G444" s="100"/>
      <c r="H444" s="98"/>
      <c r="I444" s="1126"/>
      <c r="J444" s="1135"/>
      <c r="K444" s="1135"/>
      <c r="L444" s="916"/>
    </row>
    <row r="445" spans="1:12" s="103" customFormat="1" ht="15.75" hidden="1" customHeight="1" outlineLevel="1">
      <c r="A445" s="916"/>
      <c r="B445" s="1123">
        <v>145</v>
      </c>
      <c r="C445" s="1127"/>
      <c r="D445" s="1125"/>
      <c r="E445" s="1125" t="s">
        <v>18</v>
      </c>
      <c r="F445" s="1130" t="str">
        <f>VLOOKUP(E445,$N$13:$O$17,2,0)</f>
        <v>-</v>
      </c>
      <c r="G445" s="92"/>
      <c r="H445" s="90"/>
      <c r="I445" s="1125"/>
      <c r="J445" s="1133"/>
      <c r="K445" s="1133"/>
      <c r="L445" s="916"/>
    </row>
    <row r="446" spans="1:12" s="103" customFormat="1" ht="15.75" hidden="1" customHeight="1" outlineLevel="1">
      <c r="A446" s="916"/>
      <c r="B446" s="1123"/>
      <c r="C446" s="1127"/>
      <c r="D446" s="1125"/>
      <c r="E446" s="1125"/>
      <c r="F446" s="1130"/>
      <c r="G446" s="95"/>
      <c r="H446" s="90"/>
      <c r="I446" s="1125"/>
      <c r="J446" s="1134"/>
      <c r="K446" s="1134"/>
      <c r="L446" s="916"/>
    </row>
    <row r="447" spans="1:12" s="103" customFormat="1" ht="15.75" hidden="1" customHeight="1" outlineLevel="1">
      <c r="A447" s="916"/>
      <c r="B447" s="1124"/>
      <c r="C447" s="1128"/>
      <c r="D447" s="1126"/>
      <c r="E447" s="1126"/>
      <c r="F447" s="1132"/>
      <c r="G447" s="100"/>
      <c r="H447" s="98"/>
      <c r="I447" s="1126"/>
      <c r="J447" s="1135"/>
      <c r="K447" s="1135"/>
      <c r="L447" s="916"/>
    </row>
    <row r="448" spans="1:12" s="103" customFormat="1" ht="15.75" hidden="1" customHeight="1" outlineLevel="1">
      <c r="A448" s="916"/>
      <c r="B448" s="1123">
        <v>146</v>
      </c>
      <c r="C448" s="1127"/>
      <c r="D448" s="1125"/>
      <c r="E448" s="1125" t="s">
        <v>18</v>
      </c>
      <c r="F448" s="1130" t="str">
        <f>VLOOKUP(E448,$N$13:$O$17,2,0)</f>
        <v>-</v>
      </c>
      <c r="G448" s="92"/>
      <c r="H448" s="90"/>
      <c r="I448" s="1125"/>
      <c r="J448" s="1133"/>
      <c r="K448" s="1133"/>
      <c r="L448" s="916"/>
    </row>
    <row r="449" spans="1:12" s="103" customFormat="1" ht="15.75" hidden="1" customHeight="1" outlineLevel="1">
      <c r="A449" s="916"/>
      <c r="B449" s="1123"/>
      <c r="C449" s="1127"/>
      <c r="D449" s="1125"/>
      <c r="E449" s="1125"/>
      <c r="F449" s="1130"/>
      <c r="G449" s="95"/>
      <c r="H449" s="90"/>
      <c r="I449" s="1125"/>
      <c r="J449" s="1134"/>
      <c r="K449" s="1134"/>
      <c r="L449" s="916"/>
    </row>
    <row r="450" spans="1:12" s="103" customFormat="1" ht="15.75" hidden="1" customHeight="1" outlineLevel="1">
      <c r="A450" s="916"/>
      <c r="B450" s="1124"/>
      <c r="C450" s="1128"/>
      <c r="D450" s="1126"/>
      <c r="E450" s="1126"/>
      <c r="F450" s="1132"/>
      <c r="G450" s="100"/>
      <c r="H450" s="98"/>
      <c r="I450" s="1126"/>
      <c r="J450" s="1135"/>
      <c r="K450" s="1135"/>
      <c r="L450" s="916"/>
    </row>
    <row r="451" spans="1:12" s="103" customFormat="1" ht="15.75" hidden="1" customHeight="1" outlineLevel="1">
      <c r="A451" s="916"/>
      <c r="B451" s="1123">
        <v>147</v>
      </c>
      <c r="C451" s="1127"/>
      <c r="D451" s="1125"/>
      <c r="E451" s="1125" t="s">
        <v>18</v>
      </c>
      <c r="F451" s="1130" t="str">
        <f>VLOOKUP(E451,$N$13:$O$17,2,0)</f>
        <v>-</v>
      </c>
      <c r="G451" s="92"/>
      <c r="H451" s="90"/>
      <c r="I451" s="1125"/>
      <c r="J451" s="1133"/>
      <c r="K451" s="1133"/>
      <c r="L451" s="916"/>
    </row>
    <row r="452" spans="1:12" s="103" customFormat="1" ht="15.75" hidden="1" customHeight="1" outlineLevel="1">
      <c r="A452" s="916"/>
      <c r="B452" s="1123"/>
      <c r="C452" s="1127"/>
      <c r="D452" s="1125"/>
      <c r="E452" s="1125"/>
      <c r="F452" s="1130"/>
      <c r="G452" s="95"/>
      <c r="H452" s="90"/>
      <c r="I452" s="1125"/>
      <c r="J452" s="1134"/>
      <c r="K452" s="1134"/>
      <c r="L452" s="916"/>
    </row>
    <row r="453" spans="1:12" s="103" customFormat="1" ht="15.75" hidden="1" customHeight="1" outlineLevel="1">
      <c r="A453" s="916"/>
      <c r="B453" s="1124"/>
      <c r="C453" s="1128"/>
      <c r="D453" s="1126"/>
      <c r="E453" s="1126"/>
      <c r="F453" s="1132"/>
      <c r="G453" s="100"/>
      <c r="H453" s="98"/>
      <c r="I453" s="1126"/>
      <c r="J453" s="1135"/>
      <c r="K453" s="1135"/>
      <c r="L453" s="916"/>
    </row>
    <row r="454" spans="1:12" s="103" customFormat="1" ht="15.75" hidden="1" customHeight="1" outlineLevel="1">
      <c r="A454" s="916"/>
      <c r="B454" s="1123">
        <v>148</v>
      </c>
      <c r="C454" s="1127"/>
      <c r="D454" s="1125"/>
      <c r="E454" s="1125" t="s">
        <v>18</v>
      </c>
      <c r="F454" s="1130" t="str">
        <f>VLOOKUP(E454,$N$13:$O$17,2,0)</f>
        <v>-</v>
      </c>
      <c r="G454" s="92"/>
      <c r="H454" s="90"/>
      <c r="I454" s="1125"/>
      <c r="J454" s="1133"/>
      <c r="K454" s="1133"/>
      <c r="L454" s="916"/>
    </row>
    <row r="455" spans="1:12" s="103" customFormat="1" ht="15.75" hidden="1" customHeight="1" outlineLevel="1">
      <c r="A455" s="916"/>
      <c r="B455" s="1123"/>
      <c r="C455" s="1127"/>
      <c r="D455" s="1125"/>
      <c r="E455" s="1125"/>
      <c r="F455" s="1130"/>
      <c r="G455" s="95"/>
      <c r="H455" s="90"/>
      <c r="I455" s="1125"/>
      <c r="J455" s="1134"/>
      <c r="K455" s="1134"/>
      <c r="L455" s="916"/>
    </row>
    <row r="456" spans="1:12" s="103" customFormat="1" ht="15.75" hidden="1" customHeight="1" outlineLevel="1">
      <c r="A456" s="916"/>
      <c r="B456" s="1124"/>
      <c r="C456" s="1128"/>
      <c r="D456" s="1126"/>
      <c r="E456" s="1126"/>
      <c r="F456" s="1132"/>
      <c r="G456" s="100"/>
      <c r="H456" s="98"/>
      <c r="I456" s="1126"/>
      <c r="J456" s="1135"/>
      <c r="K456" s="1135"/>
      <c r="L456" s="916"/>
    </row>
    <row r="457" spans="1:12" s="103" customFormat="1" ht="15.75" hidden="1" customHeight="1" outlineLevel="1">
      <c r="A457" s="916"/>
      <c r="B457" s="1123">
        <v>149</v>
      </c>
      <c r="C457" s="1127"/>
      <c r="D457" s="1125"/>
      <c r="E457" s="1125" t="s">
        <v>18</v>
      </c>
      <c r="F457" s="1130" t="str">
        <f>VLOOKUP(E457,$N$13:$O$17,2,0)</f>
        <v>-</v>
      </c>
      <c r="G457" s="92"/>
      <c r="H457" s="90"/>
      <c r="I457" s="1125"/>
      <c r="J457" s="1133"/>
      <c r="K457" s="1133"/>
      <c r="L457" s="916"/>
    </row>
    <row r="458" spans="1:12" s="103" customFormat="1" ht="15.75" hidden="1" customHeight="1" outlineLevel="1">
      <c r="A458" s="916"/>
      <c r="B458" s="1123"/>
      <c r="C458" s="1127"/>
      <c r="D458" s="1125"/>
      <c r="E458" s="1125"/>
      <c r="F458" s="1130"/>
      <c r="G458" s="95"/>
      <c r="H458" s="90"/>
      <c r="I458" s="1125"/>
      <c r="J458" s="1134"/>
      <c r="K458" s="1134"/>
      <c r="L458" s="916"/>
    </row>
    <row r="459" spans="1:12" s="103" customFormat="1" ht="15.75" hidden="1" customHeight="1" outlineLevel="1">
      <c r="A459" s="916"/>
      <c r="B459" s="1124"/>
      <c r="C459" s="1128"/>
      <c r="D459" s="1126"/>
      <c r="E459" s="1126"/>
      <c r="F459" s="1132"/>
      <c r="G459" s="100"/>
      <c r="H459" s="98"/>
      <c r="I459" s="1126"/>
      <c r="J459" s="1135"/>
      <c r="K459" s="1135"/>
      <c r="L459" s="916"/>
    </row>
    <row r="460" spans="1:12" s="103" customFormat="1" ht="15.75" hidden="1" customHeight="1" outlineLevel="1">
      <c r="A460" s="916"/>
      <c r="B460" s="1123">
        <v>150</v>
      </c>
      <c r="C460" s="1127"/>
      <c r="D460" s="1125"/>
      <c r="E460" s="1125" t="s">
        <v>18</v>
      </c>
      <c r="F460" s="1130" t="str">
        <f>VLOOKUP(E460,$N$13:$O$17,2,0)</f>
        <v>-</v>
      </c>
      <c r="G460" s="92"/>
      <c r="H460" s="90"/>
      <c r="I460" s="1125"/>
      <c r="J460" s="1133"/>
      <c r="K460" s="1133"/>
      <c r="L460" s="916"/>
    </row>
    <row r="461" spans="1:12" s="103" customFormat="1" ht="15.75" hidden="1" customHeight="1" outlineLevel="1">
      <c r="A461" s="916"/>
      <c r="B461" s="1123"/>
      <c r="C461" s="1127"/>
      <c r="D461" s="1125"/>
      <c r="E461" s="1125"/>
      <c r="F461" s="1130"/>
      <c r="G461" s="95"/>
      <c r="H461" s="90"/>
      <c r="I461" s="1125"/>
      <c r="J461" s="1134"/>
      <c r="K461" s="1134"/>
      <c r="L461" s="916"/>
    </row>
    <row r="462" spans="1:12" s="103" customFormat="1" ht="15.75" hidden="1" customHeight="1" outlineLevel="1">
      <c r="A462" s="916"/>
      <c r="B462" s="1124"/>
      <c r="C462" s="1128"/>
      <c r="D462" s="1126"/>
      <c r="E462" s="1126"/>
      <c r="F462" s="1132"/>
      <c r="G462" s="100"/>
      <c r="H462" s="98"/>
      <c r="I462" s="1126"/>
      <c r="J462" s="1135"/>
      <c r="K462" s="1135"/>
      <c r="L462" s="916"/>
    </row>
    <row r="463" spans="1:12" s="103" customFormat="1" ht="15.75" hidden="1" customHeight="1" outlineLevel="1">
      <c r="A463" s="916"/>
      <c r="B463" s="1123">
        <v>151</v>
      </c>
      <c r="C463" s="1127"/>
      <c r="D463" s="1125"/>
      <c r="E463" s="1125" t="s">
        <v>18</v>
      </c>
      <c r="F463" s="1130" t="str">
        <f>VLOOKUP(E463,$N$13:$O$17,2,0)</f>
        <v>-</v>
      </c>
      <c r="G463" s="92"/>
      <c r="H463" s="90"/>
      <c r="I463" s="1125"/>
      <c r="J463" s="1133"/>
      <c r="K463" s="1133"/>
      <c r="L463" s="916"/>
    </row>
    <row r="464" spans="1:12" s="103" customFormat="1" ht="15.75" hidden="1" customHeight="1" outlineLevel="1">
      <c r="A464" s="916"/>
      <c r="B464" s="1123"/>
      <c r="C464" s="1127"/>
      <c r="D464" s="1125"/>
      <c r="E464" s="1125"/>
      <c r="F464" s="1130"/>
      <c r="G464" s="95"/>
      <c r="H464" s="90"/>
      <c r="I464" s="1125"/>
      <c r="J464" s="1134"/>
      <c r="K464" s="1134"/>
      <c r="L464" s="916"/>
    </row>
    <row r="465" spans="1:12" s="103" customFormat="1" ht="15.75" hidden="1" customHeight="1" outlineLevel="1">
      <c r="A465" s="916"/>
      <c r="B465" s="1124"/>
      <c r="C465" s="1128"/>
      <c r="D465" s="1126"/>
      <c r="E465" s="1126"/>
      <c r="F465" s="1132"/>
      <c r="G465" s="100"/>
      <c r="H465" s="98"/>
      <c r="I465" s="1126"/>
      <c r="J465" s="1135"/>
      <c r="K465" s="1135"/>
      <c r="L465" s="916"/>
    </row>
    <row r="466" spans="1:12" s="103" customFormat="1" ht="15.75" hidden="1" customHeight="1" outlineLevel="1">
      <c r="A466" s="916"/>
      <c r="B466" s="1123">
        <v>152</v>
      </c>
      <c r="C466" s="1127"/>
      <c r="D466" s="1125"/>
      <c r="E466" s="1125" t="s">
        <v>18</v>
      </c>
      <c r="F466" s="1130" t="str">
        <f>VLOOKUP(E466,$N$13:$O$17,2,0)</f>
        <v>-</v>
      </c>
      <c r="G466" s="92"/>
      <c r="H466" s="90"/>
      <c r="I466" s="1125"/>
      <c r="J466" s="1133"/>
      <c r="K466" s="1133"/>
      <c r="L466" s="916"/>
    </row>
    <row r="467" spans="1:12" s="103" customFormat="1" ht="15.75" hidden="1" customHeight="1" outlineLevel="1">
      <c r="A467" s="916"/>
      <c r="B467" s="1123"/>
      <c r="C467" s="1127"/>
      <c r="D467" s="1125"/>
      <c r="E467" s="1125"/>
      <c r="F467" s="1130"/>
      <c r="G467" s="95"/>
      <c r="H467" s="90"/>
      <c r="I467" s="1125"/>
      <c r="J467" s="1134"/>
      <c r="K467" s="1134"/>
      <c r="L467" s="916"/>
    </row>
    <row r="468" spans="1:12" s="103" customFormat="1" ht="15.75" hidden="1" customHeight="1" outlineLevel="1">
      <c r="A468" s="916"/>
      <c r="B468" s="1124"/>
      <c r="C468" s="1128"/>
      <c r="D468" s="1126"/>
      <c r="E468" s="1126"/>
      <c r="F468" s="1132"/>
      <c r="G468" s="100"/>
      <c r="H468" s="98"/>
      <c r="I468" s="1126"/>
      <c r="J468" s="1135"/>
      <c r="K468" s="1135"/>
      <c r="L468" s="916"/>
    </row>
    <row r="469" spans="1:12" s="103" customFormat="1" ht="15.75" hidden="1" customHeight="1" outlineLevel="1">
      <c r="A469" s="916"/>
      <c r="B469" s="1123">
        <v>153</v>
      </c>
      <c r="C469" s="1127"/>
      <c r="D469" s="1125"/>
      <c r="E469" s="1125" t="s">
        <v>18</v>
      </c>
      <c r="F469" s="1130" t="str">
        <f>VLOOKUP(E469,$N$13:$O$17,2,0)</f>
        <v>-</v>
      </c>
      <c r="G469" s="92"/>
      <c r="H469" s="90"/>
      <c r="I469" s="1125"/>
      <c r="J469" s="1133"/>
      <c r="K469" s="1133"/>
      <c r="L469" s="916"/>
    </row>
    <row r="470" spans="1:12" s="103" customFormat="1" ht="15.75" hidden="1" customHeight="1" outlineLevel="1">
      <c r="A470" s="916"/>
      <c r="B470" s="1123"/>
      <c r="C470" s="1127"/>
      <c r="D470" s="1125"/>
      <c r="E470" s="1125"/>
      <c r="F470" s="1130"/>
      <c r="G470" s="95"/>
      <c r="H470" s="90"/>
      <c r="I470" s="1125"/>
      <c r="J470" s="1134"/>
      <c r="K470" s="1134"/>
      <c r="L470" s="916"/>
    </row>
    <row r="471" spans="1:12" s="103" customFormat="1" ht="15.75" hidden="1" customHeight="1" outlineLevel="1">
      <c r="A471" s="916"/>
      <c r="B471" s="1124"/>
      <c r="C471" s="1128"/>
      <c r="D471" s="1126"/>
      <c r="E471" s="1126"/>
      <c r="F471" s="1132"/>
      <c r="G471" s="100"/>
      <c r="H471" s="98"/>
      <c r="I471" s="1126"/>
      <c r="J471" s="1135"/>
      <c r="K471" s="1135"/>
      <c r="L471" s="916"/>
    </row>
    <row r="472" spans="1:12" s="103" customFormat="1" ht="15.75" hidden="1" customHeight="1" outlineLevel="1">
      <c r="A472" s="916"/>
      <c r="B472" s="1123">
        <v>154</v>
      </c>
      <c r="C472" s="1127"/>
      <c r="D472" s="1125"/>
      <c r="E472" s="1125" t="s">
        <v>18</v>
      </c>
      <c r="F472" s="1130" t="str">
        <f>VLOOKUP(E472,$N$13:$O$17,2,0)</f>
        <v>-</v>
      </c>
      <c r="G472" s="92"/>
      <c r="H472" s="90"/>
      <c r="I472" s="1125"/>
      <c r="J472" s="1133"/>
      <c r="K472" s="1133"/>
      <c r="L472" s="916"/>
    </row>
    <row r="473" spans="1:12" s="103" customFormat="1" ht="15.75" hidden="1" customHeight="1" outlineLevel="1">
      <c r="A473" s="916"/>
      <c r="B473" s="1123"/>
      <c r="C473" s="1127"/>
      <c r="D473" s="1125"/>
      <c r="E473" s="1125"/>
      <c r="F473" s="1130"/>
      <c r="G473" s="95"/>
      <c r="H473" s="90"/>
      <c r="I473" s="1125"/>
      <c r="J473" s="1134"/>
      <c r="K473" s="1134"/>
      <c r="L473" s="916"/>
    </row>
    <row r="474" spans="1:12" s="103" customFormat="1" ht="15.75" hidden="1" customHeight="1" outlineLevel="1">
      <c r="A474" s="916"/>
      <c r="B474" s="1124"/>
      <c r="C474" s="1128"/>
      <c r="D474" s="1126"/>
      <c r="E474" s="1126"/>
      <c r="F474" s="1132"/>
      <c r="G474" s="100"/>
      <c r="H474" s="98"/>
      <c r="I474" s="1126"/>
      <c r="J474" s="1135"/>
      <c r="K474" s="1135"/>
      <c r="L474" s="916"/>
    </row>
    <row r="475" spans="1:12" s="103" customFormat="1" ht="15.75" hidden="1" customHeight="1" outlineLevel="1">
      <c r="A475" s="916"/>
      <c r="B475" s="1123">
        <v>155</v>
      </c>
      <c r="C475" s="1127"/>
      <c r="D475" s="1125"/>
      <c r="E475" s="1125" t="s">
        <v>18</v>
      </c>
      <c r="F475" s="1130" t="str">
        <f>VLOOKUP(E475,$N$13:$O$17,2,0)</f>
        <v>-</v>
      </c>
      <c r="G475" s="92"/>
      <c r="H475" s="90"/>
      <c r="I475" s="1125"/>
      <c r="J475" s="1133"/>
      <c r="K475" s="1133"/>
      <c r="L475" s="916"/>
    </row>
    <row r="476" spans="1:12" s="103" customFormat="1" ht="15.75" hidden="1" customHeight="1" outlineLevel="1">
      <c r="A476" s="916"/>
      <c r="B476" s="1123"/>
      <c r="C476" s="1127"/>
      <c r="D476" s="1125"/>
      <c r="E476" s="1125"/>
      <c r="F476" s="1130"/>
      <c r="G476" s="95"/>
      <c r="H476" s="90"/>
      <c r="I476" s="1125"/>
      <c r="J476" s="1134"/>
      <c r="K476" s="1134"/>
      <c r="L476" s="916"/>
    </row>
    <row r="477" spans="1:12" s="103" customFormat="1" ht="15.75" hidden="1" customHeight="1" outlineLevel="1">
      <c r="A477" s="916"/>
      <c r="B477" s="1124"/>
      <c r="C477" s="1128"/>
      <c r="D477" s="1126"/>
      <c r="E477" s="1126"/>
      <c r="F477" s="1132"/>
      <c r="G477" s="100"/>
      <c r="H477" s="98"/>
      <c r="I477" s="1126"/>
      <c r="J477" s="1135"/>
      <c r="K477" s="1135"/>
      <c r="L477" s="916"/>
    </row>
    <row r="478" spans="1:12" s="103" customFormat="1" ht="15.75" hidden="1" customHeight="1" outlineLevel="1">
      <c r="A478" s="916"/>
      <c r="B478" s="1123">
        <v>156</v>
      </c>
      <c r="C478" s="1127"/>
      <c r="D478" s="1125"/>
      <c r="E478" s="1125" t="s">
        <v>18</v>
      </c>
      <c r="F478" s="1130" t="str">
        <f>VLOOKUP(E478,$N$13:$O$17,2,0)</f>
        <v>-</v>
      </c>
      <c r="G478" s="92"/>
      <c r="H478" s="90"/>
      <c r="I478" s="1125"/>
      <c r="J478" s="1133"/>
      <c r="K478" s="1133"/>
      <c r="L478" s="916"/>
    </row>
    <row r="479" spans="1:12" s="103" customFormat="1" ht="15.75" hidden="1" customHeight="1" outlineLevel="1">
      <c r="A479" s="916"/>
      <c r="B479" s="1123"/>
      <c r="C479" s="1127"/>
      <c r="D479" s="1125"/>
      <c r="E479" s="1125"/>
      <c r="F479" s="1130"/>
      <c r="G479" s="95"/>
      <c r="H479" s="90"/>
      <c r="I479" s="1125"/>
      <c r="J479" s="1134"/>
      <c r="K479" s="1134"/>
      <c r="L479" s="916"/>
    </row>
    <row r="480" spans="1:12" s="103" customFormat="1" ht="15.75" hidden="1" customHeight="1" outlineLevel="1">
      <c r="A480" s="916"/>
      <c r="B480" s="1124"/>
      <c r="C480" s="1128"/>
      <c r="D480" s="1126"/>
      <c r="E480" s="1126"/>
      <c r="F480" s="1132"/>
      <c r="G480" s="100"/>
      <c r="H480" s="98"/>
      <c r="I480" s="1126"/>
      <c r="J480" s="1135"/>
      <c r="K480" s="1135"/>
      <c r="L480" s="916"/>
    </row>
    <row r="481" spans="1:12" s="103" customFormat="1" ht="15.75" hidden="1" customHeight="1" outlineLevel="1">
      <c r="A481" s="916"/>
      <c r="B481" s="1123">
        <v>157</v>
      </c>
      <c r="C481" s="1127"/>
      <c r="D481" s="1125"/>
      <c r="E481" s="1125" t="s">
        <v>18</v>
      </c>
      <c r="F481" s="1130" t="str">
        <f>VLOOKUP(E481,$N$13:$O$17,2,0)</f>
        <v>-</v>
      </c>
      <c r="G481" s="92"/>
      <c r="H481" s="90"/>
      <c r="I481" s="1125"/>
      <c r="J481" s="1133"/>
      <c r="K481" s="1133"/>
      <c r="L481" s="916"/>
    </row>
    <row r="482" spans="1:12" s="103" customFormat="1" ht="15.75" hidden="1" customHeight="1" outlineLevel="1">
      <c r="A482" s="916"/>
      <c r="B482" s="1123"/>
      <c r="C482" s="1127"/>
      <c r="D482" s="1125"/>
      <c r="E482" s="1125"/>
      <c r="F482" s="1130"/>
      <c r="G482" s="95"/>
      <c r="H482" s="90"/>
      <c r="I482" s="1125"/>
      <c r="J482" s="1134"/>
      <c r="K482" s="1134"/>
      <c r="L482" s="916"/>
    </row>
    <row r="483" spans="1:12" s="103" customFormat="1" ht="15.75" hidden="1" customHeight="1" outlineLevel="1">
      <c r="A483" s="916"/>
      <c r="B483" s="1124"/>
      <c r="C483" s="1128"/>
      <c r="D483" s="1126"/>
      <c r="E483" s="1126"/>
      <c r="F483" s="1132"/>
      <c r="G483" s="100"/>
      <c r="H483" s="98"/>
      <c r="I483" s="1126"/>
      <c r="J483" s="1135"/>
      <c r="K483" s="1135"/>
      <c r="L483" s="916"/>
    </row>
    <row r="484" spans="1:12" s="103" customFormat="1" ht="15.75" hidden="1" customHeight="1" outlineLevel="1">
      <c r="A484" s="916"/>
      <c r="B484" s="1123">
        <v>158</v>
      </c>
      <c r="C484" s="1127"/>
      <c r="D484" s="1125"/>
      <c r="E484" s="1125" t="s">
        <v>18</v>
      </c>
      <c r="F484" s="1130" t="str">
        <f>VLOOKUP(E484,$N$13:$O$17,2,0)</f>
        <v>-</v>
      </c>
      <c r="G484" s="92"/>
      <c r="H484" s="90"/>
      <c r="I484" s="1125"/>
      <c r="J484" s="1133"/>
      <c r="K484" s="1133"/>
      <c r="L484" s="916"/>
    </row>
    <row r="485" spans="1:12" s="103" customFormat="1" ht="15.75" hidden="1" customHeight="1" outlineLevel="1">
      <c r="A485" s="916"/>
      <c r="B485" s="1123"/>
      <c r="C485" s="1127"/>
      <c r="D485" s="1125"/>
      <c r="E485" s="1125"/>
      <c r="F485" s="1130"/>
      <c r="G485" s="95"/>
      <c r="H485" s="90"/>
      <c r="I485" s="1125"/>
      <c r="J485" s="1134"/>
      <c r="K485" s="1134"/>
      <c r="L485" s="916"/>
    </row>
    <row r="486" spans="1:12" s="103" customFormat="1" ht="15.75" hidden="1" customHeight="1" outlineLevel="1">
      <c r="A486" s="916"/>
      <c r="B486" s="1124"/>
      <c r="C486" s="1128"/>
      <c r="D486" s="1126"/>
      <c r="E486" s="1126"/>
      <c r="F486" s="1132"/>
      <c r="G486" s="100"/>
      <c r="H486" s="98"/>
      <c r="I486" s="1126"/>
      <c r="J486" s="1135"/>
      <c r="K486" s="1135"/>
      <c r="L486" s="916"/>
    </row>
    <row r="487" spans="1:12" s="103" customFormat="1" ht="15.75" hidden="1" customHeight="1" outlineLevel="1">
      <c r="A487" s="916"/>
      <c r="B487" s="1123">
        <v>159</v>
      </c>
      <c r="C487" s="1127"/>
      <c r="D487" s="1125"/>
      <c r="E487" s="1125" t="s">
        <v>18</v>
      </c>
      <c r="F487" s="1130" t="str">
        <f>VLOOKUP(E487,$N$13:$O$17,2,0)</f>
        <v>-</v>
      </c>
      <c r="G487" s="92"/>
      <c r="H487" s="90"/>
      <c r="I487" s="1125"/>
      <c r="J487" s="1133"/>
      <c r="K487" s="1133"/>
      <c r="L487" s="916"/>
    </row>
    <row r="488" spans="1:12" s="103" customFormat="1" ht="15.75" hidden="1" customHeight="1" outlineLevel="1">
      <c r="A488" s="916"/>
      <c r="B488" s="1123"/>
      <c r="C488" s="1127"/>
      <c r="D488" s="1125"/>
      <c r="E488" s="1125"/>
      <c r="F488" s="1130"/>
      <c r="G488" s="95"/>
      <c r="H488" s="90"/>
      <c r="I488" s="1125"/>
      <c r="J488" s="1134"/>
      <c r="K488" s="1134"/>
      <c r="L488" s="916"/>
    </row>
    <row r="489" spans="1:12" s="103" customFormat="1" ht="15.75" hidden="1" customHeight="1" outlineLevel="1">
      <c r="A489" s="916"/>
      <c r="B489" s="1124"/>
      <c r="C489" s="1128"/>
      <c r="D489" s="1126"/>
      <c r="E489" s="1126"/>
      <c r="F489" s="1132"/>
      <c r="G489" s="100"/>
      <c r="H489" s="98"/>
      <c r="I489" s="1126"/>
      <c r="J489" s="1135"/>
      <c r="K489" s="1135"/>
      <c r="L489" s="916"/>
    </row>
    <row r="490" spans="1:12" s="103" customFormat="1" ht="15.75" hidden="1" customHeight="1" outlineLevel="1">
      <c r="A490" s="916"/>
      <c r="B490" s="1123">
        <v>160</v>
      </c>
      <c r="C490" s="1127"/>
      <c r="D490" s="1125"/>
      <c r="E490" s="1125" t="s">
        <v>18</v>
      </c>
      <c r="F490" s="1130" t="str">
        <f>VLOOKUP(E490,$N$13:$O$17,2,0)</f>
        <v>-</v>
      </c>
      <c r="G490" s="92"/>
      <c r="H490" s="90"/>
      <c r="I490" s="1125"/>
      <c r="J490" s="1133"/>
      <c r="K490" s="1133"/>
      <c r="L490" s="916"/>
    </row>
    <row r="491" spans="1:12" s="103" customFormat="1" ht="15.75" hidden="1" customHeight="1" outlineLevel="1">
      <c r="A491" s="916"/>
      <c r="B491" s="1123"/>
      <c r="C491" s="1127"/>
      <c r="D491" s="1125"/>
      <c r="E491" s="1125"/>
      <c r="F491" s="1130"/>
      <c r="G491" s="95"/>
      <c r="H491" s="90"/>
      <c r="I491" s="1125"/>
      <c r="J491" s="1134"/>
      <c r="K491" s="1134"/>
      <c r="L491" s="916"/>
    </row>
    <row r="492" spans="1:12" s="103" customFormat="1" ht="15.75" hidden="1" customHeight="1" outlineLevel="1">
      <c r="A492" s="916"/>
      <c r="B492" s="1124"/>
      <c r="C492" s="1128"/>
      <c r="D492" s="1126"/>
      <c r="E492" s="1126"/>
      <c r="F492" s="1132"/>
      <c r="G492" s="100"/>
      <c r="H492" s="98"/>
      <c r="I492" s="1126"/>
      <c r="J492" s="1135"/>
      <c r="K492" s="1135"/>
      <c r="L492" s="916"/>
    </row>
    <row r="493" spans="1:12" s="103" customFormat="1" ht="15.75" hidden="1" customHeight="1" outlineLevel="1">
      <c r="A493" s="916"/>
      <c r="B493" s="1123">
        <v>161</v>
      </c>
      <c r="C493" s="1127"/>
      <c r="D493" s="1125"/>
      <c r="E493" s="1125" t="s">
        <v>18</v>
      </c>
      <c r="F493" s="1130" t="str">
        <f>VLOOKUP(E493,$N$13:$O$17,2,0)</f>
        <v>-</v>
      </c>
      <c r="G493" s="92"/>
      <c r="H493" s="90"/>
      <c r="I493" s="1125"/>
      <c r="J493" s="1133"/>
      <c r="K493" s="1133"/>
      <c r="L493" s="916"/>
    </row>
    <row r="494" spans="1:12" s="103" customFormat="1" ht="15.75" hidden="1" customHeight="1" outlineLevel="1">
      <c r="A494" s="916"/>
      <c r="B494" s="1123"/>
      <c r="C494" s="1127"/>
      <c r="D494" s="1125"/>
      <c r="E494" s="1125"/>
      <c r="F494" s="1130"/>
      <c r="G494" s="95"/>
      <c r="H494" s="90"/>
      <c r="I494" s="1125"/>
      <c r="J494" s="1134"/>
      <c r="K494" s="1134"/>
      <c r="L494" s="916"/>
    </row>
    <row r="495" spans="1:12" s="103" customFormat="1" ht="15.75" hidden="1" customHeight="1" outlineLevel="1">
      <c r="A495" s="916"/>
      <c r="B495" s="1124"/>
      <c r="C495" s="1128"/>
      <c r="D495" s="1126"/>
      <c r="E495" s="1126"/>
      <c r="F495" s="1132"/>
      <c r="G495" s="100"/>
      <c r="H495" s="98"/>
      <c r="I495" s="1126"/>
      <c r="J495" s="1135"/>
      <c r="K495" s="1135"/>
      <c r="L495" s="916"/>
    </row>
    <row r="496" spans="1:12" s="103" customFormat="1" ht="15.75" hidden="1" customHeight="1" outlineLevel="1">
      <c r="A496" s="916"/>
      <c r="B496" s="1123">
        <v>162</v>
      </c>
      <c r="C496" s="1127"/>
      <c r="D496" s="1125"/>
      <c r="E496" s="1125" t="s">
        <v>18</v>
      </c>
      <c r="F496" s="1130" t="str">
        <f>VLOOKUP(E496,$N$13:$O$17,2,0)</f>
        <v>-</v>
      </c>
      <c r="G496" s="92"/>
      <c r="H496" s="90"/>
      <c r="I496" s="1125"/>
      <c r="J496" s="1133"/>
      <c r="K496" s="1133"/>
      <c r="L496" s="916"/>
    </row>
    <row r="497" spans="1:12" s="103" customFormat="1" ht="15.75" hidden="1" customHeight="1" outlineLevel="1">
      <c r="A497" s="916"/>
      <c r="B497" s="1123"/>
      <c r="C497" s="1127"/>
      <c r="D497" s="1125"/>
      <c r="E497" s="1125"/>
      <c r="F497" s="1130"/>
      <c r="G497" s="95"/>
      <c r="H497" s="90"/>
      <c r="I497" s="1125"/>
      <c r="J497" s="1134"/>
      <c r="K497" s="1134"/>
      <c r="L497" s="916"/>
    </row>
    <row r="498" spans="1:12" s="103" customFormat="1" ht="15.75" hidden="1" customHeight="1" outlineLevel="1">
      <c r="A498" s="916"/>
      <c r="B498" s="1124"/>
      <c r="C498" s="1128"/>
      <c r="D498" s="1126"/>
      <c r="E498" s="1126"/>
      <c r="F498" s="1132"/>
      <c r="G498" s="100"/>
      <c r="H498" s="98"/>
      <c r="I498" s="1126"/>
      <c r="J498" s="1135"/>
      <c r="K498" s="1135"/>
      <c r="L498" s="916"/>
    </row>
    <row r="499" spans="1:12" s="103" customFormat="1" ht="15.75" hidden="1" customHeight="1" outlineLevel="1">
      <c r="A499" s="916"/>
      <c r="B499" s="1123">
        <v>163</v>
      </c>
      <c r="C499" s="1127"/>
      <c r="D499" s="1125"/>
      <c r="E499" s="1125" t="s">
        <v>18</v>
      </c>
      <c r="F499" s="1130" t="str">
        <f>VLOOKUP(E499,$N$13:$O$17,2,0)</f>
        <v>-</v>
      </c>
      <c r="G499" s="92"/>
      <c r="H499" s="90"/>
      <c r="I499" s="1125"/>
      <c r="J499" s="1133"/>
      <c r="K499" s="1133"/>
      <c r="L499" s="916"/>
    </row>
    <row r="500" spans="1:12" s="103" customFormat="1" ht="15.75" hidden="1" customHeight="1" outlineLevel="1">
      <c r="A500" s="916"/>
      <c r="B500" s="1123"/>
      <c r="C500" s="1127"/>
      <c r="D500" s="1125"/>
      <c r="E500" s="1125"/>
      <c r="F500" s="1130"/>
      <c r="G500" s="95"/>
      <c r="H500" s="90"/>
      <c r="I500" s="1125"/>
      <c r="J500" s="1134"/>
      <c r="K500" s="1134"/>
      <c r="L500" s="916"/>
    </row>
    <row r="501" spans="1:12" s="103" customFormat="1" ht="15.75" hidden="1" customHeight="1" outlineLevel="1">
      <c r="A501" s="916"/>
      <c r="B501" s="1124"/>
      <c r="C501" s="1128"/>
      <c r="D501" s="1126"/>
      <c r="E501" s="1126"/>
      <c r="F501" s="1132"/>
      <c r="G501" s="100"/>
      <c r="H501" s="98"/>
      <c r="I501" s="1126"/>
      <c r="J501" s="1135"/>
      <c r="K501" s="1135"/>
      <c r="L501" s="916"/>
    </row>
    <row r="502" spans="1:12" s="103" customFormat="1" ht="15.75" hidden="1" customHeight="1" outlineLevel="1">
      <c r="A502" s="916"/>
      <c r="B502" s="1123">
        <v>164</v>
      </c>
      <c r="C502" s="1127"/>
      <c r="D502" s="1125"/>
      <c r="E502" s="1125" t="s">
        <v>18</v>
      </c>
      <c r="F502" s="1130" t="str">
        <f>VLOOKUP(E502,$N$13:$O$17,2,0)</f>
        <v>-</v>
      </c>
      <c r="G502" s="92"/>
      <c r="H502" s="90"/>
      <c r="I502" s="1125"/>
      <c r="J502" s="1133"/>
      <c r="K502" s="1133"/>
      <c r="L502" s="916"/>
    </row>
    <row r="503" spans="1:12" s="103" customFormat="1" ht="15.75" hidden="1" customHeight="1" outlineLevel="1">
      <c r="A503" s="916"/>
      <c r="B503" s="1123"/>
      <c r="C503" s="1127"/>
      <c r="D503" s="1125"/>
      <c r="E503" s="1125"/>
      <c r="F503" s="1130"/>
      <c r="G503" s="95"/>
      <c r="H503" s="90"/>
      <c r="I503" s="1125"/>
      <c r="J503" s="1134"/>
      <c r="K503" s="1134"/>
      <c r="L503" s="916"/>
    </row>
    <row r="504" spans="1:12" s="103" customFormat="1" ht="15.75" hidden="1" customHeight="1" outlineLevel="1">
      <c r="A504" s="916"/>
      <c r="B504" s="1124"/>
      <c r="C504" s="1128"/>
      <c r="D504" s="1126"/>
      <c r="E504" s="1126"/>
      <c r="F504" s="1132"/>
      <c r="G504" s="100"/>
      <c r="H504" s="98"/>
      <c r="I504" s="1126"/>
      <c r="J504" s="1135"/>
      <c r="K504" s="1135"/>
      <c r="L504" s="916"/>
    </row>
    <row r="505" spans="1:12" s="103" customFormat="1" ht="15.75" hidden="1" customHeight="1" outlineLevel="1">
      <c r="A505" s="916"/>
      <c r="B505" s="1123">
        <v>165</v>
      </c>
      <c r="C505" s="1127"/>
      <c r="D505" s="1125"/>
      <c r="E505" s="1125" t="s">
        <v>18</v>
      </c>
      <c r="F505" s="1130" t="str">
        <f>VLOOKUP(E505,$N$13:$O$17,2,0)</f>
        <v>-</v>
      </c>
      <c r="G505" s="92"/>
      <c r="H505" s="90"/>
      <c r="I505" s="1125"/>
      <c r="J505" s="1133"/>
      <c r="K505" s="1133"/>
      <c r="L505" s="916"/>
    </row>
    <row r="506" spans="1:12" s="103" customFormat="1" ht="15.75" hidden="1" customHeight="1" outlineLevel="1">
      <c r="A506" s="916"/>
      <c r="B506" s="1123"/>
      <c r="C506" s="1127"/>
      <c r="D506" s="1125"/>
      <c r="E506" s="1125"/>
      <c r="F506" s="1130"/>
      <c r="G506" s="95"/>
      <c r="H506" s="90"/>
      <c r="I506" s="1125"/>
      <c r="J506" s="1134"/>
      <c r="K506" s="1134"/>
      <c r="L506" s="916"/>
    </row>
    <row r="507" spans="1:12" s="103" customFormat="1" ht="15.75" hidden="1" customHeight="1" outlineLevel="1">
      <c r="A507" s="916"/>
      <c r="B507" s="1124"/>
      <c r="C507" s="1128"/>
      <c r="D507" s="1126"/>
      <c r="E507" s="1126"/>
      <c r="F507" s="1132"/>
      <c r="G507" s="100"/>
      <c r="H507" s="98"/>
      <c r="I507" s="1126"/>
      <c r="J507" s="1135"/>
      <c r="K507" s="1135"/>
      <c r="L507" s="916"/>
    </row>
    <row r="508" spans="1:12" s="103" customFormat="1" ht="15.75" hidden="1" customHeight="1" outlineLevel="1">
      <c r="A508" s="916"/>
      <c r="B508" s="1123">
        <v>166</v>
      </c>
      <c r="C508" s="1127"/>
      <c r="D508" s="1125"/>
      <c r="E508" s="1125" t="s">
        <v>18</v>
      </c>
      <c r="F508" s="1130" t="str">
        <f>VLOOKUP(E508,$N$13:$O$17,2,0)</f>
        <v>-</v>
      </c>
      <c r="G508" s="92"/>
      <c r="H508" s="90"/>
      <c r="I508" s="1125"/>
      <c r="J508" s="1133"/>
      <c r="K508" s="1133"/>
      <c r="L508" s="916"/>
    </row>
    <row r="509" spans="1:12" s="103" customFormat="1" ht="15.75" hidden="1" customHeight="1" outlineLevel="1">
      <c r="A509" s="916"/>
      <c r="B509" s="1123"/>
      <c r="C509" s="1127"/>
      <c r="D509" s="1125"/>
      <c r="E509" s="1125"/>
      <c r="F509" s="1130"/>
      <c r="G509" s="95"/>
      <c r="H509" s="90"/>
      <c r="I509" s="1125"/>
      <c r="J509" s="1134"/>
      <c r="K509" s="1134"/>
      <c r="L509" s="916"/>
    </row>
    <row r="510" spans="1:12" s="103" customFormat="1" ht="15.75" hidden="1" customHeight="1" outlineLevel="1">
      <c r="A510" s="916"/>
      <c r="B510" s="1124"/>
      <c r="C510" s="1128"/>
      <c r="D510" s="1126"/>
      <c r="E510" s="1126"/>
      <c r="F510" s="1132"/>
      <c r="G510" s="100"/>
      <c r="H510" s="98"/>
      <c r="I510" s="1126"/>
      <c r="J510" s="1135"/>
      <c r="K510" s="1135"/>
      <c r="L510" s="916"/>
    </row>
    <row r="511" spans="1:12" s="103" customFormat="1" ht="15.75" hidden="1" customHeight="1" outlineLevel="1">
      <c r="A511" s="916"/>
      <c r="B511" s="1123">
        <v>167</v>
      </c>
      <c r="C511" s="1127"/>
      <c r="D511" s="1125"/>
      <c r="E511" s="1125" t="s">
        <v>18</v>
      </c>
      <c r="F511" s="1130" t="str">
        <f>VLOOKUP(E511,$N$13:$O$17,2,0)</f>
        <v>-</v>
      </c>
      <c r="G511" s="92"/>
      <c r="H511" s="90"/>
      <c r="I511" s="1125"/>
      <c r="J511" s="1133"/>
      <c r="K511" s="1133"/>
      <c r="L511" s="916"/>
    </row>
    <row r="512" spans="1:12" s="103" customFormat="1" ht="15.75" hidden="1" customHeight="1" outlineLevel="1">
      <c r="A512" s="916"/>
      <c r="B512" s="1123"/>
      <c r="C512" s="1127"/>
      <c r="D512" s="1125"/>
      <c r="E512" s="1125"/>
      <c r="F512" s="1130"/>
      <c r="G512" s="95"/>
      <c r="H512" s="90"/>
      <c r="I512" s="1125"/>
      <c r="J512" s="1134"/>
      <c r="K512" s="1134"/>
      <c r="L512" s="916"/>
    </row>
    <row r="513" spans="1:12" s="103" customFormat="1" ht="15.75" hidden="1" customHeight="1" outlineLevel="1">
      <c r="A513" s="916"/>
      <c r="B513" s="1124"/>
      <c r="C513" s="1128"/>
      <c r="D513" s="1126"/>
      <c r="E513" s="1126"/>
      <c r="F513" s="1132"/>
      <c r="G513" s="100"/>
      <c r="H513" s="98"/>
      <c r="I513" s="1126"/>
      <c r="J513" s="1135"/>
      <c r="K513" s="1135"/>
      <c r="L513" s="916"/>
    </row>
    <row r="514" spans="1:12" s="103" customFormat="1" ht="15.75" hidden="1" customHeight="1" outlineLevel="1">
      <c r="A514" s="916"/>
      <c r="B514" s="1123">
        <v>168</v>
      </c>
      <c r="C514" s="1127"/>
      <c r="D514" s="1125"/>
      <c r="E514" s="1125" t="s">
        <v>18</v>
      </c>
      <c r="F514" s="1130" t="str">
        <f>VLOOKUP(E514,$N$13:$O$17,2,0)</f>
        <v>-</v>
      </c>
      <c r="G514" s="92"/>
      <c r="H514" s="90"/>
      <c r="I514" s="1125"/>
      <c r="J514" s="1133"/>
      <c r="K514" s="1133"/>
      <c r="L514" s="916"/>
    </row>
    <row r="515" spans="1:12" s="103" customFormat="1" ht="15.75" hidden="1" customHeight="1" outlineLevel="1">
      <c r="A515" s="916"/>
      <c r="B515" s="1123"/>
      <c r="C515" s="1127"/>
      <c r="D515" s="1125"/>
      <c r="E515" s="1125"/>
      <c r="F515" s="1130"/>
      <c r="G515" s="95"/>
      <c r="H515" s="90"/>
      <c r="I515" s="1125"/>
      <c r="J515" s="1134"/>
      <c r="K515" s="1134"/>
      <c r="L515" s="916"/>
    </row>
    <row r="516" spans="1:12" s="103" customFormat="1" ht="15.75" hidden="1" customHeight="1" outlineLevel="1">
      <c r="A516" s="916"/>
      <c r="B516" s="1124"/>
      <c r="C516" s="1128"/>
      <c r="D516" s="1126"/>
      <c r="E516" s="1126"/>
      <c r="F516" s="1132"/>
      <c r="G516" s="100"/>
      <c r="H516" s="98"/>
      <c r="I516" s="1126"/>
      <c r="J516" s="1135"/>
      <c r="K516" s="1135"/>
      <c r="L516" s="916"/>
    </row>
    <row r="517" spans="1:12" s="103" customFormat="1" ht="15.75" hidden="1" customHeight="1" outlineLevel="1">
      <c r="A517" s="916"/>
      <c r="B517" s="1123">
        <v>169</v>
      </c>
      <c r="C517" s="1127"/>
      <c r="D517" s="1125"/>
      <c r="E517" s="1125" t="s">
        <v>18</v>
      </c>
      <c r="F517" s="1130" t="str">
        <f>VLOOKUP(E517,$N$13:$O$17,2,0)</f>
        <v>-</v>
      </c>
      <c r="G517" s="92"/>
      <c r="H517" s="90"/>
      <c r="I517" s="1125"/>
      <c r="J517" s="1133"/>
      <c r="K517" s="1133"/>
      <c r="L517" s="916"/>
    </row>
    <row r="518" spans="1:12" s="103" customFormat="1" ht="15.75" hidden="1" customHeight="1" outlineLevel="1">
      <c r="A518" s="916"/>
      <c r="B518" s="1123"/>
      <c r="C518" s="1127"/>
      <c r="D518" s="1125"/>
      <c r="E518" s="1125"/>
      <c r="F518" s="1130"/>
      <c r="G518" s="95"/>
      <c r="H518" s="90"/>
      <c r="I518" s="1125"/>
      <c r="J518" s="1134"/>
      <c r="K518" s="1134"/>
      <c r="L518" s="916"/>
    </row>
    <row r="519" spans="1:12" s="103" customFormat="1" ht="15.75" hidden="1" customHeight="1" outlineLevel="1">
      <c r="A519" s="916"/>
      <c r="B519" s="1124"/>
      <c r="C519" s="1128"/>
      <c r="D519" s="1126"/>
      <c r="E519" s="1126"/>
      <c r="F519" s="1132"/>
      <c r="G519" s="100"/>
      <c r="H519" s="98"/>
      <c r="I519" s="1126"/>
      <c r="J519" s="1135"/>
      <c r="K519" s="1135"/>
      <c r="L519" s="916"/>
    </row>
    <row r="520" spans="1:12" s="103" customFormat="1" ht="15.75" hidden="1" customHeight="1" outlineLevel="1">
      <c r="A520" s="916"/>
      <c r="B520" s="1123">
        <v>170</v>
      </c>
      <c r="C520" s="1127"/>
      <c r="D520" s="1125"/>
      <c r="E520" s="1125" t="s">
        <v>18</v>
      </c>
      <c r="F520" s="1130" t="str">
        <f>VLOOKUP(E520,$N$13:$O$17,2,0)</f>
        <v>-</v>
      </c>
      <c r="G520" s="92"/>
      <c r="H520" s="90"/>
      <c r="I520" s="1125"/>
      <c r="J520" s="1133"/>
      <c r="K520" s="1133"/>
      <c r="L520" s="916"/>
    </row>
    <row r="521" spans="1:12" s="103" customFormat="1" ht="15.75" hidden="1" customHeight="1" outlineLevel="1">
      <c r="A521" s="916"/>
      <c r="B521" s="1123"/>
      <c r="C521" s="1127"/>
      <c r="D521" s="1125"/>
      <c r="E521" s="1125"/>
      <c r="F521" s="1130"/>
      <c r="G521" s="95"/>
      <c r="H521" s="90"/>
      <c r="I521" s="1125"/>
      <c r="J521" s="1134"/>
      <c r="K521" s="1134"/>
      <c r="L521" s="916"/>
    </row>
    <row r="522" spans="1:12" s="103" customFormat="1" ht="15.75" hidden="1" customHeight="1" outlineLevel="1">
      <c r="A522" s="916"/>
      <c r="B522" s="1124"/>
      <c r="C522" s="1128"/>
      <c r="D522" s="1126"/>
      <c r="E522" s="1126"/>
      <c r="F522" s="1132"/>
      <c r="G522" s="100"/>
      <c r="H522" s="98"/>
      <c r="I522" s="1126"/>
      <c r="J522" s="1135"/>
      <c r="K522" s="1135"/>
      <c r="L522" s="916"/>
    </row>
    <row r="523" spans="1:12" s="103" customFormat="1" ht="15.75" hidden="1" customHeight="1" outlineLevel="1">
      <c r="A523" s="916"/>
      <c r="B523" s="1123">
        <v>171</v>
      </c>
      <c r="C523" s="1127"/>
      <c r="D523" s="1125"/>
      <c r="E523" s="1125" t="s">
        <v>18</v>
      </c>
      <c r="F523" s="1130" t="str">
        <f>VLOOKUP(E523,$N$13:$O$17,2,0)</f>
        <v>-</v>
      </c>
      <c r="G523" s="92"/>
      <c r="H523" s="90"/>
      <c r="I523" s="1125"/>
      <c r="J523" s="1133"/>
      <c r="K523" s="1133"/>
      <c r="L523" s="916"/>
    </row>
    <row r="524" spans="1:12" s="103" customFormat="1" ht="15.75" hidden="1" customHeight="1" outlineLevel="1">
      <c r="A524" s="916"/>
      <c r="B524" s="1123"/>
      <c r="C524" s="1127"/>
      <c r="D524" s="1125"/>
      <c r="E524" s="1125"/>
      <c r="F524" s="1130"/>
      <c r="G524" s="95"/>
      <c r="H524" s="90"/>
      <c r="I524" s="1125"/>
      <c r="J524" s="1134"/>
      <c r="K524" s="1134"/>
      <c r="L524" s="916"/>
    </row>
    <row r="525" spans="1:12" s="103" customFormat="1" ht="15.75" hidden="1" customHeight="1" outlineLevel="1">
      <c r="A525" s="916"/>
      <c r="B525" s="1124"/>
      <c r="C525" s="1128"/>
      <c r="D525" s="1126"/>
      <c r="E525" s="1126"/>
      <c r="F525" s="1132"/>
      <c r="G525" s="100"/>
      <c r="H525" s="98"/>
      <c r="I525" s="1126"/>
      <c r="J525" s="1135"/>
      <c r="K525" s="1135"/>
      <c r="L525" s="916"/>
    </row>
    <row r="526" spans="1:12" s="103" customFormat="1" ht="15.75" hidden="1" customHeight="1" outlineLevel="1">
      <c r="A526" s="916"/>
      <c r="B526" s="1123">
        <v>172</v>
      </c>
      <c r="C526" s="1127"/>
      <c r="D526" s="1125"/>
      <c r="E526" s="1125" t="s">
        <v>18</v>
      </c>
      <c r="F526" s="1130" t="str">
        <f>VLOOKUP(E526,$N$13:$O$17,2,0)</f>
        <v>-</v>
      </c>
      <c r="G526" s="92"/>
      <c r="H526" s="90"/>
      <c r="I526" s="1125"/>
      <c r="J526" s="1133"/>
      <c r="K526" s="1133"/>
      <c r="L526" s="916"/>
    </row>
    <row r="527" spans="1:12" s="103" customFormat="1" ht="15.75" hidden="1" customHeight="1" outlineLevel="1">
      <c r="A527" s="916"/>
      <c r="B527" s="1123"/>
      <c r="C527" s="1127"/>
      <c r="D527" s="1125"/>
      <c r="E527" s="1125"/>
      <c r="F527" s="1130"/>
      <c r="G527" s="95"/>
      <c r="H527" s="90"/>
      <c r="I527" s="1125"/>
      <c r="J527" s="1134"/>
      <c r="K527" s="1134"/>
      <c r="L527" s="916"/>
    </row>
    <row r="528" spans="1:12" s="103" customFormat="1" ht="15.75" hidden="1" customHeight="1" outlineLevel="1">
      <c r="A528" s="916"/>
      <c r="B528" s="1124"/>
      <c r="C528" s="1128"/>
      <c r="D528" s="1126"/>
      <c r="E528" s="1126"/>
      <c r="F528" s="1132"/>
      <c r="G528" s="100"/>
      <c r="H528" s="98"/>
      <c r="I528" s="1126"/>
      <c r="J528" s="1135"/>
      <c r="K528" s="1135"/>
      <c r="L528" s="916"/>
    </row>
    <row r="529" spans="1:12" s="103" customFormat="1" ht="15.75" hidden="1" customHeight="1" outlineLevel="1">
      <c r="A529" s="916"/>
      <c r="B529" s="1123">
        <v>173</v>
      </c>
      <c r="C529" s="1127"/>
      <c r="D529" s="1125"/>
      <c r="E529" s="1125" t="s">
        <v>18</v>
      </c>
      <c r="F529" s="1130" t="str">
        <f>VLOOKUP(E529,$N$13:$O$17,2,0)</f>
        <v>-</v>
      </c>
      <c r="G529" s="92"/>
      <c r="H529" s="90"/>
      <c r="I529" s="1125"/>
      <c r="J529" s="1133"/>
      <c r="K529" s="1133"/>
      <c r="L529" s="916"/>
    </row>
    <row r="530" spans="1:12" s="103" customFormat="1" ht="15.75" hidden="1" customHeight="1" outlineLevel="1">
      <c r="A530" s="916"/>
      <c r="B530" s="1123"/>
      <c r="C530" s="1127"/>
      <c r="D530" s="1125"/>
      <c r="E530" s="1125"/>
      <c r="F530" s="1130"/>
      <c r="G530" s="95"/>
      <c r="H530" s="90"/>
      <c r="I530" s="1125"/>
      <c r="J530" s="1134"/>
      <c r="K530" s="1134"/>
      <c r="L530" s="916"/>
    </row>
    <row r="531" spans="1:12" s="103" customFormat="1" ht="15.75" hidden="1" customHeight="1" outlineLevel="1">
      <c r="A531" s="916"/>
      <c r="B531" s="1124"/>
      <c r="C531" s="1128"/>
      <c r="D531" s="1126"/>
      <c r="E531" s="1126"/>
      <c r="F531" s="1132"/>
      <c r="G531" s="100"/>
      <c r="H531" s="98"/>
      <c r="I531" s="1126"/>
      <c r="J531" s="1135"/>
      <c r="K531" s="1135"/>
      <c r="L531" s="916"/>
    </row>
    <row r="532" spans="1:12" s="103" customFormat="1" ht="15.75" hidden="1" customHeight="1" outlineLevel="1">
      <c r="A532" s="916"/>
      <c r="B532" s="1123">
        <v>174</v>
      </c>
      <c r="C532" s="1127"/>
      <c r="D532" s="1125"/>
      <c r="E532" s="1125" t="s">
        <v>18</v>
      </c>
      <c r="F532" s="1130" t="str">
        <f>VLOOKUP(E532,$N$13:$O$17,2,0)</f>
        <v>-</v>
      </c>
      <c r="G532" s="92"/>
      <c r="H532" s="90"/>
      <c r="I532" s="1125"/>
      <c r="J532" s="1133"/>
      <c r="K532" s="1133"/>
      <c r="L532" s="916"/>
    </row>
    <row r="533" spans="1:12" s="103" customFormat="1" ht="15.75" hidden="1" customHeight="1" outlineLevel="1">
      <c r="A533" s="916"/>
      <c r="B533" s="1123"/>
      <c r="C533" s="1127"/>
      <c r="D533" s="1125"/>
      <c r="E533" s="1125"/>
      <c r="F533" s="1130"/>
      <c r="G533" s="95"/>
      <c r="H533" s="90"/>
      <c r="I533" s="1125"/>
      <c r="J533" s="1134"/>
      <c r="K533" s="1134"/>
      <c r="L533" s="916"/>
    </row>
    <row r="534" spans="1:12" s="103" customFormat="1" ht="15.75" hidden="1" customHeight="1" outlineLevel="1">
      <c r="A534" s="916"/>
      <c r="B534" s="1124"/>
      <c r="C534" s="1128"/>
      <c r="D534" s="1126"/>
      <c r="E534" s="1126"/>
      <c r="F534" s="1132"/>
      <c r="G534" s="100"/>
      <c r="H534" s="98"/>
      <c r="I534" s="1126"/>
      <c r="J534" s="1135"/>
      <c r="K534" s="1135"/>
      <c r="L534" s="916"/>
    </row>
    <row r="535" spans="1:12" s="103" customFormat="1" ht="15.75" hidden="1" customHeight="1" outlineLevel="1">
      <c r="A535" s="916"/>
      <c r="B535" s="1123">
        <v>175</v>
      </c>
      <c r="C535" s="1127"/>
      <c r="D535" s="1125"/>
      <c r="E535" s="1125" t="s">
        <v>18</v>
      </c>
      <c r="F535" s="1130" t="str">
        <f>VLOOKUP(E535,$N$13:$O$17,2,0)</f>
        <v>-</v>
      </c>
      <c r="G535" s="92"/>
      <c r="H535" s="90"/>
      <c r="I535" s="1125"/>
      <c r="J535" s="1133"/>
      <c r="K535" s="1133"/>
      <c r="L535" s="916"/>
    </row>
    <row r="536" spans="1:12" s="103" customFormat="1" ht="15.75" hidden="1" customHeight="1" outlineLevel="1">
      <c r="A536" s="916"/>
      <c r="B536" s="1123"/>
      <c r="C536" s="1127"/>
      <c r="D536" s="1125"/>
      <c r="E536" s="1125"/>
      <c r="F536" s="1130"/>
      <c r="G536" s="95"/>
      <c r="H536" s="90"/>
      <c r="I536" s="1125"/>
      <c r="J536" s="1134"/>
      <c r="K536" s="1134"/>
      <c r="L536" s="916"/>
    </row>
    <row r="537" spans="1:12" s="103" customFormat="1" ht="15.75" hidden="1" customHeight="1" outlineLevel="1">
      <c r="A537" s="916"/>
      <c r="B537" s="1124"/>
      <c r="C537" s="1128"/>
      <c r="D537" s="1126"/>
      <c r="E537" s="1126"/>
      <c r="F537" s="1132"/>
      <c r="G537" s="100"/>
      <c r="H537" s="98"/>
      <c r="I537" s="1126"/>
      <c r="J537" s="1135"/>
      <c r="K537" s="1135"/>
      <c r="L537" s="916"/>
    </row>
    <row r="538" spans="1:12" s="103" customFormat="1" ht="15.75" hidden="1" customHeight="1" outlineLevel="1">
      <c r="A538" s="916"/>
      <c r="B538" s="1123">
        <v>176</v>
      </c>
      <c r="C538" s="1127"/>
      <c r="D538" s="1125"/>
      <c r="E538" s="1125" t="s">
        <v>18</v>
      </c>
      <c r="F538" s="1130" t="str">
        <f>VLOOKUP(E538,$N$13:$O$17,2,0)</f>
        <v>-</v>
      </c>
      <c r="G538" s="92"/>
      <c r="H538" s="90"/>
      <c r="I538" s="1125"/>
      <c r="J538" s="1133"/>
      <c r="K538" s="1133"/>
      <c r="L538" s="916"/>
    </row>
    <row r="539" spans="1:12" s="103" customFormat="1" ht="15.75" hidden="1" customHeight="1" outlineLevel="1">
      <c r="A539" s="916"/>
      <c r="B539" s="1123"/>
      <c r="C539" s="1127"/>
      <c r="D539" s="1125"/>
      <c r="E539" s="1125"/>
      <c r="F539" s="1130"/>
      <c r="G539" s="95"/>
      <c r="H539" s="90"/>
      <c r="I539" s="1125"/>
      <c r="J539" s="1134"/>
      <c r="K539" s="1134"/>
      <c r="L539" s="916"/>
    </row>
    <row r="540" spans="1:12" s="103" customFormat="1" ht="15.75" hidden="1" customHeight="1" outlineLevel="1">
      <c r="A540" s="916"/>
      <c r="B540" s="1124"/>
      <c r="C540" s="1128"/>
      <c r="D540" s="1126"/>
      <c r="E540" s="1126"/>
      <c r="F540" s="1132"/>
      <c r="G540" s="100"/>
      <c r="H540" s="98"/>
      <c r="I540" s="1126"/>
      <c r="J540" s="1135"/>
      <c r="K540" s="1135"/>
      <c r="L540" s="916"/>
    </row>
    <row r="541" spans="1:12" s="103" customFormat="1" ht="15.75" hidden="1" customHeight="1" outlineLevel="1">
      <c r="A541" s="916"/>
      <c r="B541" s="1123">
        <v>177</v>
      </c>
      <c r="C541" s="1127"/>
      <c r="D541" s="1125"/>
      <c r="E541" s="1125" t="s">
        <v>18</v>
      </c>
      <c r="F541" s="1130" t="str">
        <f>VLOOKUP(E541,$N$13:$O$17,2,0)</f>
        <v>-</v>
      </c>
      <c r="G541" s="92"/>
      <c r="H541" s="90"/>
      <c r="I541" s="1125"/>
      <c r="J541" s="1133"/>
      <c r="K541" s="1133"/>
      <c r="L541" s="916"/>
    </row>
    <row r="542" spans="1:12" s="103" customFormat="1" ht="15.75" hidden="1" customHeight="1" outlineLevel="1">
      <c r="A542" s="916"/>
      <c r="B542" s="1123"/>
      <c r="C542" s="1127"/>
      <c r="D542" s="1125"/>
      <c r="E542" s="1125"/>
      <c r="F542" s="1130"/>
      <c r="G542" s="95"/>
      <c r="H542" s="90"/>
      <c r="I542" s="1125"/>
      <c r="J542" s="1134"/>
      <c r="K542" s="1134"/>
      <c r="L542" s="916"/>
    </row>
    <row r="543" spans="1:12" s="103" customFormat="1" ht="15.75" hidden="1" customHeight="1" outlineLevel="1">
      <c r="A543" s="916"/>
      <c r="B543" s="1124"/>
      <c r="C543" s="1128"/>
      <c r="D543" s="1126"/>
      <c r="E543" s="1126"/>
      <c r="F543" s="1132"/>
      <c r="G543" s="100"/>
      <c r="H543" s="98"/>
      <c r="I543" s="1126"/>
      <c r="J543" s="1135"/>
      <c r="K543" s="1135"/>
      <c r="L543" s="916"/>
    </row>
    <row r="544" spans="1:12" s="103" customFormat="1" ht="15.75" hidden="1" customHeight="1" outlineLevel="1">
      <c r="A544" s="916"/>
      <c r="B544" s="1123">
        <v>178</v>
      </c>
      <c r="C544" s="1127"/>
      <c r="D544" s="1125"/>
      <c r="E544" s="1125" t="s">
        <v>18</v>
      </c>
      <c r="F544" s="1130" t="str">
        <f>VLOOKUP(E544,$N$13:$O$17,2,0)</f>
        <v>-</v>
      </c>
      <c r="G544" s="92"/>
      <c r="H544" s="90"/>
      <c r="I544" s="1125"/>
      <c r="J544" s="1133"/>
      <c r="K544" s="1133"/>
      <c r="L544" s="916"/>
    </row>
    <row r="545" spans="1:12" s="103" customFormat="1" ht="15.75" hidden="1" customHeight="1" outlineLevel="1">
      <c r="A545" s="916"/>
      <c r="B545" s="1123"/>
      <c r="C545" s="1127"/>
      <c r="D545" s="1125"/>
      <c r="E545" s="1125"/>
      <c r="F545" s="1130"/>
      <c r="G545" s="95"/>
      <c r="H545" s="90"/>
      <c r="I545" s="1125"/>
      <c r="J545" s="1134"/>
      <c r="K545" s="1134"/>
      <c r="L545" s="916"/>
    </row>
    <row r="546" spans="1:12" s="103" customFormat="1" ht="15.75" hidden="1" customHeight="1" outlineLevel="1">
      <c r="A546" s="916"/>
      <c r="B546" s="1124"/>
      <c r="C546" s="1128"/>
      <c r="D546" s="1126"/>
      <c r="E546" s="1126"/>
      <c r="F546" s="1132"/>
      <c r="G546" s="100"/>
      <c r="H546" s="98"/>
      <c r="I546" s="1126"/>
      <c r="J546" s="1135"/>
      <c r="K546" s="1135"/>
      <c r="L546" s="916"/>
    </row>
    <row r="547" spans="1:12" s="103" customFormat="1" ht="15.75" hidden="1" customHeight="1" outlineLevel="1">
      <c r="A547" s="916"/>
      <c r="B547" s="1123">
        <v>179</v>
      </c>
      <c r="C547" s="1127"/>
      <c r="D547" s="1125"/>
      <c r="E547" s="1125" t="s">
        <v>18</v>
      </c>
      <c r="F547" s="1130" t="str">
        <f>VLOOKUP(E547,$N$13:$O$17,2,0)</f>
        <v>-</v>
      </c>
      <c r="G547" s="92"/>
      <c r="H547" s="90"/>
      <c r="I547" s="1125"/>
      <c r="J547" s="1133"/>
      <c r="K547" s="1133"/>
      <c r="L547" s="916"/>
    </row>
    <row r="548" spans="1:12" s="103" customFormat="1" ht="15.75" hidden="1" customHeight="1" outlineLevel="1">
      <c r="A548" s="916"/>
      <c r="B548" s="1123"/>
      <c r="C548" s="1127"/>
      <c r="D548" s="1125"/>
      <c r="E548" s="1125"/>
      <c r="F548" s="1130"/>
      <c r="G548" s="95"/>
      <c r="H548" s="90"/>
      <c r="I548" s="1125"/>
      <c r="J548" s="1134"/>
      <c r="K548" s="1134"/>
      <c r="L548" s="916"/>
    </row>
    <row r="549" spans="1:12" s="103" customFormat="1" ht="15.75" hidden="1" customHeight="1" outlineLevel="1">
      <c r="A549" s="916"/>
      <c r="B549" s="1124"/>
      <c r="C549" s="1128"/>
      <c r="D549" s="1126"/>
      <c r="E549" s="1126"/>
      <c r="F549" s="1132"/>
      <c r="G549" s="100"/>
      <c r="H549" s="98"/>
      <c r="I549" s="1126"/>
      <c r="J549" s="1135"/>
      <c r="K549" s="1135"/>
      <c r="L549" s="916"/>
    </row>
    <row r="550" spans="1:12" s="103" customFormat="1" ht="15.75" hidden="1" customHeight="1" outlineLevel="1">
      <c r="A550" s="916"/>
      <c r="B550" s="1123">
        <v>180</v>
      </c>
      <c r="C550" s="1127"/>
      <c r="D550" s="1125"/>
      <c r="E550" s="1125" t="s">
        <v>18</v>
      </c>
      <c r="F550" s="1130" t="str">
        <f>VLOOKUP(E550,$N$13:$O$17,2,0)</f>
        <v>-</v>
      </c>
      <c r="G550" s="92"/>
      <c r="H550" s="90"/>
      <c r="I550" s="1125"/>
      <c r="J550" s="1133"/>
      <c r="K550" s="1133"/>
      <c r="L550" s="916"/>
    </row>
    <row r="551" spans="1:12" s="103" customFormat="1" ht="15.75" hidden="1" customHeight="1" outlineLevel="1">
      <c r="A551" s="916"/>
      <c r="B551" s="1123"/>
      <c r="C551" s="1127"/>
      <c r="D551" s="1125"/>
      <c r="E551" s="1125"/>
      <c r="F551" s="1130"/>
      <c r="G551" s="95"/>
      <c r="H551" s="90"/>
      <c r="I551" s="1125"/>
      <c r="J551" s="1134"/>
      <c r="K551" s="1134"/>
      <c r="L551" s="916"/>
    </row>
    <row r="552" spans="1:12" s="103" customFormat="1" ht="15.75" hidden="1" customHeight="1" outlineLevel="1">
      <c r="A552" s="916"/>
      <c r="B552" s="1124"/>
      <c r="C552" s="1128"/>
      <c r="D552" s="1126"/>
      <c r="E552" s="1126"/>
      <c r="F552" s="1132"/>
      <c r="G552" s="100"/>
      <c r="H552" s="98"/>
      <c r="I552" s="1126"/>
      <c r="J552" s="1135"/>
      <c r="K552" s="1135"/>
      <c r="L552" s="916"/>
    </row>
    <row r="553" spans="1:12" s="103" customFormat="1" ht="15.75" hidden="1" customHeight="1" outlineLevel="1">
      <c r="A553" s="916"/>
      <c r="B553" s="1123">
        <v>181</v>
      </c>
      <c r="C553" s="1127"/>
      <c r="D553" s="1125"/>
      <c r="E553" s="1125" t="s">
        <v>18</v>
      </c>
      <c r="F553" s="1130" t="str">
        <f>VLOOKUP(E553,$N$13:$O$17,2,0)</f>
        <v>-</v>
      </c>
      <c r="G553" s="92"/>
      <c r="H553" s="90"/>
      <c r="I553" s="1125"/>
      <c r="J553" s="1133"/>
      <c r="K553" s="1133"/>
      <c r="L553" s="916"/>
    </row>
    <row r="554" spans="1:12" s="103" customFormat="1" ht="15.75" hidden="1" customHeight="1" outlineLevel="1">
      <c r="A554" s="916"/>
      <c r="B554" s="1123"/>
      <c r="C554" s="1127"/>
      <c r="D554" s="1125"/>
      <c r="E554" s="1125"/>
      <c r="F554" s="1130"/>
      <c r="G554" s="95"/>
      <c r="H554" s="90"/>
      <c r="I554" s="1125"/>
      <c r="J554" s="1134"/>
      <c r="K554" s="1134"/>
      <c r="L554" s="916"/>
    </row>
    <row r="555" spans="1:12" s="103" customFormat="1" ht="15.75" hidden="1" customHeight="1" outlineLevel="1">
      <c r="A555" s="916"/>
      <c r="B555" s="1124"/>
      <c r="C555" s="1128"/>
      <c r="D555" s="1126"/>
      <c r="E555" s="1126"/>
      <c r="F555" s="1132"/>
      <c r="G555" s="100"/>
      <c r="H555" s="98"/>
      <c r="I555" s="1126"/>
      <c r="J555" s="1135"/>
      <c r="K555" s="1135"/>
      <c r="L555" s="916"/>
    </row>
    <row r="556" spans="1:12" s="103" customFormat="1" ht="15.75" hidden="1" customHeight="1" outlineLevel="1">
      <c r="A556" s="916"/>
      <c r="B556" s="1123">
        <v>182</v>
      </c>
      <c r="C556" s="1127"/>
      <c r="D556" s="1125"/>
      <c r="E556" s="1125" t="s">
        <v>18</v>
      </c>
      <c r="F556" s="1130" t="str">
        <f>VLOOKUP(E556,$N$13:$O$17,2,0)</f>
        <v>-</v>
      </c>
      <c r="G556" s="92"/>
      <c r="H556" s="90"/>
      <c r="I556" s="1125"/>
      <c r="J556" s="1133"/>
      <c r="K556" s="1133"/>
      <c r="L556" s="916"/>
    </row>
    <row r="557" spans="1:12" s="103" customFormat="1" ht="15.75" hidden="1" customHeight="1" outlineLevel="1">
      <c r="A557" s="916"/>
      <c r="B557" s="1123"/>
      <c r="C557" s="1127"/>
      <c r="D557" s="1125"/>
      <c r="E557" s="1125"/>
      <c r="F557" s="1130"/>
      <c r="G557" s="95"/>
      <c r="H557" s="90"/>
      <c r="I557" s="1125"/>
      <c r="J557" s="1134"/>
      <c r="K557" s="1134"/>
      <c r="L557" s="916"/>
    </row>
    <row r="558" spans="1:12" s="103" customFormat="1" ht="15.75" hidden="1" customHeight="1" outlineLevel="1">
      <c r="A558" s="916"/>
      <c r="B558" s="1124"/>
      <c r="C558" s="1128"/>
      <c r="D558" s="1126"/>
      <c r="E558" s="1126"/>
      <c r="F558" s="1132"/>
      <c r="G558" s="100"/>
      <c r="H558" s="98"/>
      <c r="I558" s="1126"/>
      <c r="J558" s="1135"/>
      <c r="K558" s="1135"/>
      <c r="L558" s="916"/>
    </row>
    <row r="559" spans="1:12" s="103" customFormat="1" ht="15.75" hidden="1" customHeight="1" outlineLevel="1">
      <c r="A559" s="916"/>
      <c r="B559" s="1123">
        <v>183</v>
      </c>
      <c r="C559" s="1127"/>
      <c r="D559" s="1125"/>
      <c r="E559" s="1125" t="s">
        <v>18</v>
      </c>
      <c r="F559" s="1130" t="str">
        <f>VLOOKUP(E559,$N$13:$O$17,2,0)</f>
        <v>-</v>
      </c>
      <c r="G559" s="92"/>
      <c r="H559" s="90"/>
      <c r="I559" s="1125"/>
      <c r="J559" s="1133"/>
      <c r="K559" s="1133"/>
      <c r="L559" s="916"/>
    </row>
    <row r="560" spans="1:12" s="103" customFormat="1" ht="15.75" hidden="1" customHeight="1" outlineLevel="1">
      <c r="A560" s="916"/>
      <c r="B560" s="1123"/>
      <c r="C560" s="1127"/>
      <c r="D560" s="1125"/>
      <c r="E560" s="1125"/>
      <c r="F560" s="1130"/>
      <c r="G560" s="95"/>
      <c r="H560" s="90"/>
      <c r="I560" s="1125"/>
      <c r="J560" s="1134"/>
      <c r="K560" s="1134"/>
      <c r="L560" s="916"/>
    </row>
    <row r="561" spans="1:12" s="103" customFormat="1" ht="15.75" hidden="1" customHeight="1" outlineLevel="1">
      <c r="A561" s="916"/>
      <c r="B561" s="1124"/>
      <c r="C561" s="1128"/>
      <c r="D561" s="1126"/>
      <c r="E561" s="1126"/>
      <c r="F561" s="1132"/>
      <c r="G561" s="100"/>
      <c r="H561" s="98"/>
      <c r="I561" s="1126"/>
      <c r="J561" s="1135"/>
      <c r="K561" s="1135"/>
      <c r="L561" s="916"/>
    </row>
    <row r="562" spans="1:12" s="103" customFormat="1" ht="15.75" hidden="1" customHeight="1" outlineLevel="1">
      <c r="A562" s="916"/>
      <c r="B562" s="1123">
        <v>184</v>
      </c>
      <c r="C562" s="1127"/>
      <c r="D562" s="1125"/>
      <c r="E562" s="1125" t="s">
        <v>18</v>
      </c>
      <c r="F562" s="1130" t="str">
        <f>VLOOKUP(E562,$N$13:$O$17,2,0)</f>
        <v>-</v>
      </c>
      <c r="G562" s="92"/>
      <c r="H562" s="90"/>
      <c r="I562" s="1125"/>
      <c r="J562" s="1133"/>
      <c r="K562" s="1133"/>
      <c r="L562" s="916"/>
    </row>
    <row r="563" spans="1:12" s="103" customFormat="1" ht="15.75" hidden="1" customHeight="1" outlineLevel="1">
      <c r="A563" s="916"/>
      <c r="B563" s="1123"/>
      <c r="C563" s="1127"/>
      <c r="D563" s="1125"/>
      <c r="E563" s="1125"/>
      <c r="F563" s="1130"/>
      <c r="G563" s="95"/>
      <c r="H563" s="90"/>
      <c r="I563" s="1125"/>
      <c r="J563" s="1134"/>
      <c r="K563" s="1134"/>
      <c r="L563" s="916"/>
    </row>
    <row r="564" spans="1:12" s="103" customFormat="1" ht="15.75" hidden="1" customHeight="1" outlineLevel="1">
      <c r="A564" s="916"/>
      <c r="B564" s="1124"/>
      <c r="C564" s="1128"/>
      <c r="D564" s="1126"/>
      <c r="E564" s="1126"/>
      <c r="F564" s="1132"/>
      <c r="G564" s="100"/>
      <c r="H564" s="98"/>
      <c r="I564" s="1126"/>
      <c r="J564" s="1135"/>
      <c r="K564" s="1135"/>
      <c r="L564" s="916"/>
    </row>
    <row r="565" spans="1:12" s="103" customFormat="1" ht="15.75" hidden="1" customHeight="1" outlineLevel="1">
      <c r="A565" s="916"/>
      <c r="B565" s="1123">
        <v>185</v>
      </c>
      <c r="C565" s="1127"/>
      <c r="D565" s="1125"/>
      <c r="E565" s="1125" t="s">
        <v>18</v>
      </c>
      <c r="F565" s="1130" t="str">
        <f>VLOOKUP(E565,$N$13:$O$17,2,0)</f>
        <v>-</v>
      </c>
      <c r="G565" s="92"/>
      <c r="H565" s="90"/>
      <c r="I565" s="1125"/>
      <c r="J565" s="1133"/>
      <c r="K565" s="1133"/>
      <c r="L565" s="916"/>
    </row>
    <row r="566" spans="1:12" s="103" customFormat="1" ht="15.75" hidden="1" customHeight="1" outlineLevel="1">
      <c r="A566" s="916"/>
      <c r="B566" s="1123"/>
      <c r="C566" s="1127"/>
      <c r="D566" s="1125"/>
      <c r="E566" s="1125"/>
      <c r="F566" s="1130"/>
      <c r="G566" s="95"/>
      <c r="H566" s="90"/>
      <c r="I566" s="1125"/>
      <c r="J566" s="1134"/>
      <c r="K566" s="1134"/>
      <c r="L566" s="916"/>
    </row>
    <row r="567" spans="1:12" s="103" customFormat="1" ht="15.75" hidden="1" customHeight="1" outlineLevel="1">
      <c r="A567" s="916"/>
      <c r="B567" s="1124"/>
      <c r="C567" s="1128"/>
      <c r="D567" s="1126"/>
      <c r="E567" s="1126"/>
      <c r="F567" s="1132"/>
      <c r="G567" s="100"/>
      <c r="H567" s="98"/>
      <c r="I567" s="1126"/>
      <c r="J567" s="1135"/>
      <c r="K567" s="1135"/>
      <c r="L567" s="916"/>
    </row>
    <row r="568" spans="1:12" s="103" customFormat="1" ht="15.75" hidden="1" customHeight="1" outlineLevel="1">
      <c r="A568" s="916"/>
      <c r="B568" s="1123">
        <v>186</v>
      </c>
      <c r="C568" s="1127"/>
      <c r="D568" s="1125"/>
      <c r="E568" s="1125" t="s">
        <v>18</v>
      </c>
      <c r="F568" s="1130" t="str">
        <f>VLOOKUP(E568,$N$13:$O$17,2,0)</f>
        <v>-</v>
      </c>
      <c r="G568" s="92"/>
      <c r="H568" s="90"/>
      <c r="I568" s="1125"/>
      <c r="J568" s="1133"/>
      <c r="K568" s="1133"/>
      <c r="L568" s="916"/>
    </row>
    <row r="569" spans="1:12" s="103" customFormat="1" ht="15.75" hidden="1" customHeight="1" outlineLevel="1">
      <c r="A569" s="916"/>
      <c r="B569" s="1123"/>
      <c r="C569" s="1127"/>
      <c r="D569" s="1125"/>
      <c r="E569" s="1125"/>
      <c r="F569" s="1130"/>
      <c r="G569" s="95"/>
      <c r="H569" s="90"/>
      <c r="I569" s="1125"/>
      <c r="J569" s="1134"/>
      <c r="K569" s="1134"/>
      <c r="L569" s="916"/>
    </row>
    <row r="570" spans="1:12" s="103" customFormat="1" ht="15.75" hidden="1" customHeight="1" outlineLevel="1">
      <c r="A570" s="916"/>
      <c r="B570" s="1124"/>
      <c r="C570" s="1128"/>
      <c r="D570" s="1126"/>
      <c r="E570" s="1126"/>
      <c r="F570" s="1132"/>
      <c r="G570" s="100"/>
      <c r="H570" s="98"/>
      <c r="I570" s="1126"/>
      <c r="J570" s="1135"/>
      <c r="K570" s="1135"/>
      <c r="L570" s="916"/>
    </row>
    <row r="571" spans="1:12" s="103" customFormat="1" ht="15.75" hidden="1" customHeight="1" outlineLevel="1">
      <c r="A571" s="916"/>
      <c r="B571" s="1123">
        <v>187</v>
      </c>
      <c r="C571" s="1127"/>
      <c r="D571" s="1125"/>
      <c r="E571" s="1125" t="s">
        <v>18</v>
      </c>
      <c r="F571" s="1130" t="str">
        <f>VLOOKUP(E571,$N$13:$O$17,2,0)</f>
        <v>-</v>
      </c>
      <c r="G571" s="92"/>
      <c r="H571" s="90"/>
      <c r="I571" s="1125"/>
      <c r="J571" s="1133"/>
      <c r="K571" s="1133"/>
      <c r="L571" s="916"/>
    </row>
    <row r="572" spans="1:12" s="103" customFormat="1" ht="15.75" hidden="1" customHeight="1" outlineLevel="1">
      <c r="A572" s="916"/>
      <c r="B572" s="1123"/>
      <c r="C572" s="1127"/>
      <c r="D572" s="1125"/>
      <c r="E572" s="1125"/>
      <c r="F572" s="1130"/>
      <c r="G572" s="95"/>
      <c r="H572" s="90"/>
      <c r="I572" s="1125"/>
      <c r="J572" s="1134"/>
      <c r="K572" s="1134"/>
      <c r="L572" s="916"/>
    </row>
    <row r="573" spans="1:12" s="103" customFormat="1" ht="15.75" hidden="1" customHeight="1" outlineLevel="1">
      <c r="A573" s="916"/>
      <c r="B573" s="1124"/>
      <c r="C573" s="1128"/>
      <c r="D573" s="1126"/>
      <c r="E573" s="1126"/>
      <c r="F573" s="1132"/>
      <c r="G573" s="100"/>
      <c r="H573" s="98"/>
      <c r="I573" s="1126"/>
      <c r="J573" s="1135"/>
      <c r="K573" s="1135"/>
      <c r="L573" s="916"/>
    </row>
    <row r="574" spans="1:12" s="103" customFormat="1" ht="15.75" hidden="1" customHeight="1" outlineLevel="1">
      <c r="A574" s="916"/>
      <c r="B574" s="1123">
        <v>188</v>
      </c>
      <c r="C574" s="1127"/>
      <c r="D574" s="1125"/>
      <c r="E574" s="1125" t="s">
        <v>18</v>
      </c>
      <c r="F574" s="1130" t="str">
        <f>VLOOKUP(E574,$N$13:$O$17,2,0)</f>
        <v>-</v>
      </c>
      <c r="G574" s="92"/>
      <c r="H574" s="90"/>
      <c r="I574" s="1125"/>
      <c r="J574" s="1133"/>
      <c r="K574" s="1133"/>
      <c r="L574" s="916"/>
    </row>
    <row r="575" spans="1:12" s="103" customFormat="1" ht="15.75" hidden="1" customHeight="1" outlineLevel="1">
      <c r="A575" s="916"/>
      <c r="B575" s="1123"/>
      <c r="C575" s="1127"/>
      <c r="D575" s="1125"/>
      <c r="E575" s="1125"/>
      <c r="F575" s="1130"/>
      <c r="G575" s="95"/>
      <c r="H575" s="90"/>
      <c r="I575" s="1125"/>
      <c r="J575" s="1134"/>
      <c r="K575" s="1134"/>
      <c r="L575" s="916"/>
    </row>
    <row r="576" spans="1:12" s="103" customFormat="1" ht="15.75" hidden="1" customHeight="1" outlineLevel="1">
      <c r="A576" s="916"/>
      <c r="B576" s="1124"/>
      <c r="C576" s="1128"/>
      <c r="D576" s="1126"/>
      <c r="E576" s="1126"/>
      <c r="F576" s="1132"/>
      <c r="G576" s="100"/>
      <c r="H576" s="98"/>
      <c r="I576" s="1126"/>
      <c r="J576" s="1135"/>
      <c r="K576" s="1135"/>
      <c r="L576" s="916"/>
    </row>
    <row r="577" spans="1:12" s="103" customFormat="1" ht="15.75" hidden="1" customHeight="1" outlineLevel="1">
      <c r="A577" s="916"/>
      <c r="B577" s="1123">
        <v>189</v>
      </c>
      <c r="C577" s="1127"/>
      <c r="D577" s="1125"/>
      <c r="E577" s="1125" t="s">
        <v>18</v>
      </c>
      <c r="F577" s="1130" t="str">
        <f>VLOOKUP(E577,$N$13:$O$17,2,0)</f>
        <v>-</v>
      </c>
      <c r="G577" s="92"/>
      <c r="H577" s="90"/>
      <c r="I577" s="1125"/>
      <c r="J577" s="1133"/>
      <c r="K577" s="1133"/>
      <c r="L577" s="916"/>
    </row>
    <row r="578" spans="1:12" s="103" customFormat="1" ht="15.75" hidden="1" customHeight="1" outlineLevel="1">
      <c r="A578" s="916"/>
      <c r="B578" s="1123"/>
      <c r="C578" s="1127"/>
      <c r="D578" s="1125"/>
      <c r="E578" s="1125"/>
      <c r="F578" s="1130"/>
      <c r="G578" s="95"/>
      <c r="H578" s="90"/>
      <c r="I578" s="1125"/>
      <c r="J578" s="1134"/>
      <c r="K578" s="1134"/>
      <c r="L578" s="916"/>
    </row>
    <row r="579" spans="1:12" s="103" customFormat="1" ht="15.75" hidden="1" customHeight="1" outlineLevel="1">
      <c r="A579" s="916"/>
      <c r="B579" s="1124"/>
      <c r="C579" s="1128"/>
      <c r="D579" s="1126"/>
      <c r="E579" s="1126"/>
      <c r="F579" s="1132"/>
      <c r="G579" s="100"/>
      <c r="H579" s="98"/>
      <c r="I579" s="1126"/>
      <c r="J579" s="1135"/>
      <c r="K579" s="1135"/>
      <c r="L579" s="916"/>
    </row>
    <row r="580" spans="1:12" s="103" customFormat="1" ht="15.75" hidden="1" customHeight="1" outlineLevel="1">
      <c r="A580" s="916"/>
      <c r="B580" s="1123">
        <v>190</v>
      </c>
      <c r="C580" s="1127"/>
      <c r="D580" s="1125"/>
      <c r="E580" s="1125" t="s">
        <v>18</v>
      </c>
      <c r="F580" s="1130" t="str">
        <f>VLOOKUP(E580,$N$13:$O$17,2,0)</f>
        <v>-</v>
      </c>
      <c r="G580" s="92"/>
      <c r="H580" s="90"/>
      <c r="I580" s="1125"/>
      <c r="J580" s="1133"/>
      <c r="K580" s="1133"/>
      <c r="L580" s="916"/>
    </row>
    <row r="581" spans="1:12" s="103" customFormat="1" ht="15.75" hidden="1" customHeight="1" outlineLevel="1">
      <c r="A581" s="916"/>
      <c r="B581" s="1123"/>
      <c r="C581" s="1127"/>
      <c r="D581" s="1125"/>
      <c r="E581" s="1125"/>
      <c r="F581" s="1130"/>
      <c r="G581" s="95"/>
      <c r="H581" s="90"/>
      <c r="I581" s="1125"/>
      <c r="J581" s="1134"/>
      <c r="K581" s="1134"/>
      <c r="L581" s="916"/>
    </row>
    <row r="582" spans="1:12" s="103" customFormat="1" ht="15.75" hidden="1" customHeight="1" outlineLevel="1">
      <c r="A582" s="916"/>
      <c r="B582" s="1124"/>
      <c r="C582" s="1128"/>
      <c r="D582" s="1126"/>
      <c r="E582" s="1126"/>
      <c r="F582" s="1132"/>
      <c r="G582" s="100"/>
      <c r="H582" s="98"/>
      <c r="I582" s="1126"/>
      <c r="J582" s="1135"/>
      <c r="K582" s="1135"/>
      <c r="L582" s="916"/>
    </row>
    <row r="583" spans="1:12" s="103" customFormat="1" ht="15.75" hidden="1" customHeight="1" outlineLevel="1">
      <c r="A583" s="916"/>
      <c r="B583" s="1123">
        <v>191</v>
      </c>
      <c r="C583" s="1127"/>
      <c r="D583" s="1125"/>
      <c r="E583" s="1125" t="s">
        <v>18</v>
      </c>
      <c r="F583" s="1130" t="str">
        <f>VLOOKUP(E583,$N$13:$O$17,2,0)</f>
        <v>-</v>
      </c>
      <c r="G583" s="92"/>
      <c r="H583" s="90"/>
      <c r="I583" s="1125"/>
      <c r="J583" s="1133"/>
      <c r="K583" s="1133"/>
      <c r="L583" s="916"/>
    </row>
    <row r="584" spans="1:12" s="103" customFormat="1" ht="15.75" hidden="1" customHeight="1" outlineLevel="1">
      <c r="A584" s="916"/>
      <c r="B584" s="1123"/>
      <c r="C584" s="1127"/>
      <c r="D584" s="1125"/>
      <c r="E584" s="1125"/>
      <c r="F584" s="1130"/>
      <c r="G584" s="95"/>
      <c r="H584" s="90"/>
      <c r="I584" s="1125"/>
      <c r="J584" s="1134"/>
      <c r="K584" s="1134"/>
      <c r="L584" s="916"/>
    </row>
    <row r="585" spans="1:12" s="103" customFormat="1" ht="15.75" hidden="1" customHeight="1" outlineLevel="1">
      <c r="A585" s="916"/>
      <c r="B585" s="1124"/>
      <c r="C585" s="1128"/>
      <c r="D585" s="1126"/>
      <c r="E585" s="1126"/>
      <c r="F585" s="1132"/>
      <c r="G585" s="100"/>
      <c r="H585" s="98"/>
      <c r="I585" s="1126"/>
      <c r="J585" s="1135"/>
      <c r="K585" s="1135"/>
      <c r="L585" s="916"/>
    </row>
    <row r="586" spans="1:12" s="103" customFormat="1" ht="15.75" hidden="1" customHeight="1" outlineLevel="1">
      <c r="A586" s="916"/>
      <c r="B586" s="1123">
        <v>192</v>
      </c>
      <c r="C586" s="1127"/>
      <c r="D586" s="1125"/>
      <c r="E586" s="1125" t="s">
        <v>18</v>
      </c>
      <c r="F586" s="1130" t="str">
        <f>VLOOKUP(E586,$N$13:$O$17,2,0)</f>
        <v>-</v>
      </c>
      <c r="G586" s="92"/>
      <c r="H586" s="90"/>
      <c r="I586" s="1125"/>
      <c r="J586" s="1133"/>
      <c r="K586" s="1133"/>
      <c r="L586" s="916"/>
    </row>
    <row r="587" spans="1:12" s="103" customFormat="1" ht="15.75" hidden="1" customHeight="1" outlineLevel="1">
      <c r="A587" s="916"/>
      <c r="B587" s="1123"/>
      <c r="C587" s="1127"/>
      <c r="D587" s="1125"/>
      <c r="E587" s="1125"/>
      <c r="F587" s="1130"/>
      <c r="G587" s="95"/>
      <c r="H587" s="90"/>
      <c r="I587" s="1125"/>
      <c r="J587" s="1134"/>
      <c r="K587" s="1134"/>
      <c r="L587" s="916"/>
    </row>
    <row r="588" spans="1:12" s="103" customFormat="1" ht="15.75" hidden="1" customHeight="1" outlineLevel="1">
      <c r="A588" s="916"/>
      <c r="B588" s="1124"/>
      <c r="C588" s="1128"/>
      <c r="D588" s="1126"/>
      <c r="E588" s="1126"/>
      <c r="F588" s="1132"/>
      <c r="G588" s="100"/>
      <c r="H588" s="98"/>
      <c r="I588" s="1126"/>
      <c r="J588" s="1135"/>
      <c r="K588" s="1135"/>
      <c r="L588" s="916"/>
    </row>
    <row r="589" spans="1:12" s="103" customFormat="1" ht="15.75" hidden="1" customHeight="1" outlineLevel="1">
      <c r="A589" s="916"/>
      <c r="B589" s="1123">
        <v>193</v>
      </c>
      <c r="C589" s="1127"/>
      <c r="D589" s="1125"/>
      <c r="E589" s="1125" t="s">
        <v>18</v>
      </c>
      <c r="F589" s="1130" t="str">
        <f>VLOOKUP(E589,$N$13:$O$17,2,0)</f>
        <v>-</v>
      </c>
      <c r="G589" s="92"/>
      <c r="H589" s="90"/>
      <c r="I589" s="1125"/>
      <c r="J589" s="1133"/>
      <c r="K589" s="1133"/>
      <c r="L589" s="916"/>
    </row>
    <row r="590" spans="1:12" s="103" customFormat="1" ht="15.75" hidden="1" customHeight="1" outlineLevel="1">
      <c r="A590" s="916"/>
      <c r="B590" s="1123"/>
      <c r="C590" s="1127"/>
      <c r="D590" s="1125"/>
      <c r="E590" s="1125"/>
      <c r="F590" s="1130"/>
      <c r="G590" s="95"/>
      <c r="H590" s="90"/>
      <c r="I590" s="1125"/>
      <c r="J590" s="1134"/>
      <c r="K590" s="1134"/>
      <c r="L590" s="916"/>
    </row>
    <row r="591" spans="1:12" s="103" customFormat="1" ht="15.75" hidden="1" customHeight="1" outlineLevel="1">
      <c r="A591" s="916"/>
      <c r="B591" s="1124"/>
      <c r="C591" s="1128"/>
      <c r="D591" s="1126"/>
      <c r="E591" s="1126"/>
      <c r="F591" s="1132"/>
      <c r="G591" s="100"/>
      <c r="H591" s="98"/>
      <c r="I591" s="1126"/>
      <c r="J591" s="1135"/>
      <c r="K591" s="1135"/>
      <c r="L591" s="916"/>
    </row>
    <row r="592" spans="1:12" s="103" customFormat="1" ht="15.75" hidden="1" customHeight="1" outlineLevel="1">
      <c r="A592" s="916"/>
      <c r="B592" s="1123">
        <v>194</v>
      </c>
      <c r="C592" s="1127"/>
      <c r="D592" s="1125"/>
      <c r="E592" s="1125" t="s">
        <v>18</v>
      </c>
      <c r="F592" s="1130" t="str">
        <f>VLOOKUP(E592,$N$13:$O$17,2,0)</f>
        <v>-</v>
      </c>
      <c r="G592" s="92"/>
      <c r="H592" s="90"/>
      <c r="I592" s="1125"/>
      <c r="J592" s="1133"/>
      <c r="K592" s="1133"/>
      <c r="L592" s="916"/>
    </row>
    <row r="593" spans="1:12" s="103" customFormat="1" ht="15.75" hidden="1" customHeight="1" outlineLevel="1">
      <c r="A593" s="916"/>
      <c r="B593" s="1123"/>
      <c r="C593" s="1127"/>
      <c r="D593" s="1125"/>
      <c r="E593" s="1125"/>
      <c r="F593" s="1130"/>
      <c r="G593" s="95"/>
      <c r="H593" s="90"/>
      <c r="I593" s="1125"/>
      <c r="J593" s="1134"/>
      <c r="K593" s="1134"/>
      <c r="L593" s="916"/>
    </row>
    <row r="594" spans="1:12" s="103" customFormat="1" ht="15.75" hidden="1" customHeight="1" outlineLevel="1">
      <c r="A594" s="916"/>
      <c r="B594" s="1124"/>
      <c r="C594" s="1128"/>
      <c r="D594" s="1126"/>
      <c r="E594" s="1126"/>
      <c r="F594" s="1132"/>
      <c r="G594" s="100"/>
      <c r="H594" s="98"/>
      <c r="I594" s="1126"/>
      <c r="J594" s="1135"/>
      <c r="K594" s="1135"/>
      <c r="L594" s="916"/>
    </row>
    <row r="595" spans="1:12" s="103" customFormat="1" ht="15.75" hidden="1" customHeight="1" outlineLevel="1">
      <c r="A595" s="916"/>
      <c r="B595" s="1123">
        <v>195</v>
      </c>
      <c r="C595" s="1127"/>
      <c r="D595" s="1125"/>
      <c r="E595" s="1125" t="s">
        <v>18</v>
      </c>
      <c r="F595" s="1130" t="str">
        <f>VLOOKUP(E595,$N$13:$O$17,2,0)</f>
        <v>-</v>
      </c>
      <c r="G595" s="92"/>
      <c r="H595" s="90"/>
      <c r="I595" s="1125"/>
      <c r="J595" s="1133"/>
      <c r="K595" s="1133"/>
      <c r="L595" s="916"/>
    </row>
    <row r="596" spans="1:12" s="103" customFormat="1" ht="15.75" hidden="1" customHeight="1" outlineLevel="1">
      <c r="A596" s="916"/>
      <c r="B596" s="1123"/>
      <c r="C596" s="1127"/>
      <c r="D596" s="1125"/>
      <c r="E596" s="1125"/>
      <c r="F596" s="1130"/>
      <c r="G596" s="95"/>
      <c r="H596" s="90"/>
      <c r="I596" s="1125"/>
      <c r="J596" s="1134"/>
      <c r="K596" s="1134"/>
      <c r="L596" s="916"/>
    </row>
    <row r="597" spans="1:12" s="103" customFormat="1" ht="15.75" hidden="1" customHeight="1" outlineLevel="1">
      <c r="A597" s="916"/>
      <c r="B597" s="1124"/>
      <c r="C597" s="1128"/>
      <c r="D597" s="1126"/>
      <c r="E597" s="1126"/>
      <c r="F597" s="1132"/>
      <c r="G597" s="100"/>
      <c r="H597" s="98"/>
      <c r="I597" s="1126"/>
      <c r="J597" s="1135"/>
      <c r="K597" s="1135"/>
      <c r="L597" s="916"/>
    </row>
    <row r="598" spans="1:12" s="103" customFormat="1" ht="15.75" hidden="1" customHeight="1" outlineLevel="1">
      <c r="A598" s="916"/>
      <c r="B598" s="1123">
        <v>196</v>
      </c>
      <c r="C598" s="1127"/>
      <c r="D598" s="1125"/>
      <c r="E598" s="1125" t="s">
        <v>18</v>
      </c>
      <c r="F598" s="1130" t="str">
        <f>VLOOKUP(E598,$N$13:$O$17,2,0)</f>
        <v>-</v>
      </c>
      <c r="G598" s="92"/>
      <c r="H598" s="90"/>
      <c r="I598" s="1125"/>
      <c r="J598" s="1133"/>
      <c r="K598" s="1133"/>
      <c r="L598" s="916"/>
    </row>
    <row r="599" spans="1:12" s="103" customFormat="1" ht="15.75" hidden="1" customHeight="1" outlineLevel="1">
      <c r="A599" s="916"/>
      <c r="B599" s="1123"/>
      <c r="C599" s="1127"/>
      <c r="D599" s="1125"/>
      <c r="E599" s="1125"/>
      <c r="F599" s="1130"/>
      <c r="G599" s="95"/>
      <c r="H599" s="90"/>
      <c r="I599" s="1125"/>
      <c r="J599" s="1134"/>
      <c r="K599" s="1134"/>
      <c r="L599" s="916"/>
    </row>
    <row r="600" spans="1:12" s="103" customFormat="1" ht="15.75" hidden="1" customHeight="1" outlineLevel="1">
      <c r="A600" s="916"/>
      <c r="B600" s="1124"/>
      <c r="C600" s="1128"/>
      <c r="D600" s="1126"/>
      <c r="E600" s="1126"/>
      <c r="F600" s="1132"/>
      <c r="G600" s="100"/>
      <c r="H600" s="98"/>
      <c r="I600" s="1126"/>
      <c r="J600" s="1135"/>
      <c r="K600" s="1135"/>
      <c r="L600" s="916"/>
    </row>
    <row r="601" spans="1:12" s="103" customFormat="1" ht="15.75" hidden="1" customHeight="1" outlineLevel="1">
      <c r="A601" s="916"/>
      <c r="B601" s="1123">
        <v>197</v>
      </c>
      <c r="C601" s="1127"/>
      <c r="D601" s="1125"/>
      <c r="E601" s="1125" t="s">
        <v>18</v>
      </c>
      <c r="F601" s="1130" t="str">
        <f>VLOOKUP(E601,$N$13:$O$17,2,0)</f>
        <v>-</v>
      </c>
      <c r="G601" s="92"/>
      <c r="H601" s="90"/>
      <c r="I601" s="1125"/>
      <c r="J601" s="1133"/>
      <c r="K601" s="1133"/>
      <c r="L601" s="916"/>
    </row>
    <row r="602" spans="1:12" s="103" customFormat="1" ht="15.75" hidden="1" customHeight="1" outlineLevel="1">
      <c r="A602" s="916"/>
      <c r="B602" s="1123"/>
      <c r="C602" s="1127"/>
      <c r="D602" s="1125"/>
      <c r="E602" s="1125"/>
      <c r="F602" s="1130"/>
      <c r="G602" s="95"/>
      <c r="H602" s="90"/>
      <c r="I602" s="1125"/>
      <c r="J602" s="1134"/>
      <c r="K602" s="1134"/>
      <c r="L602" s="916"/>
    </row>
    <row r="603" spans="1:12" s="103" customFormat="1" ht="15.75" hidden="1" customHeight="1" outlineLevel="1">
      <c r="A603" s="916"/>
      <c r="B603" s="1124"/>
      <c r="C603" s="1128"/>
      <c r="D603" s="1126"/>
      <c r="E603" s="1126"/>
      <c r="F603" s="1132"/>
      <c r="G603" s="100"/>
      <c r="H603" s="98"/>
      <c r="I603" s="1126"/>
      <c r="J603" s="1135"/>
      <c r="K603" s="1135"/>
      <c r="L603" s="916"/>
    </row>
    <row r="604" spans="1:12" s="103" customFormat="1" ht="15.75" hidden="1" customHeight="1" outlineLevel="1">
      <c r="A604" s="916"/>
      <c r="B604" s="1123">
        <v>198</v>
      </c>
      <c r="C604" s="1127"/>
      <c r="D604" s="1125"/>
      <c r="E604" s="1125" t="s">
        <v>18</v>
      </c>
      <c r="F604" s="1130" t="str">
        <f>VLOOKUP(E604,$N$13:$O$17,2,0)</f>
        <v>-</v>
      </c>
      <c r="G604" s="92"/>
      <c r="H604" s="90"/>
      <c r="I604" s="1125"/>
      <c r="J604" s="1133"/>
      <c r="K604" s="1133"/>
      <c r="L604" s="916"/>
    </row>
    <row r="605" spans="1:12" s="103" customFormat="1" ht="15.75" hidden="1" customHeight="1" outlineLevel="1">
      <c r="A605" s="916"/>
      <c r="B605" s="1123"/>
      <c r="C605" s="1127"/>
      <c r="D605" s="1125"/>
      <c r="E605" s="1125"/>
      <c r="F605" s="1130"/>
      <c r="G605" s="95"/>
      <c r="H605" s="90"/>
      <c r="I605" s="1125"/>
      <c r="J605" s="1134"/>
      <c r="K605" s="1134"/>
      <c r="L605" s="916"/>
    </row>
    <row r="606" spans="1:12" s="103" customFormat="1" ht="15.75" hidden="1" customHeight="1" outlineLevel="1">
      <c r="A606" s="916"/>
      <c r="B606" s="1124"/>
      <c r="C606" s="1128"/>
      <c r="D606" s="1126"/>
      <c r="E606" s="1126"/>
      <c r="F606" s="1132"/>
      <c r="G606" s="100"/>
      <c r="H606" s="98"/>
      <c r="I606" s="1126"/>
      <c r="J606" s="1135"/>
      <c r="K606" s="1135"/>
      <c r="L606" s="916"/>
    </row>
    <row r="607" spans="1:12" s="103" customFormat="1" ht="15.75" hidden="1" customHeight="1" outlineLevel="1">
      <c r="A607" s="916"/>
      <c r="B607" s="1123">
        <v>199</v>
      </c>
      <c r="C607" s="1127"/>
      <c r="D607" s="1125"/>
      <c r="E607" s="1125" t="s">
        <v>18</v>
      </c>
      <c r="F607" s="1130" t="str">
        <f>VLOOKUP(E607,$N$13:$O$17,2,0)</f>
        <v>-</v>
      </c>
      <c r="G607" s="92"/>
      <c r="H607" s="90"/>
      <c r="I607" s="1125"/>
      <c r="J607" s="1133"/>
      <c r="K607" s="1133"/>
      <c r="L607" s="916"/>
    </row>
    <row r="608" spans="1:12" s="103" customFormat="1" ht="15.75" hidden="1" customHeight="1" outlineLevel="1">
      <c r="A608" s="916"/>
      <c r="B608" s="1123"/>
      <c r="C608" s="1127"/>
      <c r="D608" s="1125"/>
      <c r="E608" s="1125"/>
      <c r="F608" s="1130"/>
      <c r="G608" s="95"/>
      <c r="H608" s="90"/>
      <c r="I608" s="1125"/>
      <c r="J608" s="1134"/>
      <c r="K608" s="1134"/>
      <c r="L608" s="916"/>
    </row>
    <row r="609" spans="1:12" s="103" customFormat="1" ht="15.75" hidden="1" customHeight="1" outlineLevel="1">
      <c r="A609" s="916"/>
      <c r="B609" s="1124"/>
      <c r="C609" s="1128"/>
      <c r="D609" s="1126"/>
      <c r="E609" s="1126"/>
      <c r="F609" s="1132"/>
      <c r="G609" s="100"/>
      <c r="H609" s="98"/>
      <c r="I609" s="1126"/>
      <c r="J609" s="1135"/>
      <c r="K609" s="1135"/>
      <c r="L609" s="916"/>
    </row>
    <row r="610" spans="1:12" s="103" customFormat="1" ht="15.75" hidden="1" customHeight="1" outlineLevel="1">
      <c r="A610" s="916"/>
      <c r="B610" s="1123">
        <v>200</v>
      </c>
      <c r="C610" s="1149" t="e">
        <f>CONCATENATE("Inne ",IF(#REF!=0,0,ROUND(#REF!/#REF!*100,1))," %")</f>
        <v>#REF!</v>
      </c>
      <c r="D610" s="1125"/>
      <c r="E610" s="1125" t="s">
        <v>18</v>
      </c>
      <c r="F610" s="1130" t="str">
        <f>VLOOKUP(E610,$N$13:$O$17,2,0)</f>
        <v>-</v>
      </c>
      <c r="G610" s="92"/>
      <c r="H610" s="90"/>
      <c r="I610" s="1125"/>
      <c r="J610" s="1133"/>
      <c r="K610" s="1133"/>
      <c r="L610" s="916"/>
    </row>
    <row r="611" spans="1:12" s="103" customFormat="1" ht="15.75" hidden="1" customHeight="1" outlineLevel="1">
      <c r="A611" s="916"/>
      <c r="B611" s="1123"/>
      <c r="C611" s="1150"/>
      <c r="D611" s="1125"/>
      <c r="E611" s="1125"/>
      <c r="F611" s="1130"/>
      <c r="G611" s="95"/>
      <c r="H611" s="90"/>
      <c r="I611" s="1125"/>
      <c r="J611" s="1134"/>
      <c r="K611" s="1134"/>
      <c r="L611" s="916"/>
    </row>
    <row r="612" spans="1:12" s="103" customFormat="1" ht="15.75" hidden="1" customHeight="1" outlineLevel="1" thickBot="1">
      <c r="A612" s="916"/>
      <c r="B612" s="1124"/>
      <c r="C612" s="1151"/>
      <c r="D612" s="1126"/>
      <c r="E612" s="1126"/>
      <c r="F612" s="1132"/>
      <c r="G612" s="100"/>
      <c r="H612" s="98"/>
      <c r="I612" s="1126"/>
      <c r="J612" s="1135"/>
      <c r="K612" s="1135"/>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45"/>
      <c r="G621" s="1146"/>
      <c r="H621" s="1146"/>
      <c r="I621" s="1146"/>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C6:H6"/>
    <mergeCell ref="K8:K10"/>
    <mergeCell ref="C5:H5"/>
    <mergeCell ref="D13:D15"/>
  </mergeCells>
  <phoneticPr fontId="2" type="noConversion"/>
  <dataValidations disablePrompts="1" count="1">
    <dataValidation type="list" allowBlank="1" showInputMessage="1" showErrorMessage="1" sqref="E13:E612" xr:uid="{00000000-0002-0000-1400-000000000000}">
      <formula1>$N$13:$N$17</formula1>
    </dataValidation>
  </dataValidations>
  <hyperlinks>
    <hyperlink ref="C1" location="Spis!B45" display="&gt;&gt; powrót do spisu treści" xr:uid="{00000000-0004-0000-14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0">
    <pageSetUpPr fitToPage="1"/>
  </sheetPr>
  <dimension ref="A1:S2067"/>
  <sheetViews>
    <sheetView topLeftCell="D1"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1" width="10.77734375" style="78" customWidth="1"/>
    <col min="22"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47" t="s">
        <v>19</v>
      </c>
      <c r="D3" s="1147"/>
      <c r="E3" s="1147"/>
      <c r="F3" s="1147"/>
      <c r="G3" s="1147"/>
      <c r="H3" s="1148"/>
      <c r="I3" s="903"/>
      <c r="J3" s="880"/>
      <c r="K3" s="880"/>
      <c r="L3" s="880"/>
    </row>
    <row r="4" spans="1:19" ht="15" customHeight="1">
      <c r="A4" s="898"/>
      <c r="B4" s="915" t="s">
        <v>27</v>
      </c>
      <c r="C4" s="1147" t="s">
        <v>177</v>
      </c>
      <c r="D4" s="1147"/>
      <c r="E4" s="1147"/>
      <c r="F4" s="1147"/>
      <c r="G4" s="1147"/>
      <c r="H4" s="1148"/>
      <c r="I4" s="903"/>
      <c r="J4" s="880"/>
      <c r="K4" s="880"/>
      <c r="L4" s="880"/>
    </row>
    <row r="5" spans="1:19" ht="15" customHeight="1">
      <c r="A5" s="880"/>
      <c r="B5" s="897" t="s">
        <v>28</v>
      </c>
      <c r="C5" s="1116" t="s">
        <v>104</v>
      </c>
      <c r="D5" s="1116"/>
      <c r="E5" s="1116"/>
      <c r="F5" s="1116"/>
      <c r="G5" s="1116"/>
      <c r="H5" s="1148"/>
      <c r="I5" s="903"/>
      <c r="J5" s="880"/>
      <c r="K5" s="880"/>
      <c r="L5" s="880"/>
    </row>
    <row r="6" spans="1:19" ht="50.1" customHeight="1">
      <c r="A6" s="880"/>
      <c r="B6" s="897" t="s">
        <v>35</v>
      </c>
      <c r="C6" s="1116" t="s">
        <v>175</v>
      </c>
      <c r="D6" s="1120"/>
      <c r="E6" s="1120"/>
      <c r="F6" s="1120"/>
      <c r="G6" s="1120"/>
      <c r="H6" s="1148"/>
      <c r="I6" s="903"/>
      <c r="J6" s="880"/>
      <c r="K6" s="880"/>
      <c r="L6" s="880"/>
    </row>
    <row r="7" spans="1:19" s="79" customFormat="1" ht="30" customHeight="1" thickBot="1">
      <c r="A7" s="907"/>
      <c r="B7" s="908" t="s">
        <v>256</v>
      </c>
      <c r="C7" s="911"/>
      <c r="D7" s="909"/>
      <c r="E7" s="907"/>
      <c r="F7" s="910"/>
      <c r="G7" s="911"/>
      <c r="H7" s="912"/>
      <c r="I7" s="912"/>
      <c r="J7" s="913"/>
      <c r="K7" s="913"/>
      <c r="L7" s="913"/>
      <c r="M7" s="81"/>
    </row>
    <row r="8" spans="1:19"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c r="P8" s="76"/>
      <c r="Q8" s="76"/>
      <c r="R8" s="76"/>
      <c r="S8" s="76"/>
    </row>
    <row r="9" spans="1:19" ht="20.100000000000001" customHeight="1" thickBot="1">
      <c r="A9" s="880"/>
      <c r="B9" s="1152"/>
      <c r="C9" s="1106"/>
      <c r="D9" s="1106"/>
      <c r="E9" s="1106"/>
      <c r="F9" s="1106"/>
      <c r="G9" s="1106"/>
      <c r="H9" s="1106"/>
      <c r="I9" s="1103"/>
      <c r="J9" s="628">
        <f>Rok_ZPR</f>
        <v>2023</v>
      </c>
      <c r="K9" s="1102"/>
      <c r="L9" s="860"/>
      <c r="M9" s="84"/>
      <c r="N9" s="76"/>
      <c r="O9" s="76"/>
      <c r="P9" s="76"/>
      <c r="Q9" s="76"/>
      <c r="R9" s="76"/>
      <c r="S9" s="76"/>
    </row>
    <row r="10" spans="1:19" ht="20.100000000000001" customHeight="1">
      <c r="A10" s="880"/>
      <c r="B10" s="1152"/>
      <c r="C10" s="1106"/>
      <c r="D10" s="1106"/>
      <c r="E10" s="1106"/>
      <c r="F10" s="1106"/>
      <c r="G10" s="1106"/>
      <c r="H10" s="1106"/>
      <c r="I10" s="1104"/>
      <c r="J10" s="628" t="str">
        <f>'Tab.G1.1-4'!$D$11</f>
        <v>[tys. zł]</v>
      </c>
      <c r="K10" s="1102"/>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row>
    <row r="14" spans="1:19" s="82" customFormat="1" ht="12.75" customHeight="1">
      <c r="A14" s="900"/>
      <c r="B14" s="1123"/>
      <c r="C14" s="1153"/>
      <c r="D14" s="1125"/>
      <c r="E14" s="1125"/>
      <c r="F14" s="1130"/>
      <c r="G14" s="95"/>
      <c r="H14" s="1125"/>
      <c r="I14" s="1125"/>
      <c r="J14" s="1134"/>
      <c r="K14" s="1134"/>
      <c r="L14" s="892"/>
      <c r="M14" s="86"/>
      <c r="N14" s="96" t="s">
        <v>22</v>
      </c>
      <c r="O14" s="97" t="s">
        <v>59</v>
      </c>
    </row>
    <row r="15" spans="1:19" s="82" customFormat="1" ht="12.75" customHeight="1">
      <c r="A15" s="900"/>
      <c r="B15" s="1124"/>
      <c r="C15" s="1154"/>
      <c r="D15" s="1126"/>
      <c r="E15" s="1126"/>
      <c r="F15" s="1132"/>
      <c r="G15" s="100"/>
      <c r="H15" s="1126"/>
      <c r="I15" s="1126"/>
      <c r="J15" s="1135"/>
      <c r="K15" s="1135"/>
      <c r="L15" s="892"/>
      <c r="M15" s="86"/>
      <c r="N15" s="96" t="s">
        <v>23</v>
      </c>
      <c r="O15" s="97" t="s">
        <v>24</v>
      </c>
    </row>
    <row r="16" spans="1:19"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row>
    <row r="17" spans="1:15" s="82" customFormat="1" ht="12.75" customHeight="1" thickBot="1">
      <c r="A17" s="900"/>
      <c r="B17" s="1123"/>
      <c r="C17" s="1127"/>
      <c r="D17" s="1125"/>
      <c r="E17" s="1125"/>
      <c r="F17" s="1130"/>
      <c r="G17" s="95"/>
      <c r="H17" s="1125"/>
      <c r="I17" s="1125"/>
      <c r="J17" s="1134"/>
      <c r="K17" s="1134"/>
      <c r="L17" s="892"/>
      <c r="M17" s="86"/>
      <c r="N17" s="101" t="s">
        <v>18</v>
      </c>
      <c r="O17" s="102" t="s">
        <v>18</v>
      </c>
    </row>
    <row r="18" spans="1:15" s="82" customFormat="1" ht="12.75" customHeight="1">
      <c r="A18" s="900"/>
      <c r="B18" s="1124"/>
      <c r="C18" s="1128"/>
      <c r="D18" s="1126"/>
      <c r="E18" s="1126"/>
      <c r="F18" s="1132"/>
      <c r="G18" s="100"/>
      <c r="H18" s="1126"/>
      <c r="I18" s="1126"/>
      <c r="J18" s="1135"/>
      <c r="K18" s="1135"/>
      <c r="L18" s="892"/>
      <c r="M18" s="86"/>
      <c r="N18" s="103"/>
      <c r="O18" s="104"/>
    </row>
    <row r="19" spans="1:15" s="82" customFormat="1" ht="12.75" customHeight="1">
      <c r="A19" s="900"/>
      <c r="B19" s="1123">
        <v>3</v>
      </c>
      <c r="C19" s="1127"/>
      <c r="D19" s="1125"/>
      <c r="E19" s="1125" t="s">
        <v>18</v>
      </c>
      <c r="F19" s="1130" t="str">
        <f>VLOOKUP(E19,$N$13:$O$17,2,0)</f>
        <v>-</v>
      </c>
      <c r="G19" s="92"/>
      <c r="H19" s="1125"/>
      <c r="I19" s="1125"/>
      <c r="J19" s="1133"/>
      <c r="K19" s="1133"/>
      <c r="L19" s="892"/>
      <c r="M19" s="86"/>
      <c r="N19" s="103"/>
      <c r="O19" s="104"/>
    </row>
    <row r="20" spans="1:15" s="82" customFormat="1" ht="12.75" customHeight="1">
      <c r="A20" s="900"/>
      <c r="B20" s="1123"/>
      <c r="C20" s="1127"/>
      <c r="D20" s="1125"/>
      <c r="E20" s="1125"/>
      <c r="F20" s="1130"/>
      <c r="G20" s="95"/>
      <c r="H20" s="1125"/>
      <c r="I20" s="1125"/>
      <c r="J20" s="1134"/>
      <c r="K20" s="1134"/>
      <c r="L20" s="892"/>
      <c r="M20" s="86"/>
      <c r="N20" s="103"/>
      <c r="O20" s="104"/>
    </row>
    <row r="21" spans="1:15" s="82" customFormat="1" ht="12.75" customHeight="1">
      <c r="A21" s="900"/>
      <c r="B21" s="1124"/>
      <c r="C21" s="1128"/>
      <c r="D21" s="1126"/>
      <c r="E21" s="1126"/>
      <c r="F21" s="1132"/>
      <c r="G21" s="100"/>
      <c r="H21" s="1126"/>
      <c r="I21" s="1126"/>
      <c r="J21" s="1135"/>
      <c r="K21" s="1135"/>
      <c r="L21" s="892"/>
      <c r="M21" s="86"/>
      <c r="N21" s="103"/>
      <c r="O21" s="104"/>
    </row>
    <row r="22" spans="1:15" s="82" customFormat="1" ht="12.75" customHeight="1">
      <c r="A22" s="900"/>
      <c r="B22" s="1123">
        <v>4</v>
      </c>
      <c r="C22" s="1127"/>
      <c r="D22" s="1125"/>
      <c r="E22" s="1125" t="s">
        <v>18</v>
      </c>
      <c r="F22" s="1130" t="str">
        <f>VLOOKUP(E22,$N$13:$O$17,2,0)</f>
        <v>-</v>
      </c>
      <c r="G22" s="92"/>
      <c r="H22" s="1125"/>
      <c r="I22" s="1125"/>
      <c r="J22" s="1133"/>
      <c r="K22" s="1133"/>
      <c r="L22" s="892"/>
      <c r="M22" s="86"/>
      <c r="N22" s="103"/>
      <c r="O22" s="104"/>
    </row>
    <row r="23" spans="1:15" s="82" customFormat="1" ht="12.75" customHeight="1">
      <c r="A23" s="900"/>
      <c r="B23" s="1123"/>
      <c r="C23" s="1127"/>
      <c r="D23" s="1125"/>
      <c r="E23" s="1125"/>
      <c r="F23" s="1130"/>
      <c r="G23" s="95"/>
      <c r="H23" s="1125"/>
      <c r="I23" s="1125"/>
      <c r="J23" s="1134"/>
      <c r="K23" s="1134"/>
      <c r="L23" s="892"/>
      <c r="M23" s="86"/>
      <c r="N23" s="103"/>
      <c r="O23" s="104"/>
    </row>
    <row r="24" spans="1:15" s="82" customFormat="1" ht="12.75" customHeight="1">
      <c r="A24" s="900"/>
      <c r="B24" s="1124"/>
      <c r="C24" s="1128"/>
      <c r="D24" s="1126"/>
      <c r="E24" s="1126"/>
      <c r="F24" s="1132"/>
      <c r="G24" s="100"/>
      <c r="H24" s="1126"/>
      <c r="I24" s="1126"/>
      <c r="J24" s="1135"/>
      <c r="K24" s="1135"/>
      <c r="L24" s="892"/>
      <c r="M24" s="86"/>
      <c r="N24" s="103"/>
      <c r="O24" s="104"/>
    </row>
    <row r="25" spans="1:15" s="82" customFormat="1" ht="12.75" customHeight="1">
      <c r="A25" s="900"/>
      <c r="B25" s="1123">
        <v>5</v>
      </c>
      <c r="C25" s="1127"/>
      <c r="D25" s="1125"/>
      <c r="E25" s="1125" t="s">
        <v>18</v>
      </c>
      <c r="F25" s="1130" t="str">
        <f>VLOOKUP(E25,$N$13:$O$17,2,0)</f>
        <v>-</v>
      </c>
      <c r="G25" s="92"/>
      <c r="H25" s="1125"/>
      <c r="I25" s="1125"/>
      <c r="J25" s="1133"/>
      <c r="K25" s="1133"/>
      <c r="L25" s="892"/>
      <c r="M25" s="86"/>
      <c r="N25" s="103"/>
      <c r="O25" s="104"/>
    </row>
    <row r="26" spans="1:15" s="82" customFormat="1" ht="12.75" customHeight="1">
      <c r="A26" s="900"/>
      <c r="B26" s="1123"/>
      <c r="C26" s="1127"/>
      <c r="D26" s="1125"/>
      <c r="E26" s="1125"/>
      <c r="F26" s="1130"/>
      <c r="G26" s="95"/>
      <c r="H26" s="1125"/>
      <c r="I26" s="1125"/>
      <c r="J26" s="1134"/>
      <c r="K26" s="1134"/>
      <c r="L26" s="892"/>
      <c r="M26" s="86"/>
      <c r="N26" s="103"/>
      <c r="O26" s="104"/>
    </row>
    <row r="27" spans="1:15" s="82" customFormat="1" ht="12.75" customHeight="1">
      <c r="A27" s="900"/>
      <c r="B27" s="1124"/>
      <c r="C27" s="1128"/>
      <c r="D27" s="1126"/>
      <c r="E27" s="1126"/>
      <c r="F27" s="1132"/>
      <c r="G27" s="100"/>
      <c r="H27" s="1126"/>
      <c r="I27" s="1126"/>
      <c r="J27" s="1135"/>
      <c r="K27" s="1135"/>
      <c r="L27" s="892"/>
      <c r="M27" s="86"/>
      <c r="N27" s="103"/>
      <c r="O27" s="104"/>
    </row>
    <row r="28" spans="1:15" s="82" customFormat="1" ht="12.75" customHeight="1">
      <c r="A28" s="900"/>
      <c r="B28" s="1123">
        <v>6</v>
      </c>
      <c r="C28" s="1127"/>
      <c r="D28" s="1125"/>
      <c r="E28" s="1125" t="s">
        <v>18</v>
      </c>
      <c r="F28" s="1130" t="str">
        <f>VLOOKUP(E28,$N$13:$O$17,2,0)</f>
        <v>-</v>
      </c>
      <c r="G28" s="92"/>
      <c r="H28" s="1125"/>
      <c r="I28" s="1125"/>
      <c r="J28" s="1133"/>
      <c r="K28" s="1133"/>
      <c r="L28" s="892"/>
      <c r="M28" s="86"/>
      <c r="N28" s="103"/>
      <c r="O28" s="104"/>
    </row>
    <row r="29" spans="1:15" s="82" customFormat="1" ht="12.75" customHeight="1">
      <c r="A29" s="900"/>
      <c r="B29" s="1123"/>
      <c r="C29" s="1127"/>
      <c r="D29" s="1125"/>
      <c r="E29" s="1125"/>
      <c r="F29" s="1130"/>
      <c r="G29" s="95"/>
      <c r="H29" s="1125"/>
      <c r="I29" s="1125"/>
      <c r="J29" s="1134"/>
      <c r="K29" s="1134"/>
      <c r="L29" s="892"/>
      <c r="M29" s="86"/>
      <c r="N29" s="103"/>
      <c r="O29" s="104"/>
    </row>
    <row r="30" spans="1:15" s="82" customFormat="1" ht="12.75" customHeight="1">
      <c r="A30" s="900"/>
      <c r="B30" s="1124"/>
      <c r="C30" s="1128"/>
      <c r="D30" s="1126"/>
      <c r="E30" s="1126"/>
      <c r="F30" s="1132"/>
      <c r="G30" s="100"/>
      <c r="H30" s="1126"/>
      <c r="I30" s="1126"/>
      <c r="J30" s="1135"/>
      <c r="K30" s="1135"/>
      <c r="L30" s="892"/>
      <c r="M30" s="86"/>
      <c r="N30" s="103"/>
      <c r="O30" s="104"/>
    </row>
    <row r="31" spans="1:15" s="82" customFormat="1" ht="12.75" customHeight="1">
      <c r="A31" s="900"/>
      <c r="B31" s="1123">
        <v>7</v>
      </c>
      <c r="C31" s="1127"/>
      <c r="D31" s="1125"/>
      <c r="E31" s="1125" t="s">
        <v>18</v>
      </c>
      <c r="F31" s="1130" t="str">
        <f>VLOOKUP(E31,$N$13:$O$17,2,0)</f>
        <v>-</v>
      </c>
      <c r="G31" s="92"/>
      <c r="H31" s="1125"/>
      <c r="I31" s="1125"/>
      <c r="J31" s="1133"/>
      <c r="K31" s="1133"/>
      <c r="L31" s="892"/>
      <c r="M31" s="86"/>
      <c r="N31" s="103"/>
      <c r="O31" s="104"/>
    </row>
    <row r="32" spans="1:15" s="82" customFormat="1" ht="12.75" customHeight="1">
      <c r="A32" s="900"/>
      <c r="B32" s="1123"/>
      <c r="C32" s="1127"/>
      <c r="D32" s="1125"/>
      <c r="E32" s="1125"/>
      <c r="F32" s="1130"/>
      <c r="G32" s="95"/>
      <c r="H32" s="1125"/>
      <c r="I32" s="1125"/>
      <c r="J32" s="1134"/>
      <c r="K32" s="1134"/>
      <c r="L32" s="892"/>
      <c r="M32" s="86"/>
      <c r="N32" s="103"/>
      <c r="O32" s="104"/>
    </row>
    <row r="33" spans="1:15" s="82" customFormat="1" ht="12.75" customHeight="1">
      <c r="A33" s="900"/>
      <c r="B33" s="1124"/>
      <c r="C33" s="1128"/>
      <c r="D33" s="1126"/>
      <c r="E33" s="1126"/>
      <c r="F33" s="1132"/>
      <c r="G33" s="100"/>
      <c r="H33" s="1126"/>
      <c r="I33" s="1126"/>
      <c r="J33" s="1135"/>
      <c r="K33" s="1135"/>
      <c r="L33" s="892"/>
      <c r="M33" s="86"/>
      <c r="N33" s="103"/>
      <c r="O33" s="104"/>
    </row>
    <row r="34" spans="1:15" s="82" customFormat="1" ht="12.75" customHeight="1">
      <c r="A34" s="900"/>
      <c r="B34" s="1123">
        <v>8</v>
      </c>
      <c r="C34" s="1127"/>
      <c r="D34" s="1125"/>
      <c r="E34" s="1125" t="s">
        <v>18</v>
      </c>
      <c r="F34" s="1130" t="str">
        <f>VLOOKUP(E34,$N$13:$O$17,2,0)</f>
        <v>-</v>
      </c>
      <c r="G34" s="92"/>
      <c r="H34" s="1125"/>
      <c r="I34" s="1125"/>
      <c r="J34" s="1133"/>
      <c r="K34" s="1133"/>
      <c r="L34" s="892"/>
      <c r="M34" s="86"/>
      <c r="N34" s="103"/>
      <c r="O34" s="104"/>
    </row>
    <row r="35" spans="1:15" s="82" customFormat="1" ht="12.75" customHeight="1">
      <c r="A35" s="900"/>
      <c r="B35" s="1123"/>
      <c r="C35" s="1127"/>
      <c r="D35" s="1125"/>
      <c r="E35" s="1125"/>
      <c r="F35" s="1130"/>
      <c r="G35" s="825"/>
      <c r="H35" s="1125"/>
      <c r="I35" s="1125"/>
      <c r="J35" s="1134"/>
      <c r="K35" s="1134"/>
      <c r="L35" s="892"/>
      <c r="M35" s="86"/>
      <c r="N35" s="103"/>
      <c r="O35" s="104"/>
    </row>
    <row r="36" spans="1:15" s="82" customFormat="1" ht="12.75" customHeight="1">
      <c r="A36" s="900"/>
      <c r="B36" s="1124"/>
      <c r="C36" s="1128"/>
      <c r="D36" s="1126"/>
      <c r="E36" s="1126"/>
      <c r="F36" s="1132"/>
      <c r="G36" s="100"/>
      <c r="H36" s="1126"/>
      <c r="I36" s="1126"/>
      <c r="J36" s="1135"/>
      <c r="K36" s="1135"/>
      <c r="L36" s="892"/>
      <c r="M36" s="86"/>
      <c r="N36" s="103"/>
      <c r="O36" s="104"/>
    </row>
    <row r="37" spans="1:15" s="82" customFormat="1" ht="12.75" customHeight="1">
      <c r="A37" s="900"/>
      <c r="B37" s="1123">
        <v>9</v>
      </c>
      <c r="C37" s="1127"/>
      <c r="D37" s="1125"/>
      <c r="E37" s="1125" t="s">
        <v>18</v>
      </c>
      <c r="F37" s="1130" t="str">
        <f>VLOOKUP(E37,$N$13:$O$17,2,0)</f>
        <v>-</v>
      </c>
      <c r="G37" s="92"/>
      <c r="H37" s="1125"/>
      <c r="I37" s="1125"/>
      <c r="J37" s="1133"/>
      <c r="K37" s="1133"/>
      <c r="L37" s="892"/>
      <c r="M37" s="86"/>
      <c r="N37" s="103"/>
      <c r="O37" s="104"/>
    </row>
    <row r="38" spans="1:15" s="82" customFormat="1" ht="12.75" customHeight="1">
      <c r="A38" s="900"/>
      <c r="B38" s="1123"/>
      <c r="C38" s="1127"/>
      <c r="D38" s="1125"/>
      <c r="E38" s="1125"/>
      <c r="F38" s="1130"/>
      <c r="G38" s="95"/>
      <c r="H38" s="1125"/>
      <c r="I38" s="1125"/>
      <c r="J38" s="1134"/>
      <c r="K38" s="1134"/>
      <c r="L38" s="892"/>
      <c r="M38" s="86"/>
      <c r="N38" s="103"/>
      <c r="O38" s="104"/>
    </row>
    <row r="39" spans="1:15" s="82" customFormat="1" ht="12.75" customHeight="1">
      <c r="A39" s="900"/>
      <c r="B39" s="1124"/>
      <c r="C39" s="1128"/>
      <c r="D39" s="1126"/>
      <c r="E39" s="1126"/>
      <c r="F39" s="1132"/>
      <c r="G39" s="100"/>
      <c r="H39" s="1126"/>
      <c r="I39" s="1126"/>
      <c r="J39" s="1135"/>
      <c r="K39" s="1135"/>
      <c r="L39" s="892"/>
      <c r="M39" s="86"/>
      <c r="N39" s="103"/>
      <c r="O39" s="104"/>
    </row>
    <row r="40" spans="1:15" s="82" customFormat="1" ht="12.75" customHeight="1">
      <c r="A40" s="900"/>
      <c r="B40" s="1123">
        <v>10</v>
      </c>
      <c r="C40" s="1127"/>
      <c r="D40" s="1125"/>
      <c r="E40" s="1125" t="s">
        <v>18</v>
      </c>
      <c r="F40" s="1130" t="str">
        <f>VLOOKUP(E40,$N$13:$O$17,2,0)</f>
        <v>-</v>
      </c>
      <c r="G40" s="92"/>
      <c r="H40" s="1125"/>
      <c r="I40" s="1125"/>
      <c r="J40" s="1133"/>
      <c r="K40" s="1133"/>
      <c r="L40" s="892"/>
      <c r="M40" s="86"/>
      <c r="N40" s="103"/>
      <c r="O40" s="104"/>
    </row>
    <row r="41" spans="1:15" s="82" customFormat="1" ht="12.75" customHeight="1">
      <c r="A41" s="900"/>
      <c r="B41" s="1123"/>
      <c r="C41" s="1127"/>
      <c r="D41" s="1125"/>
      <c r="E41" s="1125"/>
      <c r="F41" s="1130"/>
      <c r="G41" s="95"/>
      <c r="H41" s="1125"/>
      <c r="I41" s="1125"/>
      <c r="J41" s="1134"/>
      <c r="K41" s="1134"/>
      <c r="L41" s="892"/>
      <c r="M41" s="86"/>
      <c r="N41" s="103"/>
      <c r="O41" s="104"/>
    </row>
    <row r="42" spans="1:15" s="82" customFormat="1" ht="12.75" customHeight="1" thickBot="1">
      <c r="A42" s="900"/>
      <c r="B42" s="1124"/>
      <c r="C42" s="1128"/>
      <c r="D42" s="1126"/>
      <c r="E42" s="1126"/>
      <c r="F42" s="1132"/>
      <c r="G42" s="100"/>
      <c r="H42" s="1126"/>
      <c r="I42" s="1126"/>
      <c r="J42" s="1135"/>
      <c r="K42" s="1135"/>
      <c r="L42" s="892"/>
      <c r="M42" s="86"/>
      <c r="N42" s="103"/>
      <c r="O42" s="104"/>
    </row>
    <row r="43" spans="1:15" s="103" customFormat="1" ht="15.75" hidden="1" customHeight="1" outlineLevel="1">
      <c r="A43" s="916"/>
      <c r="B43" s="1123">
        <v>11</v>
      </c>
      <c r="C43" s="1127"/>
      <c r="D43" s="1125"/>
      <c r="E43" s="1125" t="s">
        <v>18</v>
      </c>
      <c r="F43" s="1130" t="str">
        <f>VLOOKUP(E43,$N$13:$O$17,2,0)</f>
        <v>-</v>
      </c>
      <c r="G43" s="92"/>
      <c r="H43" s="1125"/>
      <c r="I43" s="1125"/>
      <c r="J43" s="1133"/>
      <c r="K43" s="1133"/>
      <c r="L43" s="916"/>
    </row>
    <row r="44" spans="1:15" s="103" customFormat="1" ht="15.75" hidden="1" customHeight="1" outlineLevel="1">
      <c r="A44" s="916"/>
      <c r="B44" s="1123"/>
      <c r="C44" s="1127"/>
      <c r="D44" s="1125"/>
      <c r="E44" s="1125"/>
      <c r="F44" s="1130"/>
      <c r="G44" s="95"/>
      <c r="H44" s="1125"/>
      <c r="I44" s="1125"/>
      <c r="J44" s="1134"/>
      <c r="K44" s="1134"/>
      <c r="L44" s="916"/>
    </row>
    <row r="45" spans="1:15" s="80" customFormat="1" ht="15.75" hidden="1" customHeight="1" outlineLevel="1">
      <c r="A45" s="910"/>
      <c r="B45" s="1124"/>
      <c r="C45" s="1128"/>
      <c r="D45" s="1126"/>
      <c r="E45" s="1126"/>
      <c r="F45" s="1132"/>
      <c r="G45" s="100"/>
      <c r="H45" s="1126"/>
      <c r="I45" s="1126"/>
      <c r="J45" s="1135"/>
      <c r="K45" s="1135"/>
      <c r="L45" s="910"/>
    </row>
    <row r="46" spans="1:15" s="80" customFormat="1" ht="15.75" hidden="1" customHeight="1" outlineLevel="1">
      <c r="A46" s="910"/>
      <c r="B46" s="1123">
        <v>12</v>
      </c>
      <c r="C46" s="1127"/>
      <c r="D46" s="1125"/>
      <c r="E46" s="1125" t="s">
        <v>18</v>
      </c>
      <c r="F46" s="1130" t="str">
        <f>VLOOKUP(E46,$N$13:$O$17,2,0)</f>
        <v>-</v>
      </c>
      <c r="G46" s="92"/>
      <c r="H46" s="1125"/>
      <c r="I46" s="1125"/>
      <c r="J46" s="1133"/>
      <c r="K46" s="1133"/>
      <c r="L46" s="910"/>
    </row>
    <row r="47" spans="1:15" s="103" customFormat="1" ht="15.75" hidden="1" customHeight="1" outlineLevel="1">
      <c r="A47" s="916"/>
      <c r="B47" s="1123"/>
      <c r="C47" s="1127"/>
      <c r="D47" s="1125"/>
      <c r="E47" s="1125"/>
      <c r="F47" s="1130"/>
      <c r="G47" s="95"/>
      <c r="H47" s="1125"/>
      <c r="I47" s="1125"/>
      <c r="J47" s="1134"/>
      <c r="K47" s="1134"/>
      <c r="L47" s="916"/>
    </row>
    <row r="48" spans="1:15" s="103" customFormat="1" ht="15.75" hidden="1" customHeight="1" outlineLevel="1">
      <c r="A48" s="916"/>
      <c r="B48" s="1124"/>
      <c r="C48" s="1128"/>
      <c r="D48" s="1126"/>
      <c r="E48" s="1126"/>
      <c r="F48" s="1132"/>
      <c r="G48" s="100"/>
      <c r="H48" s="1126"/>
      <c r="I48" s="1126"/>
      <c r="J48" s="1135"/>
      <c r="K48" s="1135"/>
      <c r="L48" s="916"/>
    </row>
    <row r="49" spans="1:12" s="103" customFormat="1" ht="15.75" hidden="1" customHeight="1" outlineLevel="1">
      <c r="A49" s="916"/>
      <c r="B49" s="1123">
        <v>13</v>
      </c>
      <c r="C49" s="1127"/>
      <c r="D49" s="1125"/>
      <c r="E49" s="1125" t="s">
        <v>18</v>
      </c>
      <c r="F49" s="1130" t="str">
        <f>VLOOKUP(E49,$N$13:$O$17,2,0)</f>
        <v>-</v>
      </c>
      <c r="G49" s="92"/>
      <c r="H49" s="1125"/>
      <c r="I49" s="1125"/>
      <c r="J49" s="1133"/>
      <c r="K49" s="1133"/>
      <c r="L49" s="916"/>
    </row>
    <row r="50" spans="1:12" s="103" customFormat="1" ht="15.75" hidden="1" customHeight="1" outlineLevel="1">
      <c r="A50" s="916"/>
      <c r="B50" s="1123"/>
      <c r="C50" s="1127"/>
      <c r="D50" s="1125"/>
      <c r="E50" s="1125"/>
      <c r="F50" s="1130"/>
      <c r="G50" s="95"/>
      <c r="H50" s="1125"/>
      <c r="I50" s="1125"/>
      <c r="J50" s="1134"/>
      <c r="K50" s="1134"/>
      <c r="L50" s="916"/>
    </row>
    <row r="51" spans="1:12" s="103" customFormat="1" ht="15.75" hidden="1" customHeight="1" outlineLevel="1">
      <c r="A51" s="916"/>
      <c r="B51" s="1124"/>
      <c r="C51" s="1128"/>
      <c r="D51" s="1126"/>
      <c r="E51" s="1126"/>
      <c r="F51" s="1132"/>
      <c r="G51" s="100"/>
      <c r="H51" s="1126"/>
      <c r="I51" s="1126"/>
      <c r="J51" s="1135"/>
      <c r="K51" s="1135"/>
      <c r="L51" s="916"/>
    </row>
    <row r="52" spans="1:12" s="103" customFormat="1" ht="15.75" hidden="1" customHeight="1" outlineLevel="1">
      <c r="A52" s="916"/>
      <c r="B52" s="1123">
        <v>14</v>
      </c>
      <c r="C52" s="1127"/>
      <c r="D52" s="1125"/>
      <c r="E52" s="1125" t="s">
        <v>18</v>
      </c>
      <c r="F52" s="1130" t="str">
        <f>VLOOKUP(E52,$N$13:$O$17,2,0)</f>
        <v>-</v>
      </c>
      <c r="G52" s="92"/>
      <c r="H52" s="1125"/>
      <c r="I52" s="1125"/>
      <c r="J52" s="1133"/>
      <c r="K52" s="1133"/>
      <c r="L52" s="916"/>
    </row>
    <row r="53" spans="1:12" s="103" customFormat="1" ht="15.75" hidden="1" customHeight="1" outlineLevel="1">
      <c r="A53" s="916"/>
      <c r="B53" s="1123"/>
      <c r="C53" s="1127"/>
      <c r="D53" s="1125"/>
      <c r="E53" s="1125"/>
      <c r="F53" s="1130"/>
      <c r="G53" s="95"/>
      <c r="H53" s="1125"/>
      <c r="I53" s="1125"/>
      <c r="J53" s="1134"/>
      <c r="K53" s="1134"/>
      <c r="L53" s="916"/>
    </row>
    <row r="54" spans="1:12" s="103" customFormat="1" ht="15.75" hidden="1" customHeight="1" outlineLevel="1">
      <c r="A54" s="916"/>
      <c r="B54" s="1124"/>
      <c r="C54" s="1128"/>
      <c r="D54" s="1126"/>
      <c r="E54" s="1126"/>
      <c r="F54" s="1132"/>
      <c r="G54" s="100"/>
      <c r="H54" s="1126"/>
      <c r="I54" s="1126"/>
      <c r="J54" s="1135"/>
      <c r="K54" s="1135"/>
      <c r="L54" s="916"/>
    </row>
    <row r="55" spans="1:12" s="103" customFormat="1" ht="15.75" hidden="1" customHeight="1" outlineLevel="1">
      <c r="A55" s="916"/>
      <c r="B55" s="1123">
        <v>15</v>
      </c>
      <c r="C55" s="1127"/>
      <c r="D55" s="1125"/>
      <c r="E55" s="1125" t="s">
        <v>18</v>
      </c>
      <c r="F55" s="1130" t="str">
        <f>VLOOKUP(E55,$N$13:$O$17,2,0)</f>
        <v>-</v>
      </c>
      <c r="G55" s="92"/>
      <c r="H55" s="1125"/>
      <c r="I55" s="1125"/>
      <c r="J55" s="1133"/>
      <c r="K55" s="1133"/>
      <c r="L55" s="916"/>
    </row>
    <row r="56" spans="1:12" s="103" customFormat="1" ht="15.75" hidden="1" customHeight="1" outlineLevel="1">
      <c r="A56" s="916"/>
      <c r="B56" s="1123"/>
      <c r="C56" s="1127"/>
      <c r="D56" s="1125"/>
      <c r="E56" s="1125"/>
      <c r="F56" s="1130"/>
      <c r="G56" s="95"/>
      <c r="H56" s="1125"/>
      <c r="I56" s="1125"/>
      <c r="J56" s="1134"/>
      <c r="K56" s="1134"/>
      <c r="L56" s="916"/>
    </row>
    <row r="57" spans="1:12" s="103" customFormat="1" ht="15.75" hidden="1" customHeight="1" outlineLevel="1">
      <c r="A57" s="916"/>
      <c r="B57" s="1124"/>
      <c r="C57" s="1128"/>
      <c r="D57" s="1126"/>
      <c r="E57" s="1126"/>
      <c r="F57" s="1132"/>
      <c r="G57" s="100"/>
      <c r="H57" s="1126"/>
      <c r="I57" s="1126"/>
      <c r="J57" s="1135"/>
      <c r="K57" s="1135"/>
      <c r="L57" s="916"/>
    </row>
    <row r="58" spans="1:12" s="103" customFormat="1" ht="15.75" hidden="1" customHeight="1" outlineLevel="1">
      <c r="A58" s="916"/>
      <c r="B58" s="1123">
        <v>16</v>
      </c>
      <c r="C58" s="1127"/>
      <c r="D58" s="1125"/>
      <c r="E58" s="1125" t="s">
        <v>18</v>
      </c>
      <c r="F58" s="1130" t="e">
        <f>IF(F$25=0,0,F32/F$25)</f>
        <v>#VALUE!</v>
      </c>
      <c r="G58" s="92"/>
      <c r="H58" s="1125"/>
      <c r="I58" s="1125"/>
      <c r="J58" s="1133"/>
      <c r="K58" s="1133"/>
      <c r="L58" s="916"/>
    </row>
    <row r="59" spans="1:12" s="103" customFormat="1" ht="15.75" hidden="1" customHeight="1" outlineLevel="1">
      <c r="A59" s="916"/>
      <c r="B59" s="1123"/>
      <c r="C59" s="1127"/>
      <c r="D59" s="1125"/>
      <c r="E59" s="1125"/>
      <c r="F59" s="1130"/>
      <c r="G59" s="95"/>
      <c r="H59" s="1125"/>
      <c r="I59" s="1125"/>
      <c r="J59" s="1134"/>
      <c r="K59" s="1134"/>
      <c r="L59" s="916"/>
    </row>
    <row r="60" spans="1:12" s="103" customFormat="1" ht="15.75" hidden="1" customHeight="1" outlineLevel="1">
      <c r="A60" s="916"/>
      <c r="B60" s="1124"/>
      <c r="C60" s="1128"/>
      <c r="D60" s="1126"/>
      <c r="E60" s="1126"/>
      <c r="F60" s="1132"/>
      <c r="G60" s="100"/>
      <c r="H60" s="1126"/>
      <c r="I60" s="1126"/>
      <c r="J60" s="1135"/>
      <c r="K60" s="1135"/>
      <c r="L60" s="916"/>
    </row>
    <row r="61" spans="1:12" s="103" customFormat="1" ht="15.75" hidden="1" customHeight="1" outlineLevel="1">
      <c r="A61" s="916"/>
      <c r="B61" s="1123">
        <v>17</v>
      </c>
      <c r="C61" s="1127"/>
      <c r="D61" s="1125"/>
      <c r="E61" s="1125" t="s">
        <v>18</v>
      </c>
      <c r="F61" s="1130" t="str">
        <f>VLOOKUP(E61,$N$13:$O$17,2,0)</f>
        <v>-</v>
      </c>
      <c r="G61" s="92"/>
      <c r="H61" s="1125"/>
      <c r="I61" s="1125"/>
      <c r="J61" s="1133"/>
      <c r="K61" s="1133"/>
      <c r="L61" s="916"/>
    </row>
    <row r="62" spans="1:12" s="103" customFormat="1" ht="15.75" hidden="1" customHeight="1" outlineLevel="1">
      <c r="A62" s="916"/>
      <c r="B62" s="1123"/>
      <c r="C62" s="1127"/>
      <c r="D62" s="1125"/>
      <c r="E62" s="1125"/>
      <c r="F62" s="1130"/>
      <c r="G62" s="95"/>
      <c r="H62" s="1125"/>
      <c r="I62" s="1125"/>
      <c r="J62" s="1134"/>
      <c r="K62" s="1134"/>
      <c r="L62" s="916"/>
    </row>
    <row r="63" spans="1:12" s="103" customFormat="1" ht="15.75" hidden="1" customHeight="1" outlineLevel="1">
      <c r="A63" s="916"/>
      <c r="B63" s="1124"/>
      <c r="C63" s="1128"/>
      <c r="D63" s="1126"/>
      <c r="E63" s="1126"/>
      <c r="F63" s="1132"/>
      <c r="G63" s="100"/>
      <c r="H63" s="1126"/>
      <c r="I63" s="1126"/>
      <c r="J63" s="1135"/>
      <c r="K63" s="1135"/>
      <c r="L63" s="916"/>
    </row>
    <row r="64" spans="1:12" s="103" customFormat="1" ht="15.75" hidden="1" customHeight="1" outlineLevel="1">
      <c r="A64" s="916"/>
      <c r="B64" s="1123">
        <v>18</v>
      </c>
      <c r="C64" s="1127"/>
      <c r="D64" s="1125"/>
      <c r="E64" s="1125" t="s">
        <v>18</v>
      </c>
      <c r="F64" s="1130" t="str">
        <f>VLOOKUP(E64,$N$13:$O$17,2,0)</f>
        <v>-</v>
      </c>
      <c r="G64" s="92"/>
      <c r="H64" s="1125"/>
      <c r="I64" s="1125"/>
      <c r="J64" s="1133"/>
      <c r="K64" s="1133"/>
      <c r="L64" s="916"/>
    </row>
    <row r="65" spans="1:12" s="103" customFormat="1" ht="15.75" hidden="1" customHeight="1" outlineLevel="1">
      <c r="A65" s="916"/>
      <c r="B65" s="1123"/>
      <c r="C65" s="1127"/>
      <c r="D65" s="1125"/>
      <c r="E65" s="1125"/>
      <c r="F65" s="1130"/>
      <c r="G65" s="95"/>
      <c r="H65" s="1125"/>
      <c r="I65" s="1125"/>
      <c r="J65" s="1134"/>
      <c r="K65" s="1134"/>
      <c r="L65" s="916"/>
    </row>
    <row r="66" spans="1:12" s="103" customFormat="1" ht="15.75" hidden="1" customHeight="1" outlineLevel="1">
      <c r="A66" s="916"/>
      <c r="B66" s="1124"/>
      <c r="C66" s="1128"/>
      <c r="D66" s="1126"/>
      <c r="E66" s="1126"/>
      <c r="F66" s="1132"/>
      <c r="G66" s="100"/>
      <c r="H66" s="1126"/>
      <c r="I66" s="1126"/>
      <c r="J66" s="1135"/>
      <c r="K66" s="1135"/>
      <c r="L66" s="916"/>
    </row>
    <row r="67" spans="1:12" s="103" customFormat="1" ht="15.75" hidden="1" customHeight="1" outlineLevel="1">
      <c r="A67" s="916"/>
      <c r="B67" s="1123">
        <v>19</v>
      </c>
      <c r="C67" s="1127"/>
      <c r="D67" s="1125"/>
      <c r="E67" s="1125" t="s">
        <v>18</v>
      </c>
      <c r="F67" s="1130" t="str">
        <f>VLOOKUP(E67,$N$13:$O$17,2,0)</f>
        <v>-</v>
      </c>
      <c r="G67" s="92"/>
      <c r="H67" s="1125"/>
      <c r="I67" s="1125"/>
      <c r="J67" s="1133"/>
      <c r="K67" s="1133"/>
      <c r="L67" s="916"/>
    </row>
    <row r="68" spans="1:12" s="103" customFormat="1" ht="15.75" hidden="1" customHeight="1" outlineLevel="1">
      <c r="A68" s="916"/>
      <c r="B68" s="1123"/>
      <c r="C68" s="1127"/>
      <c r="D68" s="1125"/>
      <c r="E68" s="1125"/>
      <c r="F68" s="1130"/>
      <c r="G68" s="95"/>
      <c r="H68" s="1125"/>
      <c r="I68" s="1125"/>
      <c r="J68" s="1134"/>
      <c r="K68" s="1134"/>
      <c r="L68" s="916"/>
    </row>
    <row r="69" spans="1:12" s="103" customFormat="1" ht="15.75" hidden="1" customHeight="1" outlineLevel="1">
      <c r="A69" s="916"/>
      <c r="B69" s="1124"/>
      <c r="C69" s="1128"/>
      <c r="D69" s="1126"/>
      <c r="E69" s="1126"/>
      <c r="F69" s="1132"/>
      <c r="G69" s="100"/>
      <c r="H69" s="1126"/>
      <c r="I69" s="1126"/>
      <c r="J69" s="1135"/>
      <c r="K69" s="1135"/>
      <c r="L69" s="916"/>
    </row>
    <row r="70" spans="1:12" s="103" customFormat="1" ht="15.75" hidden="1" customHeight="1" outlineLevel="1">
      <c r="A70" s="916"/>
      <c r="B70" s="1123">
        <v>20</v>
      </c>
      <c r="C70" s="1127"/>
      <c r="D70" s="1125"/>
      <c r="E70" s="1125" t="s">
        <v>18</v>
      </c>
      <c r="F70" s="1130" t="str">
        <f>VLOOKUP(E70,$N$13:$O$17,2,0)</f>
        <v>-</v>
      </c>
      <c r="G70" s="92"/>
      <c r="H70" s="1125"/>
      <c r="I70" s="1125"/>
      <c r="J70" s="1133"/>
      <c r="K70" s="1133"/>
      <c r="L70" s="916"/>
    </row>
    <row r="71" spans="1:12" s="103" customFormat="1" ht="15.75" hidden="1" customHeight="1" outlineLevel="1">
      <c r="A71" s="916"/>
      <c r="B71" s="1123"/>
      <c r="C71" s="1127"/>
      <c r="D71" s="1125"/>
      <c r="E71" s="1125"/>
      <c r="F71" s="1130"/>
      <c r="G71" s="95"/>
      <c r="H71" s="1125"/>
      <c r="I71" s="1125"/>
      <c r="J71" s="1134"/>
      <c r="K71" s="1134"/>
      <c r="L71" s="916"/>
    </row>
    <row r="72" spans="1:12" s="103" customFormat="1" ht="15.75" hidden="1" customHeight="1" outlineLevel="1">
      <c r="A72" s="916"/>
      <c r="B72" s="1124"/>
      <c r="C72" s="1128"/>
      <c r="D72" s="1126"/>
      <c r="E72" s="1126"/>
      <c r="F72" s="1132"/>
      <c r="G72" s="100"/>
      <c r="H72" s="1126"/>
      <c r="I72" s="1126"/>
      <c r="J72" s="1135"/>
      <c r="K72" s="1135"/>
      <c r="L72" s="916"/>
    </row>
    <row r="73" spans="1:12" s="103" customFormat="1" ht="15.75" hidden="1" customHeight="1" outlineLevel="1">
      <c r="A73" s="916"/>
      <c r="B73" s="1123">
        <v>21</v>
      </c>
      <c r="C73" s="1127"/>
      <c r="D73" s="1125"/>
      <c r="E73" s="1125" t="s">
        <v>18</v>
      </c>
      <c r="F73" s="1130" t="str">
        <f>VLOOKUP(E73,$N$13:$O$17,2,0)</f>
        <v>-</v>
      </c>
      <c r="G73" s="92"/>
      <c r="H73" s="1125"/>
      <c r="I73" s="1125"/>
      <c r="J73" s="1133"/>
      <c r="K73" s="1133"/>
      <c r="L73" s="916"/>
    </row>
    <row r="74" spans="1:12" s="103" customFormat="1" ht="15.75" hidden="1" customHeight="1" outlineLevel="1">
      <c r="A74" s="916"/>
      <c r="B74" s="1123"/>
      <c r="C74" s="1127"/>
      <c r="D74" s="1125"/>
      <c r="E74" s="1125"/>
      <c r="F74" s="1130"/>
      <c r="G74" s="95"/>
      <c r="H74" s="1125"/>
      <c r="I74" s="1125"/>
      <c r="J74" s="1134"/>
      <c r="K74" s="1134"/>
      <c r="L74" s="916"/>
    </row>
    <row r="75" spans="1:12" s="103" customFormat="1" ht="15.75" hidden="1" customHeight="1" outlineLevel="1">
      <c r="A75" s="916"/>
      <c r="B75" s="1124"/>
      <c r="C75" s="1128"/>
      <c r="D75" s="1126"/>
      <c r="E75" s="1126"/>
      <c r="F75" s="1132"/>
      <c r="G75" s="100"/>
      <c r="H75" s="1126"/>
      <c r="I75" s="1126"/>
      <c r="J75" s="1135"/>
      <c r="K75" s="1135"/>
      <c r="L75" s="916"/>
    </row>
    <row r="76" spans="1:12" s="103" customFormat="1" ht="15.75" hidden="1" customHeight="1" outlineLevel="1">
      <c r="A76" s="916"/>
      <c r="B76" s="1123">
        <v>22</v>
      </c>
      <c r="C76" s="1127"/>
      <c r="D76" s="1125"/>
      <c r="E76" s="1125" t="s">
        <v>18</v>
      </c>
      <c r="F76" s="1130" t="str">
        <f>VLOOKUP(E76,$N$13:$O$17,2,0)</f>
        <v>-</v>
      </c>
      <c r="G76" s="92"/>
      <c r="H76" s="1125"/>
      <c r="I76" s="1125"/>
      <c r="J76" s="1133"/>
      <c r="K76" s="1133"/>
      <c r="L76" s="916"/>
    </row>
    <row r="77" spans="1:12" s="103" customFormat="1" ht="15.75" hidden="1" customHeight="1" outlineLevel="1">
      <c r="A77" s="916"/>
      <c r="B77" s="1123"/>
      <c r="C77" s="1127"/>
      <c r="D77" s="1125"/>
      <c r="E77" s="1125"/>
      <c r="F77" s="1130"/>
      <c r="G77" s="95"/>
      <c r="H77" s="1125"/>
      <c r="I77" s="1125"/>
      <c r="J77" s="1134"/>
      <c r="K77" s="1134"/>
      <c r="L77" s="916"/>
    </row>
    <row r="78" spans="1:12" s="103" customFormat="1" ht="15.75" hidden="1" customHeight="1" outlineLevel="1">
      <c r="A78" s="916"/>
      <c r="B78" s="1124"/>
      <c r="C78" s="1128"/>
      <c r="D78" s="1126"/>
      <c r="E78" s="1126"/>
      <c r="F78" s="1132"/>
      <c r="G78" s="100"/>
      <c r="H78" s="1126"/>
      <c r="I78" s="1126"/>
      <c r="J78" s="1135"/>
      <c r="K78" s="1135"/>
      <c r="L78" s="916"/>
    </row>
    <row r="79" spans="1:12" s="103" customFormat="1" ht="15.75" hidden="1" customHeight="1" outlineLevel="1">
      <c r="A79" s="916"/>
      <c r="B79" s="1123">
        <v>23</v>
      </c>
      <c r="C79" s="1127"/>
      <c r="D79" s="1125"/>
      <c r="E79" s="1125" t="s">
        <v>18</v>
      </c>
      <c r="F79" s="1130" t="str">
        <f>VLOOKUP(E79,$N$13:$O$17,2,0)</f>
        <v>-</v>
      </c>
      <c r="G79" s="92"/>
      <c r="H79" s="1125"/>
      <c r="I79" s="1125"/>
      <c r="J79" s="1133"/>
      <c r="K79" s="1133"/>
      <c r="L79" s="916"/>
    </row>
    <row r="80" spans="1:12" s="103" customFormat="1" ht="15.75" hidden="1" customHeight="1" outlineLevel="1">
      <c r="A80" s="916"/>
      <c r="B80" s="1123"/>
      <c r="C80" s="1127"/>
      <c r="D80" s="1125"/>
      <c r="E80" s="1125"/>
      <c r="F80" s="1130"/>
      <c r="G80" s="95"/>
      <c r="H80" s="1125"/>
      <c r="I80" s="1125"/>
      <c r="J80" s="1134"/>
      <c r="K80" s="1134"/>
      <c r="L80" s="916"/>
    </row>
    <row r="81" spans="1:12" s="103" customFormat="1" ht="15.75" hidden="1" customHeight="1" outlineLevel="1">
      <c r="A81" s="916"/>
      <c r="B81" s="1124"/>
      <c r="C81" s="1128"/>
      <c r="D81" s="1126"/>
      <c r="E81" s="1126"/>
      <c r="F81" s="1132"/>
      <c r="G81" s="100"/>
      <c r="H81" s="1126"/>
      <c r="I81" s="1126"/>
      <c r="J81" s="1135"/>
      <c r="K81" s="1135"/>
      <c r="L81" s="916"/>
    </row>
    <row r="82" spans="1:12" s="103" customFormat="1" ht="15.75" hidden="1" customHeight="1" outlineLevel="1">
      <c r="A82" s="916"/>
      <c r="B82" s="1123">
        <v>24</v>
      </c>
      <c r="C82" s="1127"/>
      <c r="D82" s="1125"/>
      <c r="E82" s="1125" t="s">
        <v>18</v>
      </c>
      <c r="F82" s="1130" t="str">
        <f>VLOOKUP(E82,$N$13:$O$17,2,0)</f>
        <v>-</v>
      </c>
      <c r="G82" s="92"/>
      <c r="H82" s="1125"/>
      <c r="I82" s="1125"/>
      <c r="J82" s="1133"/>
      <c r="K82" s="1133"/>
      <c r="L82" s="916"/>
    </row>
    <row r="83" spans="1:12" s="103" customFormat="1" ht="15.75" hidden="1" customHeight="1" outlineLevel="1">
      <c r="A83" s="916"/>
      <c r="B83" s="1123"/>
      <c r="C83" s="1127"/>
      <c r="D83" s="1125"/>
      <c r="E83" s="1125"/>
      <c r="F83" s="1130"/>
      <c r="G83" s="95"/>
      <c r="H83" s="1125"/>
      <c r="I83" s="1125"/>
      <c r="J83" s="1134"/>
      <c r="K83" s="1134"/>
      <c r="L83" s="916"/>
    </row>
    <row r="84" spans="1:12" s="103" customFormat="1" ht="15.75" hidden="1" customHeight="1" outlineLevel="1">
      <c r="A84" s="916"/>
      <c r="B84" s="1124"/>
      <c r="C84" s="1128"/>
      <c r="D84" s="1126"/>
      <c r="E84" s="1126"/>
      <c r="F84" s="1132"/>
      <c r="G84" s="100"/>
      <c r="H84" s="1126"/>
      <c r="I84" s="1126"/>
      <c r="J84" s="1135"/>
      <c r="K84" s="1135"/>
      <c r="L84" s="916"/>
    </row>
    <row r="85" spans="1:12" s="103" customFormat="1" ht="15.75" hidden="1" customHeight="1" outlineLevel="1">
      <c r="A85" s="916"/>
      <c r="B85" s="1123">
        <v>25</v>
      </c>
      <c r="C85" s="1127"/>
      <c r="D85" s="1125"/>
      <c r="E85" s="1125" t="s">
        <v>18</v>
      </c>
      <c r="F85" s="1130" t="str">
        <f>VLOOKUP(E85,$N$13:$O$17,2,0)</f>
        <v>-</v>
      </c>
      <c r="G85" s="92"/>
      <c r="H85" s="1125"/>
      <c r="I85" s="1125"/>
      <c r="J85" s="1133"/>
      <c r="K85" s="1133"/>
      <c r="L85" s="916"/>
    </row>
    <row r="86" spans="1:12" s="103" customFormat="1" ht="15.75" hidden="1" customHeight="1" outlineLevel="1">
      <c r="A86" s="916"/>
      <c r="B86" s="1123"/>
      <c r="C86" s="1127"/>
      <c r="D86" s="1125"/>
      <c r="E86" s="1125"/>
      <c r="F86" s="1130"/>
      <c r="G86" s="95"/>
      <c r="H86" s="1125"/>
      <c r="I86" s="1125"/>
      <c r="J86" s="1134"/>
      <c r="K86" s="1134"/>
      <c r="L86" s="916"/>
    </row>
    <row r="87" spans="1:12" s="103" customFormat="1" ht="15.75" hidden="1" customHeight="1" outlineLevel="1">
      <c r="A87" s="916"/>
      <c r="B87" s="1124"/>
      <c r="C87" s="1128"/>
      <c r="D87" s="1126"/>
      <c r="E87" s="1126"/>
      <c r="F87" s="1132"/>
      <c r="G87" s="100"/>
      <c r="H87" s="1126"/>
      <c r="I87" s="1126"/>
      <c r="J87" s="1135"/>
      <c r="K87" s="1135"/>
      <c r="L87" s="916"/>
    </row>
    <row r="88" spans="1:12" s="103" customFormat="1" ht="15.75" hidden="1" customHeight="1" outlineLevel="1">
      <c r="A88" s="916"/>
      <c r="B88" s="1123">
        <v>26</v>
      </c>
      <c r="C88" s="1127"/>
      <c r="D88" s="1125"/>
      <c r="E88" s="1125" t="s">
        <v>18</v>
      </c>
      <c r="F88" s="1130" t="str">
        <f>VLOOKUP(E88,$N$13:$O$17,2,0)</f>
        <v>-</v>
      </c>
      <c r="G88" s="92"/>
      <c r="H88" s="1125"/>
      <c r="I88" s="1125"/>
      <c r="J88" s="1133"/>
      <c r="K88" s="1133"/>
      <c r="L88" s="916"/>
    </row>
    <row r="89" spans="1:12" s="103" customFormat="1" ht="15.75" hidden="1" customHeight="1" outlineLevel="1">
      <c r="A89" s="916"/>
      <c r="B89" s="1123"/>
      <c r="C89" s="1127"/>
      <c r="D89" s="1125"/>
      <c r="E89" s="1125"/>
      <c r="F89" s="1130"/>
      <c r="G89" s="95"/>
      <c r="H89" s="1125"/>
      <c r="I89" s="1125"/>
      <c r="J89" s="1134"/>
      <c r="K89" s="1134"/>
      <c r="L89" s="916"/>
    </row>
    <row r="90" spans="1:12" s="103" customFormat="1" ht="15.75" hidden="1" customHeight="1" outlineLevel="1">
      <c r="A90" s="916"/>
      <c r="B90" s="1124"/>
      <c r="C90" s="1128"/>
      <c r="D90" s="1126"/>
      <c r="E90" s="1126"/>
      <c r="F90" s="1132"/>
      <c r="G90" s="100"/>
      <c r="H90" s="1126"/>
      <c r="I90" s="1126"/>
      <c r="J90" s="1135"/>
      <c r="K90" s="1135"/>
      <c r="L90" s="916"/>
    </row>
    <row r="91" spans="1:12" s="103" customFormat="1" ht="15.75" hidden="1" customHeight="1" outlineLevel="1">
      <c r="A91" s="916"/>
      <c r="B91" s="1123">
        <v>27</v>
      </c>
      <c r="C91" s="1127"/>
      <c r="D91" s="1125"/>
      <c r="E91" s="1125" t="s">
        <v>18</v>
      </c>
      <c r="F91" s="1130" t="str">
        <f>VLOOKUP(E91,$N$13:$O$17,2,0)</f>
        <v>-</v>
      </c>
      <c r="G91" s="92"/>
      <c r="H91" s="1125"/>
      <c r="I91" s="1125"/>
      <c r="J91" s="1133"/>
      <c r="K91" s="1133"/>
      <c r="L91" s="916"/>
    </row>
    <row r="92" spans="1:12" s="103" customFormat="1" ht="15.75" hidden="1" customHeight="1" outlineLevel="1">
      <c r="A92" s="916"/>
      <c r="B92" s="1123"/>
      <c r="C92" s="1127"/>
      <c r="D92" s="1125"/>
      <c r="E92" s="1125"/>
      <c r="F92" s="1130"/>
      <c r="G92" s="95"/>
      <c r="H92" s="1125"/>
      <c r="I92" s="1125"/>
      <c r="J92" s="1134"/>
      <c r="K92" s="1134"/>
      <c r="L92" s="916"/>
    </row>
    <row r="93" spans="1:12" s="103" customFormat="1" ht="15.75" hidden="1" customHeight="1" outlineLevel="1">
      <c r="A93" s="916"/>
      <c r="B93" s="1124"/>
      <c r="C93" s="1128"/>
      <c r="D93" s="1126"/>
      <c r="E93" s="1126"/>
      <c r="F93" s="1132"/>
      <c r="G93" s="100"/>
      <c r="H93" s="1126"/>
      <c r="I93" s="1126"/>
      <c r="J93" s="1135"/>
      <c r="K93" s="1135"/>
      <c r="L93" s="916"/>
    </row>
    <row r="94" spans="1:12" s="103" customFormat="1" ht="15.75" hidden="1" customHeight="1" outlineLevel="1">
      <c r="A94" s="916"/>
      <c r="B94" s="1123">
        <v>28</v>
      </c>
      <c r="C94" s="1127"/>
      <c r="D94" s="1125"/>
      <c r="E94" s="1125" t="s">
        <v>18</v>
      </c>
      <c r="F94" s="1130" t="str">
        <f>VLOOKUP(E94,$N$13:$O$17,2,0)</f>
        <v>-</v>
      </c>
      <c r="G94" s="92"/>
      <c r="H94" s="1125"/>
      <c r="I94" s="1125"/>
      <c r="J94" s="1133"/>
      <c r="K94" s="1133"/>
      <c r="L94" s="916"/>
    </row>
    <row r="95" spans="1:12" s="103" customFormat="1" ht="15.75" hidden="1" customHeight="1" outlineLevel="1">
      <c r="A95" s="916"/>
      <c r="B95" s="1123"/>
      <c r="C95" s="1127"/>
      <c r="D95" s="1125"/>
      <c r="E95" s="1125"/>
      <c r="F95" s="1130"/>
      <c r="G95" s="95"/>
      <c r="H95" s="1125"/>
      <c r="I95" s="1125"/>
      <c r="J95" s="1134"/>
      <c r="K95" s="1134"/>
      <c r="L95" s="916"/>
    </row>
    <row r="96" spans="1:12" s="103" customFormat="1" ht="15.75" hidden="1" customHeight="1" outlineLevel="1">
      <c r="A96" s="916"/>
      <c r="B96" s="1124"/>
      <c r="C96" s="1128"/>
      <c r="D96" s="1126"/>
      <c r="E96" s="1126"/>
      <c r="F96" s="1132"/>
      <c r="G96" s="100"/>
      <c r="H96" s="1126"/>
      <c r="I96" s="1126"/>
      <c r="J96" s="1135"/>
      <c r="K96" s="1135"/>
      <c r="L96" s="916"/>
    </row>
    <row r="97" spans="1:12" s="103" customFormat="1" ht="15.75" hidden="1" customHeight="1" outlineLevel="1">
      <c r="A97" s="916"/>
      <c r="B97" s="1123">
        <v>29</v>
      </c>
      <c r="C97" s="1127"/>
      <c r="D97" s="1125"/>
      <c r="E97" s="1125" t="s">
        <v>18</v>
      </c>
      <c r="F97" s="1130" t="str">
        <f>VLOOKUP(E97,$N$13:$O$17,2,0)</f>
        <v>-</v>
      </c>
      <c r="G97" s="92"/>
      <c r="H97" s="1125"/>
      <c r="I97" s="1125"/>
      <c r="J97" s="1133"/>
      <c r="K97" s="1133"/>
      <c r="L97" s="916"/>
    </row>
    <row r="98" spans="1:12" s="103" customFormat="1" ht="15.75" hidden="1" customHeight="1" outlineLevel="1">
      <c r="A98" s="916"/>
      <c r="B98" s="1123"/>
      <c r="C98" s="1127"/>
      <c r="D98" s="1125"/>
      <c r="E98" s="1125"/>
      <c r="F98" s="1130"/>
      <c r="G98" s="95"/>
      <c r="H98" s="1125"/>
      <c r="I98" s="1125"/>
      <c r="J98" s="1134"/>
      <c r="K98" s="1134"/>
      <c r="L98" s="916"/>
    </row>
    <row r="99" spans="1:12" s="103" customFormat="1" ht="15.75" hidden="1" customHeight="1" outlineLevel="1">
      <c r="A99" s="916"/>
      <c r="B99" s="1124"/>
      <c r="C99" s="1128"/>
      <c r="D99" s="1126"/>
      <c r="E99" s="1126"/>
      <c r="F99" s="1132"/>
      <c r="G99" s="100"/>
      <c r="H99" s="1126"/>
      <c r="I99" s="1126"/>
      <c r="J99" s="1135"/>
      <c r="K99" s="1135"/>
      <c r="L99" s="916"/>
    </row>
    <row r="100" spans="1:12" s="103" customFormat="1" ht="15.75" hidden="1" customHeight="1" outlineLevel="1">
      <c r="A100" s="916"/>
      <c r="B100" s="1123">
        <v>30</v>
      </c>
      <c r="C100" s="1127"/>
      <c r="D100" s="1125"/>
      <c r="E100" s="1125" t="s">
        <v>18</v>
      </c>
      <c r="F100" s="1130" t="str">
        <f>VLOOKUP(E100,$N$13:$O$17,2,0)</f>
        <v>-</v>
      </c>
      <c r="G100" s="92"/>
      <c r="H100" s="1125"/>
      <c r="I100" s="1125"/>
      <c r="J100" s="1133"/>
      <c r="K100" s="1133"/>
      <c r="L100" s="916"/>
    </row>
    <row r="101" spans="1:12" s="103" customFormat="1" ht="15.75" hidden="1" customHeight="1" outlineLevel="1">
      <c r="A101" s="916"/>
      <c r="B101" s="1123"/>
      <c r="C101" s="1127"/>
      <c r="D101" s="1125"/>
      <c r="E101" s="1125"/>
      <c r="F101" s="1130"/>
      <c r="G101" s="95"/>
      <c r="H101" s="1125"/>
      <c r="I101" s="1125"/>
      <c r="J101" s="1134"/>
      <c r="K101" s="1134"/>
      <c r="L101" s="916"/>
    </row>
    <row r="102" spans="1:12" s="103" customFormat="1" ht="15.75" hidden="1" customHeight="1" outlineLevel="1">
      <c r="A102" s="916"/>
      <c r="B102" s="1124"/>
      <c r="C102" s="1128"/>
      <c r="D102" s="1126"/>
      <c r="E102" s="1126"/>
      <c r="F102" s="1132"/>
      <c r="G102" s="100"/>
      <c r="H102" s="1126"/>
      <c r="I102" s="1126"/>
      <c r="J102" s="1135"/>
      <c r="K102" s="1135"/>
      <c r="L102" s="916"/>
    </row>
    <row r="103" spans="1:12" s="103" customFormat="1" ht="15.75" hidden="1" customHeight="1" outlineLevel="1">
      <c r="A103" s="916"/>
      <c r="B103" s="1123">
        <v>31</v>
      </c>
      <c r="C103" s="1127"/>
      <c r="D103" s="1125"/>
      <c r="E103" s="1125" t="s">
        <v>18</v>
      </c>
      <c r="F103" s="1130" t="str">
        <f>VLOOKUP(E103,$N$13:$O$17,2,0)</f>
        <v>-</v>
      </c>
      <c r="G103" s="92"/>
      <c r="H103" s="1125"/>
      <c r="I103" s="1125"/>
      <c r="J103" s="1133"/>
      <c r="K103" s="1133"/>
      <c r="L103" s="916"/>
    </row>
    <row r="104" spans="1:12" s="103" customFormat="1" ht="15.75" hidden="1" customHeight="1" outlineLevel="1">
      <c r="A104" s="916"/>
      <c r="B104" s="1123"/>
      <c r="C104" s="1127"/>
      <c r="D104" s="1125"/>
      <c r="E104" s="1125"/>
      <c r="F104" s="1130"/>
      <c r="G104" s="95"/>
      <c r="H104" s="1125"/>
      <c r="I104" s="1125"/>
      <c r="J104" s="1134"/>
      <c r="K104" s="1134"/>
      <c r="L104" s="916"/>
    </row>
    <row r="105" spans="1:12" s="103" customFormat="1" ht="15.75" hidden="1" customHeight="1" outlineLevel="1">
      <c r="A105" s="916"/>
      <c r="B105" s="1124"/>
      <c r="C105" s="1128"/>
      <c r="D105" s="1126"/>
      <c r="E105" s="1126"/>
      <c r="F105" s="1132"/>
      <c r="G105" s="100"/>
      <c r="H105" s="1126"/>
      <c r="I105" s="1126"/>
      <c r="J105" s="1135"/>
      <c r="K105" s="1135"/>
      <c r="L105" s="916"/>
    </row>
    <row r="106" spans="1:12" s="103" customFormat="1" ht="15.75" hidden="1" customHeight="1" outlineLevel="1">
      <c r="A106" s="916"/>
      <c r="B106" s="1123">
        <v>32</v>
      </c>
      <c r="C106" s="1127"/>
      <c r="D106" s="1125"/>
      <c r="E106" s="1125" t="s">
        <v>18</v>
      </c>
      <c r="F106" s="1130" t="str">
        <f>VLOOKUP(E106,$N$13:$O$17,2,0)</f>
        <v>-</v>
      </c>
      <c r="G106" s="92"/>
      <c r="H106" s="1125"/>
      <c r="I106" s="1125"/>
      <c r="J106" s="1133"/>
      <c r="K106" s="1133"/>
      <c r="L106" s="916"/>
    </row>
    <row r="107" spans="1:12" s="103" customFormat="1" ht="15.75" hidden="1" customHeight="1" outlineLevel="1">
      <c r="A107" s="916"/>
      <c r="B107" s="1123"/>
      <c r="C107" s="1127"/>
      <c r="D107" s="1125"/>
      <c r="E107" s="1125"/>
      <c r="F107" s="1130"/>
      <c r="G107" s="95"/>
      <c r="H107" s="1125"/>
      <c r="I107" s="1125"/>
      <c r="J107" s="1134"/>
      <c r="K107" s="1134"/>
      <c r="L107" s="916"/>
    </row>
    <row r="108" spans="1:12" s="103" customFormat="1" ht="15.75" hidden="1" customHeight="1" outlineLevel="1">
      <c r="A108" s="916"/>
      <c r="B108" s="1124"/>
      <c r="C108" s="1128"/>
      <c r="D108" s="1126"/>
      <c r="E108" s="1126"/>
      <c r="F108" s="1132"/>
      <c r="G108" s="100"/>
      <c r="H108" s="1126"/>
      <c r="I108" s="1126"/>
      <c r="J108" s="1135"/>
      <c r="K108" s="1135"/>
      <c r="L108" s="916"/>
    </row>
    <row r="109" spans="1:12" s="103" customFormat="1" ht="15.75" hidden="1" customHeight="1" outlineLevel="1">
      <c r="A109" s="916"/>
      <c r="B109" s="1123">
        <v>33</v>
      </c>
      <c r="C109" s="1127"/>
      <c r="D109" s="1125"/>
      <c r="E109" s="1125" t="s">
        <v>18</v>
      </c>
      <c r="F109" s="1130" t="str">
        <f>VLOOKUP(E109,$N$13:$O$17,2,0)</f>
        <v>-</v>
      </c>
      <c r="G109" s="92"/>
      <c r="H109" s="1125"/>
      <c r="I109" s="1125"/>
      <c r="J109" s="1133"/>
      <c r="K109" s="1133"/>
      <c r="L109" s="916"/>
    </row>
    <row r="110" spans="1:12" s="103" customFormat="1" ht="15.75" hidden="1" customHeight="1" outlineLevel="1">
      <c r="A110" s="916"/>
      <c r="B110" s="1123"/>
      <c r="C110" s="1127"/>
      <c r="D110" s="1125"/>
      <c r="E110" s="1125"/>
      <c r="F110" s="1130"/>
      <c r="G110" s="95"/>
      <c r="H110" s="1125"/>
      <c r="I110" s="1125"/>
      <c r="J110" s="1134"/>
      <c r="K110" s="1134"/>
      <c r="L110" s="916"/>
    </row>
    <row r="111" spans="1:12" s="103" customFormat="1" ht="15.75" hidden="1" customHeight="1" outlineLevel="1">
      <c r="A111" s="916"/>
      <c r="B111" s="1124"/>
      <c r="C111" s="1128"/>
      <c r="D111" s="1126"/>
      <c r="E111" s="1126"/>
      <c r="F111" s="1132"/>
      <c r="G111" s="100"/>
      <c r="H111" s="1126"/>
      <c r="I111" s="1126"/>
      <c r="J111" s="1135"/>
      <c r="K111" s="1135"/>
      <c r="L111" s="916"/>
    </row>
    <row r="112" spans="1:12" s="103" customFormat="1" ht="15.75" hidden="1" customHeight="1" outlineLevel="1">
      <c r="A112" s="916"/>
      <c r="B112" s="1123">
        <v>34</v>
      </c>
      <c r="C112" s="1127"/>
      <c r="D112" s="1125"/>
      <c r="E112" s="1125" t="s">
        <v>18</v>
      </c>
      <c r="F112" s="1130" t="str">
        <f>VLOOKUP(E112,$N$13:$O$17,2,0)</f>
        <v>-</v>
      </c>
      <c r="G112" s="92"/>
      <c r="H112" s="1125"/>
      <c r="I112" s="1125"/>
      <c r="J112" s="1133"/>
      <c r="K112" s="1133"/>
      <c r="L112" s="916"/>
    </row>
    <row r="113" spans="1:12" s="103" customFormat="1" ht="15.75" hidden="1" customHeight="1" outlineLevel="1">
      <c r="A113" s="916"/>
      <c r="B113" s="1123"/>
      <c r="C113" s="1127"/>
      <c r="D113" s="1125"/>
      <c r="E113" s="1125"/>
      <c r="F113" s="1130"/>
      <c r="G113" s="95"/>
      <c r="H113" s="1125"/>
      <c r="I113" s="1125"/>
      <c r="J113" s="1134"/>
      <c r="K113" s="1134"/>
      <c r="L113" s="916"/>
    </row>
    <row r="114" spans="1:12" s="103" customFormat="1" ht="15.75" hidden="1" customHeight="1" outlineLevel="1">
      <c r="A114" s="916"/>
      <c r="B114" s="1124"/>
      <c r="C114" s="1128"/>
      <c r="D114" s="1126"/>
      <c r="E114" s="1126"/>
      <c r="F114" s="1132"/>
      <c r="G114" s="100"/>
      <c r="H114" s="1126"/>
      <c r="I114" s="1126"/>
      <c r="J114" s="1135"/>
      <c r="K114" s="1135"/>
      <c r="L114" s="916"/>
    </row>
    <row r="115" spans="1:12" s="103" customFormat="1" ht="15.75" hidden="1" customHeight="1" outlineLevel="1">
      <c r="A115" s="916"/>
      <c r="B115" s="1123">
        <v>35</v>
      </c>
      <c r="C115" s="1127"/>
      <c r="D115" s="1125"/>
      <c r="E115" s="1125" t="s">
        <v>18</v>
      </c>
      <c r="F115" s="1130" t="str">
        <f>VLOOKUP(E115,$N$13:$O$17,2,0)</f>
        <v>-</v>
      </c>
      <c r="G115" s="92"/>
      <c r="H115" s="1125"/>
      <c r="I115" s="1125"/>
      <c r="J115" s="1133"/>
      <c r="K115" s="1133"/>
      <c r="L115" s="916"/>
    </row>
    <row r="116" spans="1:12" s="103" customFormat="1" ht="15.75" hidden="1" customHeight="1" outlineLevel="1">
      <c r="A116" s="916"/>
      <c r="B116" s="1123"/>
      <c r="C116" s="1127"/>
      <c r="D116" s="1125"/>
      <c r="E116" s="1125"/>
      <c r="F116" s="1130"/>
      <c r="G116" s="95"/>
      <c r="H116" s="1125"/>
      <c r="I116" s="1125"/>
      <c r="J116" s="1134"/>
      <c r="K116" s="1134"/>
      <c r="L116" s="916"/>
    </row>
    <row r="117" spans="1:12" s="103" customFormat="1" ht="15.75" hidden="1" customHeight="1" outlineLevel="1">
      <c r="A117" s="916"/>
      <c r="B117" s="1124"/>
      <c r="C117" s="1128"/>
      <c r="D117" s="1126"/>
      <c r="E117" s="1126"/>
      <c r="F117" s="1132"/>
      <c r="G117" s="100"/>
      <c r="H117" s="1126"/>
      <c r="I117" s="1126"/>
      <c r="J117" s="1135"/>
      <c r="K117" s="1135"/>
      <c r="L117" s="916"/>
    </row>
    <row r="118" spans="1:12" s="103" customFormat="1" ht="15.75" hidden="1" customHeight="1" outlineLevel="1">
      <c r="A118" s="916"/>
      <c r="B118" s="1123">
        <v>36</v>
      </c>
      <c r="C118" s="1127"/>
      <c r="D118" s="1125"/>
      <c r="E118" s="1125" t="s">
        <v>18</v>
      </c>
      <c r="F118" s="1130" t="str">
        <f>VLOOKUP(E118,$N$13:$O$17,2,0)</f>
        <v>-</v>
      </c>
      <c r="G118" s="92"/>
      <c r="H118" s="1125"/>
      <c r="I118" s="1125"/>
      <c r="J118" s="1133"/>
      <c r="K118" s="1133"/>
      <c r="L118" s="916"/>
    </row>
    <row r="119" spans="1:12" s="103" customFormat="1" ht="15.75" hidden="1" customHeight="1" outlineLevel="1">
      <c r="A119" s="916"/>
      <c r="B119" s="1123"/>
      <c r="C119" s="1127"/>
      <c r="D119" s="1125"/>
      <c r="E119" s="1125"/>
      <c r="F119" s="1130"/>
      <c r="G119" s="95"/>
      <c r="H119" s="1125"/>
      <c r="I119" s="1125"/>
      <c r="J119" s="1134"/>
      <c r="K119" s="1134"/>
      <c r="L119" s="916"/>
    </row>
    <row r="120" spans="1:12" s="103" customFormat="1" ht="15.75" hidden="1" customHeight="1" outlineLevel="1">
      <c r="A120" s="916"/>
      <c r="B120" s="1124"/>
      <c r="C120" s="1128"/>
      <c r="D120" s="1126"/>
      <c r="E120" s="1126"/>
      <c r="F120" s="1132"/>
      <c r="G120" s="100"/>
      <c r="H120" s="1126"/>
      <c r="I120" s="1126"/>
      <c r="J120" s="1135"/>
      <c r="K120" s="1135"/>
      <c r="L120" s="916"/>
    </row>
    <row r="121" spans="1:12" s="103" customFormat="1" ht="15.75" hidden="1" customHeight="1" outlineLevel="1">
      <c r="A121" s="916"/>
      <c r="B121" s="1123">
        <v>37</v>
      </c>
      <c r="C121" s="1127"/>
      <c r="D121" s="1125"/>
      <c r="E121" s="1125" t="s">
        <v>18</v>
      </c>
      <c r="F121" s="1130" t="str">
        <f>VLOOKUP(E121,$N$13:$O$17,2,0)</f>
        <v>-</v>
      </c>
      <c r="G121" s="92"/>
      <c r="H121" s="1125"/>
      <c r="I121" s="1125"/>
      <c r="J121" s="1133"/>
      <c r="K121" s="1133"/>
      <c r="L121" s="916"/>
    </row>
    <row r="122" spans="1:12" s="103" customFormat="1" ht="15.75" hidden="1" customHeight="1" outlineLevel="1">
      <c r="A122" s="916"/>
      <c r="B122" s="1123"/>
      <c r="C122" s="1127"/>
      <c r="D122" s="1125"/>
      <c r="E122" s="1125"/>
      <c r="F122" s="1130"/>
      <c r="G122" s="95"/>
      <c r="H122" s="1125"/>
      <c r="I122" s="1125"/>
      <c r="J122" s="1134"/>
      <c r="K122" s="1134"/>
      <c r="L122" s="916"/>
    </row>
    <row r="123" spans="1:12" s="103" customFormat="1" ht="15.75" hidden="1" customHeight="1" outlineLevel="1">
      <c r="A123" s="916"/>
      <c r="B123" s="1124"/>
      <c r="C123" s="1128"/>
      <c r="D123" s="1126"/>
      <c r="E123" s="1126"/>
      <c r="F123" s="1132"/>
      <c r="G123" s="100"/>
      <c r="H123" s="1126"/>
      <c r="I123" s="1126"/>
      <c r="J123" s="1135"/>
      <c r="K123" s="1135"/>
      <c r="L123" s="916"/>
    </row>
    <row r="124" spans="1:12" s="103" customFormat="1" ht="15.75" hidden="1" customHeight="1" outlineLevel="1">
      <c r="A124" s="916"/>
      <c r="B124" s="1123">
        <v>38</v>
      </c>
      <c r="C124" s="1127"/>
      <c r="D124" s="1125"/>
      <c r="E124" s="1125" t="s">
        <v>18</v>
      </c>
      <c r="F124" s="1130" t="str">
        <f>VLOOKUP(E124,$N$13:$O$17,2,0)</f>
        <v>-</v>
      </c>
      <c r="G124" s="92"/>
      <c r="H124" s="1125"/>
      <c r="I124" s="1125"/>
      <c r="J124" s="1133"/>
      <c r="K124" s="1133"/>
      <c r="L124" s="916"/>
    </row>
    <row r="125" spans="1:12" s="103" customFormat="1" ht="15.75" hidden="1" customHeight="1" outlineLevel="1">
      <c r="A125" s="916"/>
      <c r="B125" s="1123"/>
      <c r="C125" s="1127"/>
      <c r="D125" s="1125"/>
      <c r="E125" s="1125"/>
      <c r="F125" s="1130"/>
      <c r="G125" s="95"/>
      <c r="H125" s="1125"/>
      <c r="I125" s="1125"/>
      <c r="J125" s="1134"/>
      <c r="K125" s="1134"/>
      <c r="L125" s="916"/>
    </row>
    <row r="126" spans="1:12" s="103" customFormat="1" ht="15.75" hidden="1" customHeight="1" outlineLevel="1">
      <c r="A126" s="916"/>
      <c r="B126" s="1124"/>
      <c r="C126" s="1128"/>
      <c r="D126" s="1126"/>
      <c r="E126" s="1126"/>
      <c r="F126" s="1132"/>
      <c r="G126" s="100"/>
      <c r="H126" s="1126"/>
      <c r="I126" s="1126"/>
      <c r="J126" s="1135"/>
      <c r="K126" s="1135"/>
      <c r="L126" s="916"/>
    </row>
    <row r="127" spans="1:12" s="103" customFormat="1" ht="15.75" hidden="1" customHeight="1" outlineLevel="1">
      <c r="A127" s="916"/>
      <c r="B127" s="1123">
        <v>39</v>
      </c>
      <c r="C127" s="1127"/>
      <c r="D127" s="1125"/>
      <c r="E127" s="1125" t="s">
        <v>18</v>
      </c>
      <c r="F127" s="1130" t="str">
        <f>VLOOKUP(E127,$N$13:$O$17,2,0)</f>
        <v>-</v>
      </c>
      <c r="G127" s="92"/>
      <c r="H127" s="1125"/>
      <c r="I127" s="1125"/>
      <c r="J127" s="1133"/>
      <c r="K127" s="1133"/>
      <c r="L127" s="916"/>
    </row>
    <row r="128" spans="1:12" s="103" customFormat="1" ht="15.75" hidden="1" customHeight="1" outlineLevel="1">
      <c r="A128" s="916"/>
      <c r="B128" s="1123"/>
      <c r="C128" s="1127"/>
      <c r="D128" s="1125"/>
      <c r="E128" s="1125"/>
      <c r="F128" s="1130"/>
      <c r="G128" s="95"/>
      <c r="H128" s="1125"/>
      <c r="I128" s="1125"/>
      <c r="J128" s="1134"/>
      <c r="K128" s="1134"/>
      <c r="L128" s="916"/>
    </row>
    <row r="129" spans="1:12" s="103" customFormat="1" ht="15.75" hidden="1" customHeight="1" outlineLevel="1">
      <c r="A129" s="916"/>
      <c r="B129" s="1124"/>
      <c r="C129" s="1128"/>
      <c r="D129" s="1126"/>
      <c r="E129" s="1126"/>
      <c r="F129" s="1132"/>
      <c r="G129" s="100"/>
      <c r="H129" s="1126"/>
      <c r="I129" s="1126"/>
      <c r="J129" s="1135"/>
      <c r="K129" s="1135"/>
      <c r="L129" s="916"/>
    </row>
    <row r="130" spans="1:12" s="103" customFormat="1" ht="15.75" hidden="1" customHeight="1" outlineLevel="1">
      <c r="A130" s="916"/>
      <c r="B130" s="1123">
        <v>40</v>
      </c>
      <c r="C130" s="1127"/>
      <c r="D130" s="1125"/>
      <c r="E130" s="1125" t="s">
        <v>18</v>
      </c>
      <c r="F130" s="1130" t="str">
        <f>VLOOKUP(E130,$N$13:$O$17,2,0)</f>
        <v>-</v>
      </c>
      <c r="G130" s="92"/>
      <c r="H130" s="1125"/>
      <c r="I130" s="1125"/>
      <c r="J130" s="1133"/>
      <c r="K130" s="1133"/>
      <c r="L130" s="916"/>
    </row>
    <row r="131" spans="1:12" s="103" customFormat="1" ht="15.75" hidden="1" customHeight="1" outlineLevel="1">
      <c r="A131" s="916"/>
      <c r="B131" s="1123"/>
      <c r="C131" s="1127"/>
      <c r="D131" s="1125"/>
      <c r="E131" s="1125"/>
      <c r="F131" s="1130"/>
      <c r="G131" s="95"/>
      <c r="H131" s="1125"/>
      <c r="I131" s="1125"/>
      <c r="J131" s="1134"/>
      <c r="K131" s="1134"/>
      <c r="L131" s="916"/>
    </row>
    <row r="132" spans="1:12" s="103" customFormat="1" ht="15.75" hidden="1" customHeight="1" outlineLevel="1">
      <c r="A132" s="916"/>
      <c r="B132" s="1124"/>
      <c r="C132" s="1128"/>
      <c r="D132" s="1126"/>
      <c r="E132" s="1126"/>
      <c r="F132" s="1132"/>
      <c r="G132" s="100"/>
      <c r="H132" s="1126"/>
      <c r="I132" s="1126"/>
      <c r="J132" s="1135"/>
      <c r="K132" s="1135"/>
      <c r="L132" s="916"/>
    </row>
    <row r="133" spans="1:12" s="103" customFormat="1" ht="15.75" hidden="1" customHeight="1" outlineLevel="1">
      <c r="A133" s="916"/>
      <c r="B133" s="1123">
        <v>41</v>
      </c>
      <c r="C133" s="1127"/>
      <c r="D133" s="1125"/>
      <c r="E133" s="1125" t="s">
        <v>18</v>
      </c>
      <c r="F133" s="1130" t="str">
        <f>VLOOKUP(E133,$N$13:$O$17,2,0)</f>
        <v>-</v>
      </c>
      <c r="G133" s="92"/>
      <c r="H133" s="1125"/>
      <c r="I133" s="1125"/>
      <c r="J133" s="1133"/>
      <c r="K133" s="1133"/>
      <c r="L133" s="916"/>
    </row>
    <row r="134" spans="1:12" s="103" customFormat="1" ht="15.75" hidden="1" customHeight="1" outlineLevel="1">
      <c r="A134" s="916"/>
      <c r="B134" s="1123"/>
      <c r="C134" s="1127"/>
      <c r="D134" s="1125"/>
      <c r="E134" s="1125"/>
      <c r="F134" s="1130"/>
      <c r="G134" s="95"/>
      <c r="H134" s="1125"/>
      <c r="I134" s="1125"/>
      <c r="J134" s="1134"/>
      <c r="K134" s="1134"/>
      <c r="L134" s="916"/>
    </row>
    <row r="135" spans="1:12" s="103" customFormat="1" ht="15.75" hidden="1" customHeight="1" outlineLevel="1">
      <c r="A135" s="916"/>
      <c r="B135" s="1124"/>
      <c r="C135" s="1128"/>
      <c r="D135" s="1126"/>
      <c r="E135" s="1126"/>
      <c r="F135" s="1132"/>
      <c r="G135" s="100"/>
      <c r="H135" s="1126"/>
      <c r="I135" s="1126"/>
      <c r="J135" s="1135"/>
      <c r="K135" s="1135"/>
      <c r="L135" s="916"/>
    </row>
    <row r="136" spans="1:12" s="103" customFormat="1" ht="15.75" hidden="1" customHeight="1" outlineLevel="1">
      <c r="A136" s="916"/>
      <c r="B136" s="1123">
        <v>42</v>
      </c>
      <c r="C136" s="1127"/>
      <c r="D136" s="1125"/>
      <c r="E136" s="1125" t="s">
        <v>18</v>
      </c>
      <c r="F136" s="1130" t="str">
        <f>VLOOKUP(E136,$N$13:$O$17,2,0)</f>
        <v>-</v>
      </c>
      <c r="G136" s="92"/>
      <c r="H136" s="1125"/>
      <c r="I136" s="1125"/>
      <c r="J136" s="1133"/>
      <c r="K136" s="1133"/>
      <c r="L136" s="916"/>
    </row>
    <row r="137" spans="1:12" s="103" customFormat="1" ht="15.75" hidden="1" customHeight="1" outlineLevel="1">
      <c r="A137" s="916"/>
      <c r="B137" s="1123"/>
      <c r="C137" s="1127"/>
      <c r="D137" s="1125"/>
      <c r="E137" s="1125"/>
      <c r="F137" s="1130"/>
      <c r="G137" s="95"/>
      <c r="H137" s="1125"/>
      <c r="I137" s="1125"/>
      <c r="J137" s="1134"/>
      <c r="K137" s="1134"/>
      <c r="L137" s="916"/>
    </row>
    <row r="138" spans="1:12" s="103" customFormat="1" ht="15.75" hidden="1" customHeight="1" outlineLevel="1">
      <c r="A138" s="916"/>
      <c r="B138" s="1124"/>
      <c r="C138" s="1128"/>
      <c r="D138" s="1126"/>
      <c r="E138" s="1126"/>
      <c r="F138" s="1132"/>
      <c r="G138" s="100"/>
      <c r="H138" s="1126"/>
      <c r="I138" s="1126"/>
      <c r="J138" s="1135"/>
      <c r="K138" s="1135"/>
      <c r="L138" s="916"/>
    </row>
    <row r="139" spans="1:12" s="103" customFormat="1" ht="15.75" hidden="1" customHeight="1" outlineLevel="1">
      <c r="A139" s="916"/>
      <c r="B139" s="1123">
        <v>43</v>
      </c>
      <c r="C139" s="1127"/>
      <c r="D139" s="1125"/>
      <c r="E139" s="1125" t="s">
        <v>18</v>
      </c>
      <c r="F139" s="1130" t="str">
        <f>VLOOKUP(E139,$N$13:$O$17,2,0)</f>
        <v>-</v>
      </c>
      <c r="G139" s="92"/>
      <c r="H139" s="1125"/>
      <c r="I139" s="1125"/>
      <c r="J139" s="1133"/>
      <c r="K139" s="1133"/>
      <c r="L139" s="916"/>
    </row>
    <row r="140" spans="1:12" s="103" customFormat="1" ht="15.75" hidden="1" customHeight="1" outlineLevel="1">
      <c r="A140" s="916"/>
      <c r="B140" s="1123"/>
      <c r="C140" s="1127"/>
      <c r="D140" s="1125"/>
      <c r="E140" s="1125"/>
      <c r="F140" s="1130"/>
      <c r="G140" s="95"/>
      <c r="H140" s="1125"/>
      <c r="I140" s="1125"/>
      <c r="J140" s="1134"/>
      <c r="K140" s="1134"/>
      <c r="L140" s="916"/>
    </row>
    <row r="141" spans="1:12" s="103" customFormat="1" ht="15.75" hidden="1" customHeight="1" outlineLevel="1">
      <c r="A141" s="916"/>
      <c r="B141" s="1124"/>
      <c r="C141" s="1128"/>
      <c r="D141" s="1126"/>
      <c r="E141" s="1126"/>
      <c r="F141" s="1132"/>
      <c r="G141" s="100"/>
      <c r="H141" s="1126"/>
      <c r="I141" s="1126"/>
      <c r="J141" s="1135"/>
      <c r="K141" s="1135"/>
      <c r="L141" s="916"/>
    </row>
    <row r="142" spans="1:12" s="103" customFormat="1" ht="15.75" hidden="1" customHeight="1" outlineLevel="1">
      <c r="A142" s="916"/>
      <c r="B142" s="1123">
        <v>44</v>
      </c>
      <c r="C142" s="1127"/>
      <c r="D142" s="1125"/>
      <c r="E142" s="1125" t="s">
        <v>18</v>
      </c>
      <c r="F142" s="1130" t="str">
        <f>VLOOKUP(E142,$N$13:$O$17,2,0)</f>
        <v>-</v>
      </c>
      <c r="G142" s="92"/>
      <c r="H142" s="823"/>
      <c r="I142" s="1125"/>
      <c r="J142" s="1133"/>
      <c r="K142" s="1133"/>
      <c r="L142" s="916"/>
    </row>
    <row r="143" spans="1:12" s="103" customFormat="1" ht="15.75" hidden="1" customHeight="1" outlineLevel="1">
      <c r="A143" s="916"/>
      <c r="B143" s="1123"/>
      <c r="C143" s="1127"/>
      <c r="D143" s="1125"/>
      <c r="E143" s="1125"/>
      <c r="F143" s="1130"/>
      <c r="G143" s="95"/>
      <c r="H143" s="823"/>
      <c r="I143" s="1125"/>
      <c r="J143" s="1134"/>
      <c r="K143" s="1134"/>
      <c r="L143" s="916"/>
    </row>
    <row r="144" spans="1:12" s="103" customFormat="1" ht="15.75" hidden="1" customHeight="1" outlineLevel="1">
      <c r="A144" s="916"/>
      <c r="B144" s="1124"/>
      <c r="C144" s="1128"/>
      <c r="D144" s="1126"/>
      <c r="E144" s="1126"/>
      <c r="F144" s="1132"/>
      <c r="G144" s="100"/>
      <c r="H144" s="824"/>
      <c r="I144" s="1126"/>
      <c r="J144" s="1135"/>
      <c r="K144" s="1135"/>
      <c r="L144" s="916"/>
    </row>
    <row r="145" spans="1:12" s="103" customFormat="1" ht="15.75" hidden="1" customHeight="1" outlineLevel="1">
      <c r="A145" s="916"/>
      <c r="B145" s="1123">
        <v>45</v>
      </c>
      <c r="C145" s="1127"/>
      <c r="D145" s="1125"/>
      <c r="E145" s="1125" t="s">
        <v>18</v>
      </c>
      <c r="F145" s="1130" t="str">
        <f>VLOOKUP(E145,$N$13:$O$17,2,0)</f>
        <v>-</v>
      </c>
      <c r="G145" s="92"/>
      <c r="H145" s="823"/>
      <c r="I145" s="1125"/>
      <c r="J145" s="1133"/>
      <c r="K145" s="1133"/>
      <c r="L145" s="916"/>
    </row>
    <row r="146" spans="1:12" s="103" customFormat="1" ht="15.75" hidden="1" customHeight="1" outlineLevel="1">
      <c r="A146" s="916"/>
      <c r="B146" s="1123"/>
      <c r="C146" s="1127"/>
      <c r="D146" s="1125"/>
      <c r="E146" s="1125"/>
      <c r="F146" s="1130"/>
      <c r="G146" s="95"/>
      <c r="H146" s="823"/>
      <c r="I146" s="1125"/>
      <c r="J146" s="1134"/>
      <c r="K146" s="1134"/>
      <c r="L146" s="916"/>
    </row>
    <row r="147" spans="1:12" s="103" customFormat="1" ht="15.75" hidden="1" customHeight="1" outlineLevel="1">
      <c r="A147" s="916"/>
      <c r="B147" s="1124"/>
      <c r="C147" s="1128"/>
      <c r="D147" s="1126"/>
      <c r="E147" s="1126"/>
      <c r="F147" s="1132"/>
      <c r="G147" s="100"/>
      <c r="H147" s="824"/>
      <c r="I147" s="1126"/>
      <c r="J147" s="1135"/>
      <c r="K147" s="1135"/>
      <c r="L147" s="916"/>
    </row>
    <row r="148" spans="1:12" s="103" customFormat="1" ht="15.75" hidden="1" customHeight="1" outlineLevel="1">
      <c r="A148" s="916"/>
      <c r="B148" s="1123">
        <v>46</v>
      </c>
      <c r="C148" s="1127"/>
      <c r="D148" s="1125"/>
      <c r="E148" s="1125" t="s">
        <v>18</v>
      </c>
      <c r="F148" s="1130" t="str">
        <f>VLOOKUP(E148,$N$13:$O$17,2,0)</f>
        <v>-</v>
      </c>
      <c r="G148" s="92"/>
      <c r="H148" s="823"/>
      <c r="I148" s="1125"/>
      <c r="J148" s="1133"/>
      <c r="K148" s="1133"/>
      <c r="L148" s="916"/>
    </row>
    <row r="149" spans="1:12" s="103" customFormat="1" ht="15.75" hidden="1" customHeight="1" outlineLevel="1">
      <c r="A149" s="916"/>
      <c r="B149" s="1123"/>
      <c r="C149" s="1127"/>
      <c r="D149" s="1125"/>
      <c r="E149" s="1125"/>
      <c r="F149" s="1130"/>
      <c r="G149" s="95"/>
      <c r="H149" s="823"/>
      <c r="I149" s="1125"/>
      <c r="J149" s="1134"/>
      <c r="K149" s="1134"/>
      <c r="L149" s="916"/>
    </row>
    <row r="150" spans="1:12" s="103" customFormat="1" ht="15.75" hidden="1" customHeight="1" outlineLevel="1">
      <c r="A150" s="916"/>
      <c r="B150" s="1124"/>
      <c r="C150" s="1128"/>
      <c r="D150" s="1126"/>
      <c r="E150" s="1126"/>
      <c r="F150" s="1132"/>
      <c r="G150" s="100"/>
      <c r="H150" s="824"/>
      <c r="I150" s="1126"/>
      <c r="J150" s="1135"/>
      <c r="K150" s="1135"/>
      <c r="L150" s="916"/>
    </row>
    <row r="151" spans="1:12" s="103" customFormat="1" ht="15.75" hidden="1" customHeight="1" outlineLevel="1">
      <c r="A151" s="916"/>
      <c r="B151" s="1123">
        <v>47</v>
      </c>
      <c r="C151" s="1127"/>
      <c r="D151" s="1125"/>
      <c r="E151" s="1125" t="s">
        <v>18</v>
      </c>
      <c r="F151" s="1130" t="str">
        <f>VLOOKUP(E151,$N$13:$O$17,2,0)</f>
        <v>-</v>
      </c>
      <c r="G151" s="92"/>
      <c r="H151" s="823"/>
      <c r="I151" s="1125"/>
      <c r="J151" s="1133"/>
      <c r="K151" s="1133"/>
      <c r="L151" s="916"/>
    </row>
    <row r="152" spans="1:12" s="103" customFormat="1" ht="15.75" hidden="1" customHeight="1" outlineLevel="1">
      <c r="A152" s="916"/>
      <c r="B152" s="1123"/>
      <c r="C152" s="1127"/>
      <c r="D152" s="1125"/>
      <c r="E152" s="1125"/>
      <c r="F152" s="1130"/>
      <c r="G152" s="95"/>
      <c r="H152" s="823"/>
      <c r="I152" s="1125"/>
      <c r="J152" s="1134"/>
      <c r="K152" s="1134"/>
      <c r="L152" s="916"/>
    </row>
    <row r="153" spans="1:12" s="103" customFormat="1" ht="15.75" hidden="1" customHeight="1" outlineLevel="1">
      <c r="A153" s="916"/>
      <c r="B153" s="1124"/>
      <c r="C153" s="1128"/>
      <c r="D153" s="1126"/>
      <c r="E153" s="1126"/>
      <c r="F153" s="1132"/>
      <c r="G153" s="100"/>
      <c r="H153" s="824"/>
      <c r="I153" s="1126"/>
      <c r="J153" s="1135"/>
      <c r="K153" s="1135"/>
      <c r="L153" s="916"/>
    </row>
    <row r="154" spans="1:12" s="103" customFormat="1" ht="15.75" hidden="1" customHeight="1" outlineLevel="1">
      <c r="A154" s="916"/>
      <c r="B154" s="1123">
        <v>48</v>
      </c>
      <c r="C154" s="1127"/>
      <c r="D154" s="1125"/>
      <c r="E154" s="1125" t="s">
        <v>18</v>
      </c>
      <c r="F154" s="1130" t="str">
        <f>VLOOKUP(E154,$N$13:$O$17,2,0)</f>
        <v>-</v>
      </c>
      <c r="G154" s="92"/>
      <c r="H154" s="823"/>
      <c r="I154" s="1125"/>
      <c r="J154" s="1133"/>
      <c r="K154" s="1133"/>
      <c r="L154" s="916"/>
    </row>
    <row r="155" spans="1:12" s="103" customFormat="1" ht="15.75" hidden="1" customHeight="1" outlineLevel="1">
      <c r="A155" s="916"/>
      <c r="B155" s="1123"/>
      <c r="C155" s="1127"/>
      <c r="D155" s="1125"/>
      <c r="E155" s="1125"/>
      <c r="F155" s="1130"/>
      <c r="G155" s="95"/>
      <c r="H155" s="823"/>
      <c r="I155" s="1125"/>
      <c r="J155" s="1134"/>
      <c r="K155" s="1134"/>
      <c r="L155" s="916"/>
    </row>
    <row r="156" spans="1:12" s="103" customFormat="1" ht="15.75" hidden="1" customHeight="1" outlineLevel="1">
      <c r="A156" s="916"/>
      <c r="B156" s="1124"/>
      <c r="C156" s="1128"/>
      <c r="D156" s="1126"/>
      <c r="E156" s="1126"/>
      <c r="F156" s="1132"/>
      <c r="G156" s="100"/>
      <c r="H156" s="824"/>
      <c r="I156" s="1126"/>
      <c r="J156" s="1135"/>
      <c r="K156" s="1135"/>
      <c r="L156" s="916"/>
    </row>
    <row r="157" spans="1:12" s="103" customFormat="1" ht="15.75" hidden="1" customHeight="1" outlineLevel="1">
      <c r="A157" s="916"/>
      <c r="B157" s="1123">
        <v>49</v>
      </c>
      <c r="C157" s="1127"/>
      <c r="D157" s="1125"/>
      <c r="E157" s="1125" t="s">
        <v>18</v>
      </c>
      <c r="F157" s="1130" t="str">
        <f>VLOOKUP(E157,$N$13:$O$17,2,0)</f>
        <v>-</v>
      </c>
      <c r="G157" s="92"/>
      <c r="H157" s="823"/>
      <c r="I157" s="1125"/>
      <c r="J157" s="1133"/>
      <c r="K157" s="1133"/>
      <c r="L157" s="916"/>
    </row>
    <row r="158" spans="1:12" s="103" customFormat="1" ht="15.75" hidden="1" customHeight="1" outlineLevel="1">
      <c r="A158" s="916"/>
      <c r="B158" s="1123"/>
      <c r="C158" s="1127"/>
      <c r="D158" s="1125"/>
      <c r="E158" s="1125"/>
      <c r="F158" s="1130"/>
      <c r="G158" s="95"/>
      <c r="H158" s="823"/>
      <c r="I158" s="1125"/>
      <c r="J158" s="1134"/>
      <c r="K158" s="1134"/>
      <c r="L158" s="916"/>
    </row>
    <row r="159" spans="1:12" s="103" customFormat="1" ht="15.75" hidden="1" customHeight="1" outlineLevel="1">
      <c r="A159" s="916"/>
      <c r="B159" s="1124"/>
      <c r="C159" s="1128"/>
      <c r="D159" s="1126"/>
      <c r="E159" s="1126"/>
      <c r="F159" s="1132"/>
      <c r="G159" s="100"/>
      <c r="H159" s="824"/>
      <c r="I159" s="1126"/>
      <c r="J159" s="1135"/>
      <c r="K159" s="1135"/>
      <c r="L159" s="916"/>
    </row>
    <row r="160" spans="1:12" s="103" customFormat="1" ht="15.75" hidden="1" customHeight="1" outlineLevel="1">
      <c r="A160" s="916"/>
      <c r="B160" s="1123">
        <v>50</v>
      </c>
      <c r="C160" s="1127"/>
      <c r="D160" s="1125"/>
      <c r="E160" s="1125" t="s">
        <v>18</v>
      </c>
      <c r="F160" s="1130" t="str">
        <f>VLOOKUP(E160,$N$13:$O$17,2,0)</f>
        <v>-</v>
      </c>
      <c r="G160" s="92"/>
      <c r="H160" s="823"/>
      <c r="I160" s="1125"/>
      <c r="J160" s="1133"/>
      <c r="K160" s="1133"/>
      <c r="L160" s="916"/>
    </row>
    <row r="161" spans="1:12" s="103" customFormat="1" ht="15.75" hidden="1" customHeight="1" outlineLevel="1">
      <c r="A161" s="916"/>
      <c r="B161" s="1123"/>
      <c r="C161" s="1127"/>
      <c r="D161" s="1125"/>
      <c r="E161" s="1125"/>
      <c r="F161" s="1130"/>
      <c r="G161" s="95"/>
      <c r="H161" s="823"/>
      <c r="I161" s="1125"/>
      <c r="J161" s="1134"/>
      <c r="K161" s="1134"/>
      <c r="L161" s="916"/>
    </row>
    <row r="162" spans="1:12" s="103" customFormat="1" ht="15.75" hidden="1" customHeight="1" outlineLevel="1">
      <c r="A162" s="916"/>
      <c r="B162" s="1124"/>
      <c r="C162" s="1128"/>
      <c r="D162" s="1126"/>
      <c r="E162" s="1126"/>
      <c r="F162" s="1132"/>
      <c r="G162" s="100"/>
      <c r="H162" s="824"/>
      <c r="I162" s="1126"/>
      <c r="J162" s="1135"/>
      <c r="K162" s="1135"/>
      <c r="L162" s="916"/>
    </row>
    <row r="163" spans="1:12" s="103" customFormat="1" ht="15.75" hidden="1" customHeight="1" outlineLevel="1">
      <c r="A163" s="916"/>
      <c r="B163" s="1123">
        <v>51</v>
      </c>
      <c r="C163" s="1127"/>
      <c r="D163" s="1125"/>
      <c r="E163" s="1125" t="s">
        <v>18</v>
      </c>
      <c r="F163" s="1130" t="str">
        <f>VLOOKUP(E163,$N$13:$O$17,2,0)</f>
        <v>-</v>
      </c>
      <c r="G163" s="92"/>
      <c r="H163" s="823"/>
      <c r="I163" s="1125"/>
      <c r="J163" s="1133"/>
      <c r="K163" s="1133"/>
      <c r="L163" s="916"/>
    </row>
    <row r="164" spans="1:12" s="103" customFormat="1" ht="15.75" hidden="1" customHeight="1" outlineLevel="1">
      <c r="A164" s="916"/>
      <c r="B164" s="1123"/>
      <c r="C164" s="1127"/>
      <c r="D164" s="1125"/>
      <c r="E164" s="1125"/>
      <c r="F164" s="1130"/>
      <c r="G164" s="95"/>
      <c r="H164" s="823"/>
      <c r="I164" s="1125"/>
      <c r="J164" s="1134"/>
      <c r="K164" s="1134"/>
      <c r="L164" s="916"/>
    </row>
    <row r="165" spans="1:12" s="103" customFormat="1" ht="15.75" hidden="1" customHeight="1" outlineLevel="1">
      <c r="A165" s="916"/>
      <c r="B165" s="1124"/>
      <c r="C165" s="1128"/>
      <c r="D165" s="1126"/>
      <c r="E165" s="1126"/>
      <c r="F165" s="1132"/>
      <c r="G165" s="100"/>
      <c r="H165" s="824"/>
      <c r="I165" s="1126"/>
      <c r="J165" s="1135"/>
      <c r="K165" s="1135"/>
      <c r="L165" s="916"/>
    </row>
    <row r="166" spans="1:12" s="103" customFormat="1" ht="15.75" hidden="1" customHeight="1" outlineLevel="1">
      <c r="A166" s="916"/>
      <c r="B166" s="1123">
        <v>52</v>
      </c>
      <c r="C166" s="1127"/>
      <c r="D166" s="1125"/>
      <c r="E166" s="1125" t="s">
        <v>18</v>
      </c>
      <c r="F166" s="1130" t="str">
        <f>VLOOKUP(E166,$N$13:$O$17,2,0)</f>
        <v>-</v>
      </c>
      <c r="G166" s="92"/>
      <c r="H166" s="823"/>
      <c r="I166" s="1125"/>
      <c r="J166" s="1133"/>
      <c r="K166" s="1133"/>
      <c r="L166" s="916"/>
    </row>
    <row r="167" spans="1:12" s="103" customFormat="1" ht="15.75" hidden="1" customHeight="1" outlineLevel="1">
      <c r="A167" s="916"/>
      <c r="B167" s="1123"/>
      <c r="C167" s="1127"/>
      <c r="D167" s="1125"/>
      <c r="E167" s="1125"/>
      <c r="F167" s="1130"/>
      <c r="G167" s="95"/>
      <c r="H167" s="823"/>
      <c r="I167" s="1125"/>
      <c r="J167" s="1134"/>
      <c r="K167" s="1134"/>
      <c r="L167" s="916"/>
    </row>
    <row r="168" spans="1:12" s="103" customFormat="1" ht="15.75" hidden="1" customHeight="1" outlineLevel="1">
      <c r="A168" s="916"/>
      <c r="B168" s="1124"/>
      <c r="C168" s="1128"/>
      <c r="D168" s="1126"/>
      <c r="E168" s="1126"/>
      <c r="F168" s="1132"/>
      <c r="G168" s="100"/>
      <c r="H168" s="824"/>
      <c r="I168" s="1126"/>
      <c r="J168" s="1135"/>
      <c r="K168" s="1135"/>
      <c r="L168" s="916"/>
    </row>
    <row r="169" spans="1:12" s="103" customFormat="1" ht="15.75" hidden="1" customHeight="1" outlineLevel="1">
      <c r="A169" s="916"/>
      <c r="B169" s="1123">
        <v>53</v>
      </c>
      <c r="C169" s="1127"/>
      <c r="D169" s="1125"/>
      <c r="E169" s="1125" t="s">
        <v>18</v>
      </c>
      <c r="F169" s="1130" t="str">
        <f>VLOOKUP(E169,$N$13:$O$17,2,0)</f>
        <v>-</v>
      </c>
      <c r="G169" s="92"/>
      <c r="H169" s="823"/>
      <c r="I169" s="1125"/>
      <c r="J169" s="1133"/>
      <c r="K169" s="1133"/>
      <c r="L169" s="916"/>
    </row>
    <row r="170" spans="1:12" s="103" customFormat="1" ht="15.75" hidden="1" customHeight="1" outlineLevel="1">
      <c r="A170" s="916"/>
      <c r="B170" s="1123"/>
      <c r="C170" s="1127"/>
      <c r="D170" s="1125"/>
      <c r="E170" s="1125"/>
      <c r="F170" s="1130"/>
      <c r="G170" s="95"/>
      <c r="H170" s="823"/>
      <c r="I170" s="1125"/>
      <c r="J170" s="1134"/>
      <c r="K170" s="1134"/>
      <c r="L170" s="916"/>
    </row>
    <row r="171" spans="1:12" s="103" customFormat="1" ht="15.75" hidden="1" customHeight="1" outlineLevel="1">
      <c r="A171" s="916"/>
      <c r="B171" s="1124"/>
      <c r="C171" s="1128"/>
      <c r="D171" s="1126"/>
      <c r="E171" s="1126"/>
      <c r="F171" s="1132"/>
      <c r="G171" s="100"/>
      <c r="H171" s="824"/>
      <c r="I171" s="1126"/>
      <c r="J171" s="1135"/>
      <c r="K171" s="1135"/>
      <c r="L171" s="916"/>
    </row>
    <row r="172" spans="1:12" s="103" customFormat="1" ht="15.75" hidden="1" customHeight="1" outlineLevel="1">
      <c r="A172" s="916"/>
      <c r="B172" s="1123">
        <v>54</v>
      </c>
      <c r="C172" s="1127"/>
      <c r="D172" s="1125"/>
      <c r="E172" s="1125" t="s">
        <v>18</v>
      </c>
      <c r="F172" s="1130" t="str">
        <f>VLOOKUP(E172,$N$13:$O$17,2,0)</f>
        <v>-</v>
      </c>
      <c r="G172" s="92"/>
      <c r="H172" s="823"/>
      <c r="I172" s="1125"/>
      <c r="J172" s="1133"/>
      <c r="K172" s="1133"/>
      <c r="L172" s="916"/>
    </row>
    <row r="173" spans="1:12" s="103" customFormat="1" ht="15.75" hidden="1" customHeight="1" outlineLevel="1">
      <c r="A173" s="916"/>
      <c r="B173" s="1123"/>
      <c r="C173" s="1127"/>
      <c r="D173" s="1125"/>
      <c r="E173" s="1125"/>
      <c r="F173" s="1130"/>
      <c r="G173" s="95"/>
      <c r="H173" s="823"/>
      <c r="I173" s="1125"/>
      <c r="J173" s="1134"/>
      <c r="K173" s="1134"/>
      <c r="L173" s="916"/>
    </row>
    <row r="174" spans="1:12" s="103" customFormat="1" ht="15.75" hidden="1" customHeight="1" outlineLevel="1">
      <c r="A174" s="916"/>
      <c r="B174" s="1124"/>
      <c r="C174" s="1128"/>
      <c r="D174" s="1126"/>
      <c r="E174" s="1126"/>
      <c r="F174" s="1132"/>
      <c r="G174" s="100"/>
      <c r="H174" s="824"/>
      <c r="I174" s="1126"/>
      <c r="J174" s="1135"/>
      <c r="K174" s="1135"/>
      <c r="L174" s="916"/>
    </row>
    <row r="175" spans="1:12" s="103" customFormat="1" ht="15.75" hidden="1" customHeight="1" outlineLevel="1">
      <c r="A175" s="916"/>
      <c r="B175" s="1123">
        <v>55</v>
      </c>
      <c r="C175" s="1127"/>
      <c r="D175" s="1125"/>
      <c r="E175" s="1125" t="s">
        <v>18</v>
      </c>
      <c r="F175" s="1130" t="str">
        <f>VLOOKUP(E175,$N$13:$O$17,2,0)</f>
        <v>-</v>
      </c>
      <c r="G175" s="92"/>
      <c r="H175" s="823"/>
      <c r="I175" s="1125"/>
      <c r="J175" s="1133"/>
      <c r="K175" s="1133"/>
      <c r="L175" s="916"/>
    </row>
    <row r="176" spans="1:12" s="103" customFormat="1" ht="15.75" hidden="1" customHeight="1" outlineLevel="1">
      <c r="A176" s="916"/>
      <c r="B176" s="1123"/>
      <c r="C176" s="1127"/>
      <c r="D176" s="1125"/>
      <c r="E176" s="1125"/>
      <c r="F176" s="1130"/>
      <c r="G176" s="95"/>
      <c r="H176" s="823"/>
      <c r="I176" s="1125"/>
      <c r="J176" s="1134"/>
      <c r="K176" s="1134"/>
      <c r="L176" s="916"/>
    </row>
    <row r="177" spans="1:12" s="103" customFormat="1" ht="15.75" hidden="1" customHeight="1" outlineLevel="1">
      <c r="A177" s="916"/>
      <c r="B177" s="1124"/>
      <c r="C177" s="1128"/>
      <c r="D177" s="1126"/>
      <c r="E177" s="1126"/>
      <c r="F177" s="1132"/>
      <c r="G177" s="100"/>
      <c r="H177" s="824"/>
      <c r="I177" s="1126"/>
      <c r="J177" s="1135"/>
      <c r="K177" s="1135"/>
      <c r="L177" s="916"/>
    </row>
    <row r="178" spans="1:12" s="103" customFormat="1" ht="15.75" hidden="1" customHeight="1" outlineLevel="1">
      <c r="A178" s="916"/>
      <c r="B178" s="1123">
        <v>56</v>
      </c>
      <c r="C178" s="1127"/>
      <c r="D178" s="1125"/>
      <c r="E178" s="1125" t="s">
        <v>18</v>
      </c>
      <c r="F178" s="1130" t="str">
        <f>VLOOKUP(E178,$N$13:$O$17,2,0)</f>
        <v>-</v>
      </c>
      <c r="G178" s="92"/>
      <c r="H178" s="823"/>
      <c r="I178" s="1125"/>
      <c r="J178" s="1133"/>
      <c r="K178" s="1133"/>
      <c r="L178" s="916"/>
    </row>
    <row r="179" spans="1:12" s="103" customFormat="1" ht="15.75" hidden="1" customHeight="1" outlineLevel="1">
      <c r="A179" s="916"/>
      <c r="B179" s="1123"/>
      <c r="C179" s="1127"/>
      <c r="D179" s="1125"/>
      <c r="E179" s="1125"/>
      <c r="F179" s="1130"/>
      <c r="G179" s="95"/>
      <c r="H179" s="823"/>
      <c r="I179" s="1125"/>
      <c r="J179" s="1134"/>
      <c r="K179" s="1134"/>
      <c r="L179" s="916"/>
    </row>
    <row r="180" spans="1:12" s="103" customFormat="1" ht="15.75" hidden="1" customHeight="1" outlineLevel="1">
      <c r="A180" s="916"/>
      <c r="B180" s="1124"/>
      <c r="C180" s="1128"/>
      <c r="D180" s="1126"/>
      <c r="E180" s="1126"/>
      <c r="F180" s="1132"/>
      <c r="G180" s="100"/>
      <c r="H180" s="824"/>
      <c r="I180" s="1126"/>
      <c r="J180" s="1135"/>
      <c r="K180" s="1135"/>
      <c r="L180" s="916"/>
    </row>
    <row r="181" spans="1:12" s="103" customFormat="1" ht="15.75" hidden="1" customHeight="1" outlineLevel="1">
      <c r="A181" s="916"/>
      <c r="B181" s="1123">
        <v>57</v>
      </c>
      <c r="C181" s="1127"/>
      <c r="D181" s="1125"/>
      <c r="E181" s="1125" t="s">
        <v>18</v>
      </c>
      <c r="F181" s="1130" t="str">
        <f>VLOOKUP(E181,$N$13:$O$17,2,0)</f>
        <v>-</v>
      </c>
      <c r="G181" s="92"/>
      <c r="H181" s="823"/>
      <c r="I181" s="1125"/>
      <c r="J181" s="1133"/>
      <c r="K181" s="1133"/>
      <c r="L181" s="916"/>
    </row>
    <row r="182" spans="1:12" s="103" customFormat="1" ht="15.75" hidden="1" customHeight="1" outlineLevel="1">
      <c r="A182" s="916"/>
      <c r="B182" s="1123"/>
      <c r="C182" s="1127"/>
      <c r="D182" s="1125"/>
      <c r="E182" s="1125"/>
      <c r="F182" s="1130"/>
      <c r="G182" s="95"/>
      <c r="H182" s="823"/>
      <c r="I182" s="1125"/>
      <c r="J182" s="1134"/>
      <c r="K182" s="1134"/>
      <c r="L182" s="916"/>
    </row>
    <row r="183" spans="1:12" s="103" customFormat="1" ht="15.75" hidden="1" customHeight="1" outlineLevel="1">
      <c r="A183" s="916"/>
      <c r="B183" s="1124"/>
      <c r="C183" s="1128"/>
      <c r="D183" s="1126"/>
      <c r="E183" s="1126"/>
      <c r="F183" s="1132"/>
      <c r="G183" s="100"/>
      <c r="H183" s="824"/>
      <c r="I183" s="1126"/>
      <c r="J183" s="1135"/>
      <c r="K183" s="1135"/>
      <c r="L183" s="916"/>
    </row>
    <row r="184" spans="1:12" s="103" customFormat="1" ht="15.75" hidden="1" customHeight="1" outlineLevel="1">
      <c r="A184" s="916"/>
      <c r="B184" s="1123">
        <v>58</v>
      </c>
      <c r="C184" s="1127"/>
      <c r="D184" s="1125"/>
      <c r="E184" s="1125" t="s">
        <v>18</v>
      </c>
      <c r="F184" s="1130" t="str">
        <f>VLOOKUP(E184,$N$13:$O$17,2,0)</f>
        <v>-</v>
      </c>
      <c r="G184" s="92"/>
      <c r="H184" s="823"/>
      <c r="I184" s="1125"/>
      <c r="J184" s="1133"/>
      <c r="K184" s="1133"/>
      <c r="L184" s="916"/>
    </row>
    <row r="185" spans="1:12" s="103" customFormat="1" ht="15.75" hidden="1" customHeight="1" outlineLevel="1">
      <c r="A185" s="916"/>
      <c r="B185" s="1123"/>
      <c r="C185" s="1127"/>
      <c r="D185" s="1125"/>
      <c r="E185" s="1125"/>
      <c r="F185" s="1130"/>
      <c r="G185" s="95"/>
      <c r="H185" s="823"/>
      <c r="I185" s="1125"/>
      <c r="J185" s="1134"/>
      <c r="K185" s="1134"/>
      <c r="L185" s="916"/>
    </row>
    <row r="186" spans="1:12" s="103" customFormat="1" ht="15.75" hidden="1" customHeight="1" outlineLevel="1">
      <c r="A186" s="916"/>
      <c r="B186" s="1124"/>
      <c r="C186" s="1128"/>
      <c r="D186" s="1126"/>
      <c r="E186" s="1126"/>
      <c r="F186" s="1132"/>
      <c r="G186" s="100"/>
      <c r="H186" s="824"/>
      <c r="I186" s="1126"/>
      <c r="J186" s="1135"/>
      <c r="K186" s="1135"/>
      <c r="L186" s="916"/>
    </row>
    <row r="187" spans="1:12" s="103" customFormat="1" ht="15.75" hidden="1" customHeight="1" outlineLevel="1">
      <c r="A187" s="916"/>
      <c r="B187" s="1123">
        <v>59</v>
      </c>
      <c r="C187" s="1127"/>
      <c r="D187" s="1125"/>
      <c r="E187" s="1125" t="s">
        <v>18</v>
      </c>
      <c r="F187" s="1130" t="str">
        <f>VLOOKUP(E187,$N$13:$O$17,2,0)</f>
        <v>-</v>
      </c>
      <c r="G187" s="92"/>
      <c r="H187" s="823"/>
      <c r="I187" s="1125"/>
      <c r="J187" s="1133"/>
      <c r="K187" s="1133"/>
      <c r="L187" s="916"/>
    </row>
    <row r="188" spans="1:12" s="103" customFormat="1" ht="15.75" hidden="1" customHeight="1" outlineLevel="1">
      <c r="A188" s="916"/>
      <c r="B188" s="1123"/>
      <c r="C188" s="1127"/>
      <c r="D188" s="1125"/>
      <c r="E188" s="1125"/>
      <c r="F188" s="1130"/>
      <c r="G188" s="95"/>
      <c r="H188" s="823"/>
      <c r="I188" s="1125"/>
      <c r="J188" s="1134"/>
      <c r="K188" s="1134"/>
      <c r="L188" s="916"/>
    </row>
    <row r="189" spans="1:12" s="103" customFormat="1" ht="15.75" hidden="1" customHeight="1" outlineLevel="1">
      <c r="A189" s="916"/>
      <c r="B189" s="1124"/>
      <c r="C189" s="1128"/>
      <c r="D189" s="1126"/>
      <c r="E189" s="1126"/>
      <c r="F189" s="1132"/>
      <c r="G189" s="100"/>
      <c r="H189" s="824"/>
      <c r="I189" s="1126"/>
      <c r="J189" s="1135"/>
      <c r="K189" s="1135"/>
      <c r="L189" s="916"/>
    </row>
    <row r="190" spans="1:12" s="103" customFormat="1" ht="15.75" hidden="1" customHeight="1" outlineLevel="1">
      <c r="A190" s="916"/>
      <c r="B190" s="1123">
        <v>60</v>
      </c>
      <c r="C190" s="1127"/>
      <c r="D190" s="1125"/>
      <c r="E190" s="1125" t="s">
        <v>18</v>
      </c>
      <c r="F190" s="1130" t="str">
        <f>VLOOKUP(E190,$N$13:$O$17,2,0)</f>
        <v>-</v>
      </c>
      <c r="G190" s="92"/>
      <c r="H190" s="823"/>
      <c r="I190" s="1125"/>
      <c r="J190" s="1133"/>
      <c r="K190" s="1133"/>
      <c r="L190" s="916"/>
    </row>
    <row r="191" spans="1:12" s="103" customFormat="1" ht="15.75" hidden="1" customHeight="1" outlineLevel="1">
      <c r="A191" s="916"/>
      <c r="B191" s="1123"/>
      <c r="C191" s="1127"/>
      <c r="D191" s="1125"/>
      <c r="E191" s="1125"/>
      <c r="F191" s="1130"/>
      <c r="G191" s="95"/>
      <c r="H191" s="823"/>
      <c r="I191" s="1125"/>
      <c r="J191" s="1134"/>
      <c r="K191" s="1134"/>
      <c r="L191" s="916"/>
    </row>
    <row r="192" spans="1:12" s="103" customFormat="1" ht="15.75" hidden="1" customHeight="1" outlineLevel="1">
      <c r="A192" s="916"/>
      <c r="B192" s="1124"/>
      <c r="C192" s="1128"/>
      <c r="D192" s="1126"/>
      <c r="E192" s="1126"/>
      <c r="F192" s="1132"/>
      <c r="G192" s="100"/>
      <c r="H192" s="824"/>
      <c r="I192" s="1126"/>
      <c r="J192" s="1135"/>
      <c r="K192" s="1135"/>
      <c r="L192" s="916"/>
    </row>
    <row r="193" spans="1:12" s="103" customFormat="1" ht="15.75" hidden="1" customHeight="1" outlineLevel="1">
      <c r="A193" s="916"/>
      <c r="B193" s="1123">
        <v>61</v>
      </c>
      <c r="C193" s="1127"/>
      <c r="D193" s="1125"/>
      <c r="E193" s="1125" t="s">
        <v>18</v>
      </c>
      <c r="F193" s="1130" t="str">
        <f>VLOOKUP(E193,$N$13:$O$17,2,0)</f>
        <v>-</v>
      </c>
      <c r="G193" s="92"/>
      <c r="H193" s="823"/>
      <c r="I193" s="1125"/>
      <c r="J193" s="1133"/>
      <c r="K193" s="1133"/>
      <c r="L193" s="916"/>
    </row>
    <row r="194" spans="1:12" s="103" customFormat="1" ht="15.75" hidden="1" customHeight="1" outlineLevel="1">
      <c r="A194" s="916"/>
      <c r="B194" s="1123"/>
      <c r="C194" s="1127"/>
      <c r="D194" s="1125"/>
      <c r="E194" s="1125"/>
      <c r="F194" s="1130"/>
      <c r="G194" s="95"/>
      <c r="H194" s="823"/>
      <c r="I194" s="1125"/>
      <c r="J194" s="1134"/>
      <c r="K194" s="1134"/>
      <c r="L194" s="916"/>
    </row>
    <row r="195" spans="1:12" s="103" customFormat="1" ht="15.75" hidden="1" customHeight="1" outlineLevel="1">
      <c r="A195" s="916"/>
      <c r="B195" s="1124"/>
      <c r="C195" s="1128"/>
      <c r="D195" s="1126"/>
      <c r="E195" s="1126"/>
      <c r="F195" s="1132"/>
      <c r="G195" s="100"/>
      <c r="H195" s="824"/>
      <c r="I195" s="1126"/>
      <c r="J195" s="1135"/>
      <c r="K195" s="1135"/>
      <c r="L195" s="916"/>
    </row>
    <row r="196" spans="1:12" s="103" customFormat="1" ht="15.75" hidden="1" customHeight="1" outlineLevel="1">
      <c r="A196" s="916"/>
      <c r="B196" s="1123">
        <v>62</v>
      </c>
      <c r="C196" s="1127"/>
      <c r="D196" s="1125"/>
      <c r="E196" s="1125" t="s">
        <v>18</v>
      </c>
      <c r="F196" s="1130" t="str">
        <f>VLOOKUP(E196,$N$13:$O$17,2,0)</f>
        <v>-</v>
      </c>
      <c r="G196" s="92"/>
      <c r="H196" s="823"/>
      <c r="I196" s="1125"/>
      <c r="J196" s="1133"/>
      <c r="K196" s="1133"/>
      <c r="L196" s="916"/>
    </row>
    <row r="197" spans="1:12" s="103" customFormat="1" ht="15.75" hidden="1" customHeight="1" outlineLevel="1">
      <c r="A197" s="916"/>
      <c r="B197" s="1123"/>
      <c r="C197" s="1127"/>
      <c r="D197" s="1125"/>
      <c r="E197" s="1125"/>
      <c r="F197" s="1130"/>
      <c r="G197" s="95"/>
      <c r="H197" s="823"/>
      <c r="I197" s="1125"/>
      <c r="J197" s="1134"/>
      <c r="K197" s="1134"/>
      <c r="L197" s="916"/>
    </row>
    <row r="198" spans="1:12" s="103" customFormat="1" ht="15.75" hidden="1" customHeight="1" outlineLevel="1">
      <c r="A198" s="916"/>
      <c r="B198" s="1124"/>
      <c r="C198" s="1128"/>
      <c r="D198" s="1126"/>
      <c r="E198" s="1126"/>
      <c r="F198" s="1132"/>
      <c r="G198" s="100"/>
      <c r="H198" s="824"/>
      <c r="I198" s="1126"/>
      <c r="J198" s="1135"/>
      <c r="K198" s="1135"/>
      <c r="L198" s="916"/>
    </row>
    <row r="199" spans="1:12" s="103" customFormat="1" ht="15.75" hidden="1" customHeight="1" outlineLevel="1">
      <c r="A199" s="916"/>
      <c r="B199" s="1123">
        <v>63</v>
      </c>
      <c r="C199" s="1127"/>
      <c r="D199" s="1125"/>
      <c r="E199" s="1125" t="s">
        <v>18</v>
      </c>
      <c r="F199" s="1130" t="str">
        <f>VLOOKUP(E199,$N$13:$O$17,2,0)</f>
        <v>-</v>
      </c>
      <c r="G199" s="92"/>
      <c r="H199" s="823"/>
      <c r="I199" s="1125"/>
      <c r="J199" s="1133"/>
      <c r="K199" s="1133"/>
      <c r="L199" s="916"/>
    </row>
    <row r="200" spans="1:12" s="103" customFormat="1" ht="15.75" hidden="1" customHeight="1" outlineLevel="1">
      <c r="A200" s="916"/>
      <c r="B200" s="1123"/>
      <c r="C200" s="1127"/>
      <c r="D200" s="1125"/>
      <c r="E200" s="1125"/>
      <c r="F200" s="1130"/>
      <c r="G200" s="95"/>
      <c r="H200" s="823"/>
      <c r="I200" s="1125"/>
      <c r="J200" s="1134"/>
      <c r="K200" s="1134"/>
      <c r="L200" s="916"/>
    </row>
    <row r="201" spans="1:12" s="103" customFormat="1" ht="15.75" hidden="1" customHeight="1" outlineLevel="1">
      <c r="A201" s="916"/>
      <c r="B201" s="1124"/>
      <c r="C201" s="1128"/>
      <c r="D201" s="1126"/>
      <c r="E201" s="1126"/>
      <c r="F201" s="1132"/>
      <c r="G201" s="100"/>
      <c r="H201" s="824"/>
      <c r="I201" s="1126"/>
      <c r="J201" s="1135"/>
      <c r="K201" s="1135"/>
      <c r="L201" s="916"/>
    </row>
    <row r="202" spans="1:12" s="103" customFormat="1" ht="15.75" hidden="1" customHeight="1" outlineLevel="1">
      <c r="A202" s="916"/>
      <c r="B202" s="1123">
        <v>64</v>
      </c>
      <c r="C202" s="1127"/>
      <c r="D202" s="1125"/>
      <c r="E202" s="1125" t="s">
        <v>18</v>
      </c>
      <c r="F202" s="1130" t="str">
        <f>VLOOKUP(E202,$N$13:$O$17,2,0)</f>
        <v>-</v>
      </c>
      <c r="G202" s="92"/>
      <c r="H202" s="823"/>
      <c r="I202" s="1125"/>
      <c r="J202" s="1133"/>
      <c r="K202" s="1133"/>
      <c r="L202" s="916"/>
    </row>
    <row r="203" spans="1:12" s="103" customFormat="1" ht="15.75" hidden="1" customHeight="1" outlineLevel="1">
      <c r="A203" s="916"/>
      <c r="B203" s="1123"/>
      <c r="C203" s="1127"/>
      <c r="D203" s="1125"/>
      <c r="E203" s="1125"/>
      <c r="F203" s="1130"/>
      <c r="G203" s="95"/>
      <c r="H203" s="823"/>
      <c r="I203" s="1125"/>
      <c r="J203" s="1134"/>
      <c r="K203" s="1134"/>
      <c r="L203" s="916"/>
    </row>
    <row r="204" spans="1:12" s="103" customFormat="1" ht="15.75" hidden="1" customHeight="1" outlineLevel="1">
      <c r="A204" s="916"/>
      <c r="B204" s="1124"/>
      <c r="C204" s="1128"/>
      <c r="D204" s="1126"/>
      <c r="E204" s="1126"/>
      <c r="F204" s="1132"/>
      <c r="G204" s="100"/>
      <c r="H204" s="824"/>
      <c r="I204" s="1126"/>
      <c r="J204" s="1135"/>
      <c r="K204" s="1135"/>
      <c r="L204" s="916"/>
    </row>
    <row r="205" spans="1:12" s="103" customFormat="1" ht="15.75" hidden="1" customHeight="1" outlineLevel="1">
      <c r="A205" s="916"/>
      <c r="B205" s="1123">
        <v>65</v>
      </c>
      <c r="C205" s="1127"/>
      <c r="D205" s="1125"/>
      <c r="E205" s="1125" t="s">
        <v>18</v>
      </c>
      <c r="F205" s="1130" t="str">
        <f>VLOOKUP(E205,$N$13:$O$17,2,0)</f>
        <v>-</v>
      </c>
      <c r="G205" s="92"/>
      <c r="H205" s="823"/>
      <c r="I205" s="1125"/>
      <c r="J205" s="1133"/>
      <c r="K205" s="1133"/>
      <c r="L205" s="916"/>
    </row>
    <row r="206" spans="1:12" s="103" customFormat="1" ht="15.75" hidden="1" customHeight="1" outlineLevel="1">
      <c r="A206" s="916"/>
      <c r="B206" s="1123"/>
      <c r="C206" s="1127"/>
      <c r="D206" s="1125"/>
      <c r="E206" s="1125"/>
      <c r="F206" s="1130"/>
      <c r="G206" s="95"/>
      <c r="H206" s="823"/>
      <c r="I206" s="1125"/>
      <c r="J206" s="1134"/>
      <c r="K206" s="1134"/>
      <c r="L206" s="916"/>
    </row>
    <row r="207" spans="1:12" s="103" customFormat="1" ht="15.75" hidden="1" customHeight="1" outlineLevel="1">
      <c r="A207" s="916"/>
      <c r="B207" s="1124"/>
      <c r="C207" s="1128"/>
      <c r="D207" s="1126"/>
      <c r="E207" s="1126"/>
      <c r="F207" s="1132"/>
      <c r="G207" s="100"/>
      <c r="H207" s="824"/>
      <c r="I207" s="1126"/>
      <c r="J207" s="1135"/>
      <c r="K207" s="1135"/>
      <c r="L207" s="916"/>
    </row>
    <row r="208" spans="1:12" s="103" customFormat="1" ht="15.75" hidden="1" customHeight="1" outlineLevel="1">
      <c r="A208" s="916"/>
      <c r="B208" s="1123">
        <v>66</v>
      </c>
      <c r="C208" s="1127"/>
      <c r="D208" s="1125"/>
      <c r="E208" s="1125" t="s">
        <v>18</v>
      </c>
      <c r="F208" s="1130" t="str">
        <f>VLOOKUP(E208,$N$13:$O$17,2,0)</f>
        <v>-</v>
      </c>
      <c r="G208" s="92"/>
      <c r="H208" s="823"/>
      <c r="I208" s="1125"/>
      <c r="J208" s="1133"/>
      <c r="K208" s="1133"/>
      <c r="L208" s="916"/>
    </row>
    <row r="209" spans="1:12" s="103" customFormat="1" ht="15.75" hidden="1" customHeight="1" outlineLevel="1">
      <c r="A209" s="916"/>
      <c r="B209" s="1123"/>
      <c r="C209" s="1127"/>
      <c r="D209" s="1125"/>
      <c r="E209" s="1125"/>
      <c r="F209" s="1130"/>
      <c r="G209" s="95"/>
      <c r="H209" s="823"/>
      <c r="I209" s="1125"/>
      <c r="J209" s="1134"/>
      <c r="K209" s="1134"/>
      <c r="L209" s="916"/>
    </row>
    <row r="210" spans="1:12" s="103" customFormat="1" ht="15.75" hidden="1" customHeight="1" outlineLevel="1">
      <c r="A210" s="916"/>
      <c r="B210" s="1124"/>
      <c r="C210" s="1128"/>
      <c r="D210" s="1126"/>
      <c r="E210" s="1126"/>
      <c r="F210" s="1132"/>
      <c r="G210" s="100"/>
      <c r="H210" s="824"/>
      <c r="I210" s="1126"/>
      <c r="J210" s="1135"/>
      <c r="K210" s="1135"/>
      <c r="L210" s="916"/>
    </row>
    <row r="211" spans="1:12" s="103" customFormat="1" ht="15.75" hidden="1" customHeight="1" outlineLevel="1">
      <c r="A211" s="916"/>
      <c r="B211" s="1123">
        <v>67</v>
      </c>
      <c r="C211" s="1127"/>
      <c r="D211" s="1125"/>
      <c r="E211" s="1125" t="s">
        <v>18</v>
      </c>
      <c r="F211" s="1130" t="str">
        <f>VLOOKUP(E211,$N$13:$O$17,2,0)</f>
        <v>-</v>
      </c>
      <c r="G211" s="92"/>
      <c r="H211" s="823"/>
      <c r="I211" s="1125"/>
      <c r="J211" s="1133"/>
      <c r="K211" s="1133"/>
      <c r="L211" s="916"/>
    </row>
    <row r="212" spans="1:12" s="103" customFormat="1" ht="15.75" hidden="1" customHeight="1" outlineLevel="1">
      <c r="A212" s="916"/>
      <c r="B212" s="1123"/>
      <c r="C212" s="1127"/>
      <c r="D212" s="1125"/>
      <c r="E212" s="1125"/>
      <c r="F212" s="1130"/>
      <c r="G212" s="95"/>
      <c r="H212" s="823"/>
      <c r="I212" s="1125"/>
      <c r="J212" s="1134"/>
      <c r="K212" s="1134"/>
      <c r="L212" s="916"/>
    </row>
    <row r="213" spans="1:12" s="103" customFormat="1" ht="15.75" hidden="1" customHeight="1" outlineLevel="1">
      <c r="A213" s="916"/>
      <c r="B213" s="1124"/>
      <c r="C213" s="1128"/>
      <c r="D213" s="1126"/>
      <c r="E213" s="1126"/>
      <c r="F213" s="1132"/>
      <c r="G213" s="100"/>
      <c r="H213" s="824"/>
      <c r="I213" s="1126"/>
      <c r="J213" s="1135"/>
      <c r="K213" s="1135"/>
      <c r="L213" s="916"/>
    </row>
    <row r="214" spans="1:12" s="103" customFormat="1" ht="15.75" hidden="1" customHeight="1" outlineLevel="1">
      <c r="A214" s="916"/>
      <c r="B214" s="1123">
        <v>68</v>
      </c>
      <c r="C214" s="1127"/>
      <c r="D214" s="1125"/>
      <c r="E214" s="1125" t="s">
        <v>18</v>
      </c>
      <c r="F214" s="1130" t="str">
        <f>VLOOKUP(E214,$N$13:$O$17,2,0)</f>
        <v>-</v>
      </c>
      <c r="G214" s="92"/>
      <c r="H214" s="823"/>
      <c r="I214" s="1125"/>
      <c r="J214" s="1133"/>
      <c r="K214" s="1133"/>
      <c r="L214" s="916"/>
    </row>
    <row r="215" spans="1:12" s="103" customFormat="1" ht="15.75" hidden="1" customHeight="1" outlineLevel="1">
      <c r="A215" s="916"/>
      <c r="B215" s="1123"/>
      <c r="C215" s="1127"/>
      <c r="D215" s="1125"/>
      <c r="E215" s="1125"/>
      <c r="F215" s="1130"/>
      <c r="G215" s="95"/>
      <c r="H215" s="823"/>
      <c r="I215" s="1125"/>
      <c r="J215" s="1134"/>
      <c r="K215" s="1134"/>
      <c r="L215" s="916"/>
    </row>
    <row r="216" spans="1:12" s="103" customFormat="1" ht="15.75" hidden="1" customHeight="1" outlineLevel="1">
      <c r="A216" s="916"/>
      <c r="B216" s="1124"/>
      <c r="C216" s="1128"/>
      <c r="D216" s="1126"/>
      <c r="E216" s="1126"/>
      <c r="F216" s="1132"/>
      <c r="G216" s="100"/>
      <c r="H216" s="824"/>
      <c r="I216" s="1126"/>
      <c r="J216" s="1135"/>
      <c r="K216" s="1135"/>
      <c r="L216" s="916"/>
    </row>
    <row r="217" spans="1:12" s="103" customFormat="1" ht="15.75" hidden="1" customHeight="1" outlineLevel="1">
      <c r="A217" s="916"/>
      <c r="B217" s="1123">
        <v>69</v>
      </c>
      <c r="C217" s="1127"/>
      <c r="D217" s="1125"/>
      <c r="E217" s="1125" t="s">
        <v>18</v>
      </c>
      <c r="F217" s="1130" t="str">
        <f>VLOOKUP(E217,$N$13:$O$17,2,0)</f>
        <v>-</v>
      </c>
      <c r="G217" s="92"/>
      <c r="H217" s="823"/>
      <c r="I217" s="1125"/>
      <c r="J217" s="1133"/>
      <c r="K217" s="1133"/>
      <c r="L217" s="916"/>
    </row>
    <row r="218" spans="1:12" s="103" customFormat="1" ht="15.75" hidden="1" customHeight="1" outlineLevel="1">
      <c r="A218" s="916"/>
      <c r="B218" s="1123"/>
      <c r="C218" s="1127"/>
      <c r="D218" s="1125"/>
      <c r="E218" s="1125"/>
      <c r="F218" s="1130"/>
      <c r="G218" s="95"/>
      <c r="H218" s="823"/>
      <c r="I218" s="1125"/>
      <c r="J218" s="1134"/>
      <c r="K218" s="1134"/>
      <c r="L218" s="916"/>
    </row>
    <row r="219" spans="1:12" s="103" customFormat="1" ht="15.75" hidden="1" customHeight="1" outlineLevel="1">
      <c r="A219" s="916"/>
      <c r="B219" s="1124"/>
      <c r="C219" s="1128"/>
      <c r="D219" s="1126"/>
      <c r="E219" s="1126"/>
      <c r="F219" s="1132"/>
      <c r="G219" s="100"/>
      <c r="H219" s="824"/>
      <c r="I219" s="1126"/>
      <c r="J219" s="1135"/>
      <c r="K219" s="1135"/>
      <c r="L219" s="916"/>
    </row>
    <row r="220" spans="1:12" s="103" customFormat="1" ht="15.75" hidden="1" customHeight="1" outlineLevel="1">
      <c r="A220" s="916"/>
      <c r="B220" s="1123">
        <v>70</v>
      </c>
      <c r="C220" s="1127"/>
      <c r="D220" s="1125"/>
      <c r="E220" s="1125" t="s">
        <v>18</v>
      </c>
      <c r="F220" s="1130" t="str">
        <f>VLOOKUP(E220,$N$13:$O$17,2,0)</f>
        <v>-</v>
      </c>
      <c r="G220" s="92"/>
      <c r="H220" s="823"/>
      <c r="I220" s="1125"/>
      <c r="J220" s="1133"/>
      <c r="K220" s="1133"/>
      <c r="L220" s="916"/>
    </row>
    <row r="221" spans="1:12" s="103" customFormat="1" ht="15.75" hidden="1" customHeight="1" outlineLevel="1">
      <c r="A221" s="916"/>
      <c r="B221" s="1123"/>
      <c r="C221" s="1127"/>
      <c r="D221" s="1125"/>
      <c r="E221" s="1125"/>
      <c r="F221" s="1130"/>
      <c r="G221" s="95"/>
      <c r="H221" s="823"/>
      <c r="I221" s="1125"/>
      <c r="J221" s="1134"/>
      <c r="K221" s="1134"/>
      <c r="L221" s="916"/>
    </row>
    <row r="222" spans="1:12" s="103" customFormat="1" ht="15.75" hidden="1" customHeight="1" outlineLevel="1">
      <c r="A222" s="916"/>
      <c r="B222" s="1124"/>
      <c r="C222" s="1128"/>
      <c r="D222" s="1126"/>
      <c r="E222" s="1126"/>
      <c r="F222" s="1132"/>
      <c r="G222" s="100"/>
      <c r="H222" s="824"/>
      <c r="I222" s="1126"/>
      <c r="J222" s="1135"/>
      <c r="K222" s="1135"/>
      <c r="L222" s="916"/>
    </row>
    <row r="223" spans="1:12" s="103" customFormat="1" ht="15.75" hidden="1" customHeight="1" outlineLevel="1">
      <c r="A223" s="916"/>
      <c r="B223" s="1123">
        <v>71</v>
      </c>
      <c r="C223" s="1127"/>
      <c r="D223" s="1125"/>
      <c r="E223" s="1125" t="s">
        <v>18</v>
      </c>
      <c r="F223" s="1130" t="str">
        <f>VLOOKUP(E223,$N$13:$O$17,2,0)</f>
        <v>-</v>
      </c>
      <c r="G223" s="92"/>
      <c r="H223" s="823"/>
      <c r="I223" s="1125"/>
      <c r="J223" s="1133"/>
      <c r="K223" s="1133"/>
      <c r="L223" s="916"/>
    </row>
    <row r="224" spans="1:12" s="103" customFormat="1" ht="15.75" hidden="1" customHeight="1" outlineLevel="1">
      <c r="A224" s="916"/>
      <c r="B224" s="1123"/>
      <c r="C224" s="1127"/>
      <c r="D224" s="1125"/>
      <c r="E224" s="1125"/>
      <c r="F224" s="1130"/>
      <c r="G224" s="95"/>
      <c r="H224" s="823"/>
      <c r="I224" s="1125"/>
      <c r="J224" s="1134"/>
      <c r="K224" s="1134"/>
      <c r="L224" s="916"/>
    </row>
    <row r="225" spans="1:12" s="103" customFormat="1" ht="15.75" hidden="1" customHeight="1" outlineLevel="1">
      <c r="A225" s="916"/>
      <c r="B225" s="1124"/>
      <c r="C225" s="1128"/>
      <c r="D225" s="1126"/>
      <c r="E225" s="1126"/>
      <c r="F225" s="1132"/>
      <c r="G225" s="100"/>
      <c r="H225" s="824"/>
      <c r="I225" s="1126"/>
      <c r="J225" s="1135"/>
      <c r="K225" s="1135"/>
      <c r="L225" s="916"/>
    </row>
    <row r="226" spans="1:12" s="103" customFormat="1" ht="15.75" hidden="1" customHeight="1" outlineLevel="1">
      <c r="A226" s="916"/>
      <c r="B226" s="1123">
        <v>72</v>
      </c>
      <c r="C226" s="1127"/>
      <c r="D226" s="1125"/>
      <c r="E226" s="1125" t="s">
        <v>18</v>
      </c>
      <c r="F226" s="1130" t="str">
        <f>VLOOKUP(E226,$N$13:$O$17,2,0)</f>
        <v>-</v>
      </c>
      <c r="G226" s="92"/>
      <c r="H226" s="823"/>
      <c r="I226" s="1125"/>
      <c r="J226" s="1133"/>
      <c r="K226" s="1133"/>
      <c r="L226" s="916"/>
    </row>
    <row r="227" spans="1:12" s="103" customFormat="1" ht="15.75" hidden="1" customHeight="1" outlineLevel="1">
      <c r="A227" s="916"/>
      <c r="B227" s="1123"/>
      <c r="C227" s="1127"/>
      <c r="D227" s="1125"/>
      <c r="E227" s="1125"/>
      <c r="F227" s="1130"/>
      <c r="G227" s="95"/>
      <c r="H227" s="823"/>
      <c r="I227" s="1125"/>
      <c r="J227" s="1134"/>
      <c r="K227" s="1134"/>
      <c r="L227" s="916"/>
    </row>
    <row r="228" spans="1:12" s="103" customFormat="1" ht="15.75" hidden="1" customHeight="1" outlineLevel="1">
      <c r="A228" s="916"/>
      <c r="B228" s="1124"/>
      <c r="C228" s="1128"/>
      <c r="D228" s="1126"/>
      <c r="E228" s="1126"/>
      <c r="F228" s="1132"/>
      <c r="G228" s="100"/>
      <c r="H228" s="824"/>
      <c r="I228" s="1126"/>
      <c r="J228" s="1135"/>
      <c r="K228" s="1135"/>
      <c r="L228" s="916"/>
    </row>
    <row r="229" spans="1:12" s="103" customFormat="1" ht="15.75" hidden="1" customHeight="1" outlineLevel="1">
      <c r="A229" s="916"/>
      <c r="B229" s="1123">
        <v>73</v>
      </c>
      <c r="C229" s="1127"/>
      <c r="D229" s="1125"/>
      <c r="E229" s="1125" t="s">
        <v>18</v>
      </c>
      <c r="F229" s="1130" t="str">
        <f>VLOOKUP(E229,$N$13:$O$17,2,0)</f>
        <v>-</v>
      </c>
      <c r="G229" s="92"/>
      <c r="H229" s="823"/>
      <c r="I229" s="1125"/>
      <c r="J229" s="1133"/>
      <c r="K229" s="1133"/>
      <c r="L229" s="916"/>
    </row>
    <row r="230" spans="1:12" s="103" customFormat="1" ht="15.75" hidden="1" customHeight="1" outlineLevel="1">
      <c r="A230" s="916"/>
      <c r="B230" s="1123"/>
      <c r="C230" s="1127"/>
      <c r="D230" s="1125"/>
      <c r="E230" s="1125"/>
      <c r="F230" s="1130"/>
      <c r="G230" s="95"/>
      <c r="H230" s="823"/>
      <c r="I230" s="1125"/>
      <c r="J230" s="1134"/>
      <c r="K230" s="1134"/>
      <c r="L230" s="916"/>
    </row>
    <row r="231" spans="1:12" s="103" customFormat="1" ht="15.75" hidden="1" customHeight="1" outlineLevel="1">
      <c r="A231" s="916"/>
      <c r="B231" s="1124"/>
      <c r="C231" s="1128"/>
      <c r="D231" s="1126"/>
      <c r="E231" s="1126"/>
      <c r="F231" s="1132"/>
      <c r="G231" s="100"/>
      <c r="H231" s="824"/>
      <c r="I231" s="1126"/>
      <c r="J231" s="1135"/>
      <c r="K231" s="1135"/>
      <c r="L231" s="916"/>
    </row>
    <row r="232" spans="1:12" s="103" customFormat="1" ht="15.75" hidden="1" customHeight="1" outlineLevel="1">
      <c r="A232" s="916"/>
      <c r="B232" s="1123">
        <v>74</v>
      </c>
      <c r="C232" s="1127"/>
      <c r="D232" s="1125"/>
      <c r="E232" s="1125" t="s">
        <v>18</v>
      </c>
      <c r="F232" s="1130" t="str">
        <f>VLOOKUP(E232,$N$13:$O$17,2,0)</f>
        <v>-</v>
      </c>
      <c r="G232" s="92"/>
      <c r="H232" s="823"/>
      <c r="I232" s="1125"/>
      <c r="J232" s="1133"/>
      <c r="K232" s="1133"/>
      <c r="L232" s="916"/>
    </row>
    <row r="233" spans="1:12" s="103" customFormat="1" ht="15.75" hidden="1" customHeight="1" outlineLevel="1">
      <c r="A233" s="916"/>
      <c r="B233" s="1123"/>
      <c r="C233" s="1127"/>
      <c r="D233" s="1125"/>
      <c r="E233" s="1125"/>
      <c r="F233" s="1130"/>
      <c r="G233" s="95"/>
      <c r="H233" s="823"/>
      <c r="I233" s="1125"/>
      <c r="J233" s="1134"/>
      <c r="K233" s="1134"/>
      <c r="L233" s="916"/>
    </row>
    <row r="234" spans="1:12" s="103" customFormat="1" ht="15.75" hidden="1" customHeight="1" outlineLevel="1">
      <c r="A234" s="916"/>
      <c r="B234" s="1124"/>
      <c r="C234" s="1128"/>
      <c r="D234" s="1126"/>
      <c r="E234" s="1126"/>
      <c r="F234" s="1132"/>
      <c r="G234" s="100"/>
      <c r="H234" s="824"/>
      <c r="I234" s="1126"/>
      <c r="J234" s="1135"/>
      <c r="K234" s="1135"/>
      <c r="L234" s="916"/>
    </row>
    <row r="235" spans="1:12" s="103" customFormat="1" ht="15.75" hidden="1" customHeight="1" outlineLevel="1">
      <c r="A235" s="916"/>
      <c r="B235" s="1123">
        <v>75</v>
      </c>
      <c r="C235" s="1127"/>
      <c r="D235" s="1125"/>
      <c r="E235" s="1125" t="s">
        <v>18</v>
      </c>
      <c r="F235" s="1130" t="str">
        <f>VLOOKUP(E235,$N$13:$O$17,2,0)</f>
        <v>-</v>
      </c>
      <c r="G235" s="92"/>
      <c r="H235" s="823"/>
      <c r="I235" s="1125"/>
      <c r="J235" s="1133"/>
      <c r="K235" s="1133"/>
      <c r="L235" s="916"/>
    </row>
    <row r="236" spans="1:12" s="103" customFormat="1" ht="15.75" hidden="1" customHeight="1" outlineLevel="1">
      <c r="A236" s="916"/>
      <c r="B236" s="1123"/>
      <c r="C236" s="1127"/>
      <c r="D236" s="1125"/>
      <c r="E236" s="1125"/>
      <c r="F236" s="1130"/>
      <c r="G236" s="95"/>
      <c r="H236" s="823"/>
      <c r="I236" s="1125"/>
      <c r="J236" s="1134"/>
      <c r="K236" s="1134"/>
      <c r="L236" s="916"/>
    </row>
    <row r="237" spans="1:12" s="103" customFormat="1" ht="15.75" hidden="1" customHeight="1" outlineLevel="1">
      <c r="A237" s="916"/>
      <c r="B237" s="1124"/>
      <c r="C237" s="1128"/>
      <c r="D237" s="1126"/>
      <c r="E237" s="1126"/>
      <c r="F237" s="1132"/>
      <c r="G237" s="100"/>
      <c r="H237" s="824"/>
      <c r="I237" s="1126"/>
      <c r="J237" s="1135"/>
      <c r="K237" s="1135"/>
      <c r="L237" s="916"/>
    </row>
    <row r="238" spans="1:12" s="103" customFormat="1" ht="15.75" hidden="1" customHeight="1" outlineLevel="1">
      <c r="A238" s="916"/>
      <c r="B238" s="1123">
        <v>76</v>
      </c>
      <c r="C238" s="1127"/>
      <c r="D238" s="1125"/>
      <c r="E238" s="1125" t="s">
        <v>18</v>
      </c>
      <c r="F238" s="1130" t="str">
        <f>VLOOKUP(E238,$N$13:$O$17,2,0)</f>
        <v>-</v>
      </c>
      <c r="G238" s="92"/>
      <c r="H238" s="823"/>
      <c r="I238" s="1125"/>
      <c r="J238" s="1133"/>
      <c r="K238" s="1133"/>
      <c r="L238" s="916"/>
    </row>
    <row r="239" spans="1:12" s="103" customFormat="1" ht="15.75" hidden="1" customHeight="1" outlineLevel="1">
      <c r="A239" s="916"/>
      <c r="B239" s="1123"/>
      <c r="C239" s="1127"/>
      <c r="D239" s="1125"/>
      <c r="E239" s="1125"/>
      <c r="F239" s="1130"/>
      <c r="G239" s="95"/>
      <c r="H239" s="823"/>
      <c r="I239" s="1125"/>
      <c r="J239" s="1134"/>
      <c r="K239" s="1134"/>
      <c r="L239" s="916"/>
    </row>
    <row r="240" spans="1:12" s="103" customFormat="1" ht="15.75" hidden="1" customHeight="1" outlineLevel="1">
      <c r="A240" s="916"/>
      <c r="B240" s="1124"/>
      <c r="C240" s="1128"/>
      <c r="D240" s="1126"/>
      <c r="E240" s="1126"/>
      <c r="F240" s="1132"/>
      <c r="G240" s="100"/>
      <c r="H240" s="824"/>
      <c r="I240" s="1126"/>
      <c r="J240" s="1135"/>
      <c r="K240" s="1135"/>
      <c r="L240" s="916"/>
    </row>
    <row r="241" spans="1:12" s="103" customFormat="1" ht="15.75" hidden="1" customHeight="1" outlineLevel="1">
      <c r="A241" s="916"/>
      <c r="B241" s="1123">
        <v>77</v>
      </c>
      <c r="C241" s="1127"/>
      <c r="D241" s="1125"/>
      <c r="E241" s="1125" t="s">
        <v>18</v>
      </c>
      <c r="F241" s="1130" t="str">
        <f>VLOOKUP(E241,$N$13:$O$17,2,0)</f>
        <v>-</v>
      </c>
      <c r="G241" s="92"/>
      <c r="H241" s="823"/>
      <c r="I241" s="1125"/>
      <c r="J241" s="1133"/>
      <c r="K241" s="1133"/>
      <c r="L241" s="916"/>
    </row>
    <row r="242" spans="1:12" s="103" customFormat="1" ht="15.75" hidden="1" customHeight="1" outlineLevel="1">
      <c r="A242" s="916"/>
      <c r="B242" s="1123"/>
      <c r="C242" s="1127"/>
      <c r="D242" s="1125"/>
      <c r="E242" s="1125"/>
      <c r="F242" s="1130"/>
      <c r="G242" s="95"/>
      <c r="H242" s="823"/>
      <c r="I242" s="1125"/>
      <c r="J242" s="1134"/>
      <c r="K242" s="1134"/>
      <c r="L242" s="916"/>
    </row>
    <row r="243" spans="1:12" s="103" customFormat="1" ht="15.75" hidden="1" customHeight="1" outlineLevel="1">
      <c r="A243" s="916"/>
      <c r="B243" s="1124"/>
      <c r="C243" s="1128"/>
      <c r="D243" s="1126"/>
      <c r="E243" s="1126"/>
      <c r="F243" s="1132"/>
      <c r="G243" s="100"/>
      <c r="H243" s="824"/>
      <c r="I243" s="1126"/>
      <c r="J243" s="1135"/>
      <c r="K243" s="1135"/>
      <c r="L243" s="916"/>
    </row>
    <row r="244" spans="1:12" s="103" customFormat="1" ht="15.75" hidden="1" customHeight="1" outlineLevel="1">
      <c r="A244" s="916"/>
      <c r="B244" s="1123">
        <v>78</v>
      </c>
      <c r="C244" s="1127"/>
      <c r="D244" s="1125"/>
      <c r="E244" s="1125" t="s">
        <v>18</v>
      </c>
      <c r="F244" s="1130" t="str">
        <f>VLOOKUP(E244,$N$13:$O$17,2,0)</f>
        <v>-</v>
      </c>
      <c r="G244" s="92"/>
      <c r="H244" s="823"/>
      <c r="I244" s="1125"/>
      <c r="J244" s="1133"/>
      <c r="K244" s="1133"/>
      <c r="L244" s="916"/>
    </row>
    <row r="245" spans="1:12" s="103" customFormat="1" ht="15.75" hidden="1" customHeight="1" outlineLevel="1">
      <c r="A245" s="916"/>
      <c r="B245" s="1123"/>
      <c r="C245" s="1127"/>
      <c r="D245" s="1125"/>
      <c r="E245" s="1125"/>
      <c r="F245" s="1130"/>
      <c r="G245" s="95"/>
      <c r="H245" s="823"/>
      <c r="I245" s="1125"/>
      <c r="J245" s="1134"/>
      <c r="K245" s="1134"/>
      <c r="L245" s="916"/>
    </row>
    <row r="246" spans="1:12" s="103" customFormat="1" ht="15.75" hidden="1" customHeight="1" outlineLevel="1">
      <c r="A246" s="916"/>
      <c r="B246" s="1124"/>
      <c r="C246" s="1128"/>
      <c r="D246" s="1126"/>
      <c r="E246" s="1126"/>
      <c r="F246" s="1132"/>
      <c r="G246" s="100"/>
      <c r="H246" s="824"/>
      <c r="I246" s="1126"/>
      <c r="J246" s="1135"/>
      <c r="K246" s="1135"/>
      <c r="L246" s="916"/>
    </row>
    <row r="247" spans="1:12" s="103" customFormat="1" ht="15.75" hidden="1" customHeight="1" outlineLevel="1">
      <c r="A247" s="916"/>
      <c r="B247" s="1123">
        <v>79</v>
      </c>
      <c r="C247" s="1127"/>
      <c r="D247" s="1125"/>
      <c r="E247" s="1125" t="s">
        <v>18</v>
      </c>
      <c r="F247" s="1130" t="str">
        <f>VLOOKUP(E247,$N$13:$O$17,2,0)</f>
        <v>-</v>
      </c>
      <c r="G247" s="92"/>
      <c r="H247" s="823"/>
      <c r="I247" s="1125"/>
      <c r="J247" s="1133"/>
      <c r="K247" s="1133"/>
      <c r="L247" s="916"/>
    </row>
    <row r="248" spans="1:12" s="103" customFormat="1" ht="15.75" hidden="1" customHeight="1" outlineLevel="1">
      <c r="A248" s="916"/>
      <c r="B248" s="1123"/>
      <c r="C248" s="1127"/>
      <c r="D248" s="1125"/>
      <c r="E248" s="1125"/>
      <c r="F248" s="1130"/>
      <c r="G248" s="95"/>
      <c r="H248" s="823"/>
      <c r="I248" s="1125"/>
      <c r="J248" s="1134"/>
      <c r="K248" s="1134"/>
      <c r="L248" s="916"/>
    </row>
    <row r="249" spans="1:12" s="103" customFormat="1" ht="15.75" hidden="1" customHeight="1" outlineLevel="1">
      <c r="A249" s="916"/>
      <c r="B249" s="1124"/>
      <c r="C249" s="1128"/>
      <c r="D249" s="1126"/>
      <c r="E249" s="1126"/>
      <c r="F249" s="1132"/>
      <c r="G249" s="100"/>
      <c r="H249" s="824"/>
      <c r="I249" s="1126"/>
      <c r="J249" s="1135"/>
      <c r="K249" s="1135"/>
      <c r="L249" s="916"/>
    </row>
    <row r="250" spans="1:12" s="103" customFormat="1" ht="15.75" hidden="1" customHeight="1" outlineLevel="1">
      <c r="A250" s="916"/>
      <c r="B250" s="1123">
        <v>80</v>
      </c>
      <c r="C250" s="1127"/>
      <c r="D250" s="1125"/>
      <c r="E250" s="1125" t="s">
        <v>18</v>
      </c>
      <c r="F250" s="1130" t="str">
        <f>VLOOKUP(E250,$N$13:$O$17,2,0)</f>
        <v>-</v>
      </c>
      <c r="G250" s="92"/>
      <c r="H250" s="823"/>
      <c r="I250" s="1125"/>
      <c r="J250" s="1133"/>
      <c r="K250" s="1133"/>
      <c r="L250" s="916"/>
    </row>
    <row r="251" spans="1:12" s="103" customFormat="1" ht="15.75" hidden="1" customHeight="1" outlineLevel="1">
      <c r="A251" s="916"/>
      <c r="B251" s="1123"/>
      <c r="C251" s="1127"/>
      <c r="D251" s="1125"/>
      <c r="E251" s="1125"/>
      <c r="F251" s="1130"/>
      <c r="G251" s="95"/>
      <c r="H251" s="823"/>
      <c r="I251" s="1125"/>
      <c r="J251" s="1134"/>
      <c r="K251" s="1134"/>
      <c r="L251" s="916"/>
    </row>
    <row r="252" spans="1:12" s="103" customFormat="1" ht="15.75" hidden="1" customHeight="1" outlineLevel="1">
      <c r="A252" s="916"/>
      <c r="B252" s="1124"/>
      <c r="C252" s="1128"/>
      <c r="D252" s="1126"/>
      <c r="E252" s="1126"/>
      <c r="F252" s="1132"/>
      <c r="G252" s="100"/>
      <c r="H252" s="824"/>
      <c r="I252" s="1126"/>
      <c r="J252" s="1135"/>
      <c r="K252" s="1135"/>
      <c r="L252" s="916"/>
    </row>
    <row r="253" spans="1:12" s="103" customFormat="1" ht="15.75" hidden="1" customHeight="1" outlineLevel="1">
      <c r="A253" s="916"/>
      <c r="B253" s="1123">
        <v>81</v>
      </c>
      <c r="C253" s="1127"/>
      <c r="D253" s="1125"/>
      <c r="E253" s="1125" t="s">
        <v>18</v>
      </c>
      <c r="F253" s="1130" t="str">
        <f>VLOOKUP(E253,$N$13:$O$17,2,0)</f>
        <v>-</v>
      </c>
      <c r="G253" s="92"/>
      <c r="H253" s="823"/>
      <c r="I253" s="1125"/>
      <c r="J253" s="1133"/>
      <c r="K253" s="1133"/>
      <c r="L253" s="916"/>
    </row>
    <row r="254" spans="1:12" s="103" customFormat="1" ht="15.75" hidden="1" customHeight="1" outlineLevel="1">
      <c r="A254" s="916"/>
      <c r="B254" s="1123"/>
      <c r="C254" s="1127"/>
      <c r="D254" s="1125"/>
      <c r="E254" s="1125"/>
      <c r="F254" s="1130"/>
      <c r="G254" s="95"/>
      <c r="H254" s="823"/>
      <c r="I254" s="1125"/>
      <c r="J254" s="1134"/>
      <c r="K254" s="1134"/>
      <c r="L254" s="916"/>
    </row>
    <row r="255" spans="1:12" s="103" customFormat="1" ht="15.75" hidden="1" customHeight="1" outlineLevel="1">
      <c r="A255" s="916"/>
      <c r="B255" s="1124"/>
      <c r="C255" s="1128"/>
      <c r="D255" s="1126"/>
      <c r="E255" s="1126"/>
      <c r="F255" s="1132"/>
      <c r="G255" s="100"/>
      <c r="H255" s="824"/>
      <c r="I255" s="1126"/>
      <c r="J255" s="1135"/>
      <c r="K255" s="1135"/>
      <c r="L255" s="916"/>
    </row>
    <row r="256" spans="1:12" s="103" customFormat="1" ht="15.75" hidden="1" customHeight="1" outlineLevel="1">
      <c r="A256" s="916"/>
      <c r="B256" s="1123">
        <v>82</v>
      </c>
      <c r="C256" s="1127"/>
      <c r="D256" s="1125"/>
      <c r="E256" s="1125" t="s">
        <v>18</v>
      </c>
      <c r="F256" s="1130" t="str">
        <f>VLOOKUP(E256,$N$13:$O$17,2,0)</f>
        <v>-</v>
      </c>
      <c r="G256" s="92"/>
      <c r="H256" s="823"/>
      <c r="I256" s="1125"/>
      <c r="J256" s="1133"/>
      <c r="K256" s="1133"/>
      <c r="L256" s="916"/>
    </row>
    <row r="257" spans="1:12" s="103" customFormat="1" ht="15.75" hidden="1" customHeight="1" outlineLevel="1">
      <c r="A257" s="916"/>
      <c r="B257" s="1123"/>
      <c r="C257" s="1127"/>
      <c r="D257" s="1125"/>
      <c r="E257" s="1125"/>
      <c r="F257" s="1130"/>
      <c r="G257" s="95"/>
      <c r="H257" s="823"/>
      <c r="I257" s="1125"/>
      <c r="J257" s="1134"/>
      <c r="K257" s="1134"/>
      <c r="L257" s="916"/>
    </row>
    <row r="258" spans="1:12" s="103" customFormat="1" ht="15.75" hidden="1" customHeight="1" outlineLevel="1">
      <c r="A258" s="916"/>
      <c r="B258" s="1124"/>
      <c r="C258" s="1128"/>
      <c r="D258" s="1126"/>
      <c r="E258" s="1126"/>
      <c r="F258" s="1132"/>
      <c r="G258" s="100"/>
      <c r="H258" s="824"/>
      <c r="I258" s="1126"/>
      <c r="J258" s="1135"/>
      <c r="K258" s="1135"/>
      <c r="L258" s="916"/>
    </row>
    <row r="259" spans="1:12" s="103" customFormat="1" ht="15.75" hidden="1" customHeight="1" outlineLevel="1">
      <c r="A259" s="916"/>
      <c r="B259" s="1123">
        <v>83</v>
      </c>
      <c r="C259" s="1127"/>
      <c r="D259" s="1125"/>
      <c r="E259" s="1125" t="s">
        <v>18</v>
      </c>
      <c r="F259" s="1130" t="str">
        <f>VLOOKUP(E259,$N$13:$O$17,2,0)</f>
        <v>-</v>
      </c>
      <c r="G259" s="92"/>
      <c r="H259" s="823"/>
      <c r="I259" s="1125"/>
      <c r="J259" s="1133"/>
      <c r="K259" s="1133"/>
      <c r="L259" s="916"/>
    </row>
    <row r="260" spans="1:12" s="103" customFormat="1" ht="15.75" hidden="1" customHeight="1" outlineLevel="1">
      <c r="A260" s="916"/>
      <c r="B260" s="1123"/>
      <c r="C260" s="1127"/>
      <c r="D260" s="1125"/>
      <c r="E260" s="1125"/>
      <c r="F260" s="1130"/>
      <c r="G260" s="95"/>
      <c r="H260" s="823"/>
      <c r="I260" s="1125"/>
      <c r="J260" s="1134"/>
      <c r="K260" s="1134"/>
      <c r="L260" s="916"/>
    </row>
    <row r="261" spans="1:12" s="103" customFormat="1" ht="15.75" hidden="1" customHeight="1" outlineLevel="1">
      <c r="A261" s="916"/>
      <c r="B261" s="1124"/>
      <c r="C261" s="1128"/>
      <c r="D261" s="1126"/>
      <c r="E261" s="1126"/>
      <c r="F261" s="1132"/>
      <c r="G261" s="100"/>
      <c r="H261" s="824"/>
      <c r="I261" s="1126"/>
      <c r="J261" s="1135"/>
      <c r="K261" s="1135"/>
      <c r="L261" s="916"/>
    </row>
    <row r="262" spans="1:12" s="103" customFormat="1" ht="15.75" hidden="1" customHeight="1" outlineLevel="1">
      <c r="A262" s="916"/>
      <c r="B262" s="1123">
        <v>84</v>
      </c>
      <c r="C262" s="1127"/>
      <c r="D262" s="1125"/>
      <c r="E262" s="1125" t="s">
        <v>18</v>
      </c>
      <c r="F262" s="1130" t="str">
        <f>VLOOKUP(E262,$N$13:$O$17,2,0)</f>
        <v>-</v>
      </c>
      <c r="G262" s="92"/>
      <c r="H262" s="823"/>
      <c r="I262" s="1125"/>
      <c r="J262" s="1133"/>
      <c r="K262" s="1133"/>
      <c r="L262" s="916"/>
    </row>
    <row r="263" spans="1:12" s="103" customFormat="1" ht="15.75" hidden="1" customHeight="1" outlineLevel="1">
      <c r="A263" s="916"/>
      <c r="B263" s="1123"/>
      <c r="C263" s="1127"/>
      <c r="D263" s="1125"/>
      <c r="E263" s="1125"/>
      <c r="F263" s="1130"/>
      <c r="G263" s="95"/>
      <c r="H263" s="823"/>
      <c r="I263" s="1125"/>
      <c r="J263" s="1134"/>
      <c r="K263" s="1134"/>
      <c r="L263" s="916"/>
    </row>
    <row r="264" spans="1:12" s="103" customFormat="1" ht="15.75" hidden="1" customHeight="1" outlineLevel="1">
      <c r="A264" s="916"/>
      <c r="B264" s="1124"/>
      <c r="C264" s="1128"/>
      <c r="D264" s="1126"/>
      <c r="E264" s="1126"/>
      <c r="F264" s="1132"/>
      <c r="G264" s="100"/>
      <c r="H264" s="824"/>
      <c r="I264" s="1126"/>
      <c r="J264" s="1135"/>
      <c r="K264" s="1135"/>
      <c r="L264" s="916"/>
    </row>
    <row r="265" spans="1:12" s="103" customFormat="1" ht="15.75" hidden="1" customHeight="1" outlineLevel="1">
      <c r="A265" s="916"/>
      <c r="B265" s="1123">
        <v>85</v>
      </c>
      <c r="C265" s="1127"/>
      <c r="D265" s="1125"/>
      <c r="E265" s="1125" t="s">
        <v>18</v>
      </c>
      <c r="F265" s="1130" t="str">
        <f>VLOOKUP(E265,$N$13:$O$17,2,0)</f>
        <v>-</v>
      </c>
      <c r="G265" s="92"/>
      <c r="H265" s="823"/>
      <c r="I265" s="1125"/>
      <c r="J265" s="1133"/>
      <c r="K265" s="1133"/>
      <c r="L265" s="916"/>
    </row>
    <row r="266" spans="1:12" s="103" customFormat="1" ht="15.75" hidden="1" customHeight="1" outlineLevel="1">
      <c r="A266" s="916"/>
      <c r="B266" s="1123"/>
      <c r="C266" s="1127"/>
      <c r="D266" s="1125"/>
      <c r="E266" s="1125"/>
      <c r="F266" s="1130"/>
      <c r="G266" s="95"/>
      <c r="H266" s="823"/>
      <c r="I266" s="1125"/>
      <c r="J266" s="1134"/>
      <c r="K266" s="1134"/>
      <c r="L266" s="916"/>
    </row>
    <row r="267" spans="1:12" s="103" customFormat="1" ht="15.75" hidden="1" customHeight="1" outlineLevel="1">
      <c r="A267" s="916"/>
      <c r="B267" s="1124"/>
      <c r="C267" s="1128"/>
      <c r="D267" s="1126"/>
      <c r="E267" s="1126"/>
      <c r="F267" s="1132"/>
      <c r="G267" s="100"/>
      <c r="H267" s="824"/>
      <c r="I267" s="1126"/>
      <c r="J267" s="1135"/>
      <c r="K267" s="1135"/>
      <c r="L267" s="916"/>
    </row>
    <row r="268" spans="1:12" s="103" customFormat="1" ht="15.75" hidden="1" customHeight="1" outlineLevel="1">
      <c r="A268" s="916"/>
      <c r="B268" s="1123">
        <v>86</v>
      </c>
      <c r="C268" s="1127"/>
      <c r="D268" s="1125"/>
      <c r="E268" s="1125" t="s">
        <v>18</v>
      </c>
      <c r="F268" s="1130" t="str">
        <f>VLOOKUP(E268,$N$13:$O$17,2,0)</f>
        <v>-</v>
      </c>
      <c r="G268" s="92"/>
      <c r="H268" s="823"/>
      <c r="I268" s="1125"/>
      <c r="J268" s="1133"/>
      <c r="K268" s="1133"/>
      <c r="L268" s="916"/>
    </row>
    <row r="269" spans="1:12" s="103" customFormat="1" ht="15.75" hidden="1" customHeight="1" outlineLevel="1">
      <c r="A269" s="916"/>
      <c r="B269" s="1123"/>
      <c r="C269" s="1127"/>
      <c r="D269" s="1125"/>
      <c r="E269" s="1125"/>
      <c r="F269" s="1130"/>
      <c r="G269" s="95"/>
      <c r="H269" s="823"/>
      <c r="I269" s="1125"/>
      <c r="J269" s="1134"/>
      <c r="K269" s="1134"/>
      <c r="L269" s="916"/>
    </row>
    <row r="270" spans="1:12" s="103" customFormat="1" ht="15.75" hidden="1" customHeight="1" outlineLevel="1">
      <c r="A270" s="916"/>
      <c r="B270" s="1124"/>
      <c r="C270" s="1128"/>
      <c r="D270" s="1126"/>
      <c r="E270" s="1126"/>
      <c r="F270" s="1132"/>
      <c r="G270" s="100"/>
      <c r="H270" s="824"/>
      <c r="I270" s="1126"/>
      <c r="J270" s="1135"/>
      <c r="K270" s="1135"/>
      <c r="L270" s="916"/>
    </row>
    <row r="271" spans="1:12" s="103" customFormat="1" ht="15.75" hidden="1" customHeight="1" outlineLevel="1">
      <c r="A271" s="916"/>
      <c r="B271" s="1123">
        <v>87</v>
      </c>
      <c r="C271" s="1127"/>
      <c r="D271" s="1125"/>
      <c r="E271" s="1125" t="s">
        <v>18</v>
      </c>
      <c r="F271" s="1130" t="str">
        <f>VLOOKUP(E271,$N$13:$O$17,2,0)</f>
        <v>-</v>
      </c>
      <c r="G271" s="92"/>
      <c r="H271" s="823"/>
      <c r="I271" s="1125"/>
      <c r="J271" s="1133"/>
      <c r="K271" s="1133"/>
      <c r="L271" s="916"/>
    </row>
    <row r="272" spans="1:12" s="103" customFormat="1" ht="15.75" hidden="1" customHeight="1" outlineLevel="1">
      <c r="A272" s="916"/>
      <c r="B272" s="1123"/>
      <c r="C272" s="1127"/>
      <c r="D272" s="1125"/>
      <c r="E272" s="1125"/>
      <c r="F272" s="1130"/>
      <c r="G272" s="95"/>
      <c r="H272" s="823"/>
      <c r="I272" s="1125"/>
      <c r="J272" s="1134"/>
      <c r="K272" s="1134"/>
      <c r="L272" s="916"/>
    </row>
    <row r="273" spans="1:12" s="103" customFormat="1" ht="15.75" hidden="1" customHeight="1" outlineLevel="1">
      <c r="A273" s="916"/>
      <c r="B273" s="1124"/>
      <c r="C273" s="1128"/>
      <c r="D273" s="1126"/>
      <c r="E273" s="1126"/>
      <c r="F273" s="1132"/>
      <c r="G273" s="100"/>
      <c r="H273" s="824"/>
      <c r="I273" s="1126"/>
      <c r="J273" s="1135"/>
      <c r="K273" s="1135"/>
      <c r="L273" s="916"/>
    </row>
    <row r="274" spans="1:12" s="103" customFormat="1" ht="15.75" hidden="1" customHeight="1" outlineLevel="1">
      <c r="A274" s="916"/>
      <c r="B274" s="1123">
        <v>88</v>
      </c>
      <c r="C274" s="1127"/>
      <c r="D274" s="1125"/>
      <c r="E274" s="1125" t="s">
        <v>18</v>
      </c>
      <c r="F274" s="1130" t="str">
        <f>VLOOKUP(E274,$N$13:$O$17,2,0)</f>
        <v>-</v>
      </c>
      <c r="G274" s="92"/>
      <c r="H274" s="823"/>
      <c r="I274" s="1125"/>
      <c r="J274" s="1133"/>
      <c r="K274" s="1133"/>
      <c r="L274" s="916"/>
    </row>
    <row r="275" spans="1:12" s="103" customFormat="1" ht="15.75" hidden="1" customHeight="1" outlineLevel="1">
      <c r="A275" s="916"/>
      <c r="B275" s="1123"/>
      <c r="C275" s="1127"/>
      <c r="D275" s="1125"/>
      <c r="E275" s="1125"/>
      <c r="F275" s="1130"/>
      <c r="G275" s="95"/>
      <c r="H275" s="823"/>
      <c r="I275" s="1125"/>
      <c r="J275" s="1134"/>
      <c r="K275" s="1134"/>
      <c r="L275" s="916"/>
    </row>
    <row r="276" spans="1:12" s="103" customFormat="1" ht="15.75" hidden="1" customHeight="1" outlineLevel="1">
      <c r="A276" s="916"/>
      <c r="B276" s="1124"/>
      <c r="C276" s="1128"/>
      <c r="D276" s="1126"/>
      <c r="E276" s="1126"/>
      <c r="F276" s="1132"/>
      <c r="G276" s="100"/>
      <c r="H276" s="824"/>
      <c r="I276" s="1126"/>
      <c r="J276" s="1135"/>
      <c r="K276" s="1135"/>
      <c r="L276" s="916"/>
    </row>
    <row r="277" spans="1:12" s="103" customFormat="1" ht="15.75" hidden="1" customHeight="1" outlineLevel="1">
      <c r="A277" s="916"/>
      <c r="B277" s="1123">
        <v>89</v>
      </c>
      <c r="C277" s="1127"/>
      <c r="D277" s="1125"/>
      <c r="E277" s="1125" t="s">
        <v>18</v>
      </c>
      <c r="F277" s="1130" t="str">
        <f>VLOOKUP(E277,$N$13:$O$17,2,0)</f>
        <v>-</v>
      </c>
      <c r="G277" s="92"/>
      <c r="H277" s="823"/>
      <c r="I277" s="1125"/>
      <c r="J277" s="1133"/>
      <c r="K277" s="1133"/>
      <c r="L277" s="916"/>
    </row>
    <row r="278" spans="1:12" s="103" customFormat="1" ht="15.75" hidden="1" customHeight="1" outlineLevel="1">
      <c r="A278" s="916"/>
      <c r="B278" s="1123"/>
      <c r="C278" s="1127"/>
      <c r="D278" s="1125"/>
      <c r="E278" s="1125"/>
      <c r="F278" s="1130"/>
      <c r="G278" s="95"/>
      <c r="H278" s="823"/>
      <c r="I278" s="1125"/>
      <c r="J278" s="1134"/>
      <c r="K278" s="1134"/>
      <c r="L278" s="916"/>
    </row>
    <row r="279" spans="1:12" s="103" customFormat="1" ht="15.75" hidden="1" customHeight="1" outlineLevel="1">
      <c r="A279" s="916"/>
      <c r="B279" s="1124"/>
      <c r="C279" s="1128"/>
      <c r="D279" s="1126"/>
      <c r="E279" s="1126"/>
      <c r="F279" s="1132"/>
      <c r="G279" s="100"/>
      <c r="H279" s="824"/>
      <c r="I279" s="1126"/>
      <c r="J279" s="1135"/>
      <c r="K279" s="1135"/>
      <c r="L279" s="916"/>
    </row>
    <row r="280" spans="1:12" s="103" customFormat="1" ht="15.75" hidden="1" customHeight="1" outlineLevel="1">
      <c r="A280" s="916"/>
      <c r="B280" s="1123">
        <v>90</v>
      </c>
      <c r="C280" s="1127"/>
      <c r="D280" s="1125"/>
      <c r="E280" s="1125" t="s">
        <v>18</v>
      </c>
      <c r="F280" s="1130" t="str">
        <f>VLOOKUP(E280,$N$13:$O$17,2,0)</f>
        <v>-</v>
      </c>
      <c r="G280" s="92"/>
      <c r="H280" s="823"/>
      <c r="I280" s="1125"/>
      <c r="J280" s="1133"/>
      <c r="K280" s="1133"/>
      <c r="L280" s="916"/>
    </row>
    <row r="281" spans="1:12" s="103" customFormat="1" ht="15.75" hidden="1" customHeight="1" outlineLevel="1">
      <c r="A281" s="916"/>
      <c r="B281" s="1123"/>
      <c r="C281" s="1127"/>
      <c r="D281" s="1125"/>
      <c r="E281" s="1125"/>
      <c r="F281" s="1130"/>
      <c r="G281" s="95"/>
      <c r="H281" s="823"/>
      <c r="I281" s="1125"/>
      <c r="J281" s="1134"/>
      <c r="K281" s="1134"/>
      <c r="L281" s="916"/>
    </row>
    <row r="282" spans="1:12" s="103" customFormat="1" ht="15.75" hidden="1" customHeight="1" outlineLevel="1">
      <c r="A282" s="916"/>
      <c r="B282" s="1124"/>
      <c r="C282" s="1128"/>
      <c r="D282" s="1126"/>
      <c r="E282" s="1126"/>
      <c r="F282" s="1132"/>
      <c r="G282" s="100"/>
      <c r="H282" s="824"/>
      <c r="I282" s="1126"/>
      <c r="J282" s="1135"/>
      <c r="K282" s="1135"/>
      <c r="L282" s="916"/>
    </row>
    <row r="283" spans="1:12" s="103" customFormat="1" ht="15.75" hidden="1" customHeight="1" outlineLevel="1">
      <c r="A283" s="916"/>
      <c r="B283" s="1123">
        <v>91</v>
      </c>
      <c r="C283" s="1127"/>
      <c r="D283" s="1125"/>
      <c r="E283" s="1125" t="s">
        <v>18</v>
      </c>
      <c r="F283" s="1130" t="str">
        <f>VLOOKUP(E283,$N$13:$O$17,2,0)</f>
        <v>-</v>
      </c>
      <c r="G283" s="92"/>
      <c r="H283" s="823"/>
      <c r="I283" s="1125"/>
      <c r="J283" s="1133"/>
      <c r="K283" s="1133"/>
      <c r="L283" s="916"/>
    </row>
    <row r="284" spans="1:12" s="103" customFormat="1" ht="15.75" hidden="1" customHeight="1" outlineLevel="1">
      <c r="A284" s="916"/>
      <c r="B284" s="1123"/>
      <c r="C284" s="1127"/>
      <c r="D284" s="1125"/>
      <c r="E284" s="1125"/>
      <c r="F284" s="1130"/>
      <c r="G284" s="95"/>
      <c r="H284" s="823"/>
      <c r="I284" s="1125"/>
      <c r="J284" s="1134"/>
      <c r="K284" s="1134"/>
      <c r="L284" s="916"/>
    </row>
    <row r="285" spans="1:12" s="103" customFormat="1" ht="15.75" hidden="1" customHeight="1" outlineLevel="1">
      <c r="A285" s="916"/>
      <c r="B285" s="1124"/>
      <c r="C285" s="1128"/>
      <c r="D285" s="1126"/>
      <c r="E285" s="1126"/>
      <c r="F285" s="1132"/>
      <c r="G285" s="100"/>
      <c r="H285" s="824"/>
      <c r="I285" s="1126"/>
      <c r="J285" s="1135"/>
      <c r="K285" s="1135"/>
      <c r="L285" s="916"/>
    </row>
    <row r="286" spans="1:12" s="103" customFormat="1" ht="15.75" hidden="1" customHeight="1" outlineLevel="1">
      <c r="A286" s="916"/>
      <c r="B286" s="1123">
        <v>92</v>
      </c>
      <c r="C286" s="1127"/>
      <c r="D286" s="1125"/>
      <c r="E286" s="1125" t="s">
        <v>18</v>
      </c>
      <c r="F286" s="1130" t="str">
        <f>VLOOKUP(E286,$N$13:$O$17,2,0)</f>
        <v>-</v>
      </c>
      <c r="G286" s="92"/>
      <c r="H286" s="823"/>
      <c r="I286" s="1125"/>
      <c r="J286" s="1133"/>
      <c r="K286" s="1133"/>
      <c r="L286" s="916"/>
    </row>
    <row r="287" spans="1:12" s="103" customFormat="1" ht="15.75" hidden="1" customHeight="1" outlineLevel="1">
      <c r="A287" s="916"/>
      <c r="B287" s="1123"/>
      <c r="C287" s="1127"/>
      <c r="D287" s="1125"/>
      <c r="E287" s="1125"/>
      <c r="F287" s="1130"/>
      <c r="G287" s="95"/>
      <c r="H287" s="823"/>
      <c r="I287" s="1125"/>
      <c r="J287" s="1134"/>
      <c r="K287" s="1134"/>
      <c r="L287" s="916"/>
    </row>
    <row r="288" spans="1:12" s="103" customFormat="1" ht="15.75" hidden="1" customHeight="1" outlineLevel="1">
      <c r="A288" s="916"/>
      <c r="B288" s="1124"/>
      <c r="C288" s="1128"/>
      <c r="D288" s="1126"/>
      <c r="E288" s="1126"/>
      <c r="F288" s="1132"/>
      <c r="G288" s="100"/>
      <c r="H288" s="824"/>
      <c r="I288" s="1126"/>
      <c r="J288" s="1135"/>
      <c r="K288" s="1135"/>
      <c r="L288" s="916"/>
    </row>
    <row r="289" spans="1:12" s="103" customFormat="1" ht="15.75" hidden="1" customHeight="1" outlineLevel="1">
      <c r="A289" s="916"/>
      <c r="B289" s="1123">
        <v>93</v>
      </c>
      <c r="C289" s="1127"/>
      <c r="D289" s="1125"/>
      <c r="E289" s="1125" t="s">
        <v>18</v>
      </c>
      <c r="F289" s="1130" t="str">
        <f>VLOOKUP(E289,$N$13:$O$17,2,0)</f>
        <v>-</v>
      </c>
      <c r="G289" s="92"/>
      <c r="H289" s="823"/>
      <c r="I289" s="1125"/>
      <c r="J289" s="1133"/>
      <c r="K289" s="1133"/>
      <c r="L289" s="916"/>
    </row>
    <row r="290" spans="1:12" s="103" customFormat="1" ht="15.75" hidden="1" customHeight="1" outlineLevel="1">
      <c r="A290" s="916"/>
      <c r="B290" s="1123"/>
      <c r="C290" s="1127"/>
      <c r="D290" s="1125"/>
      <c r="E290" s="1125"/>
      <c r="F290" s="1130"/>
      <c r="G290" s="95"/>
      <c r="H290" s="823"/>
      <c r="I290" s="1125"/>
      <c r="J290" s="1134"/>
      <c r="K290" s="1134"/>
      <c r="L290" s="916"/>
    </row>
    <row r="291" spans="1:12" s="103" customFormat="1" ht="15.75" hidden="1" customHeight="1" outlineLevel="1">
      <c r="A291" s="916"/>
      <c r="B291" s="1124"/>
      <c r="C291" s="1128"/>
      <c r="D291" s="1126"/>
      <c r="E291" s="1126"/>
      <c r="F291" s="1132"/>
      <c r="G291" s="100"/>
      <c r="H291" s="824"/>
      <c r="I291" s="1126"/>
      <c r="J291" s="1135"/>
      <c r="K291" s="1135"/>
      <c r="L291" s="916"/>
    </row>
    <row r="292" spans="1:12" s="103" customFormat="1" ht="15.75" hidden="1" customHeight="1" outlineLevel="1">
      <c r="A292" s="916"/>
      <c r="B292" s="1123">
        <v>94</v>
      </c>
      <c r="C292" s="1127"/>
      <c r="D292" s="1125"/>
      <c r="E292" s="1125" t="s">
        <v>18</v>
      </c>
      <c r="F292" s="1130" t="str">
        <f>VLOOKUP(E292,$N$13:$O$17,2,0)</f>
        <v>-</v>
      </c>
      <c r="G292" s="92"/>
      <c r="H292" s="823"/>
      <c r="I292" s="1125"/>
      <c r="J292" s="1133"/>
      <c r="K292" s="1133"/>
      <c r="L292" s="916"/>
    </row>
    <row r="293" spans="1:12" s="103" customFormat="1" ht="15.75" hidden="1" customHeight="1" outlineLevel="1">
      <c r="A293" s="916"/>
      <c r="B293" s="1123"/>
      <c r="C293" s="1127"/>
      <c r="D293" s="1125"/>
      <c r="E293" s="1125"/>
      <c r="F293" s="1130"/>
      <c r="G293" s="95"/>
      <c r="H293" s="823"/>
      <c r="I293" s="1125"/>
      <c r="J293" s="1134"/>
      <c r="K293" s="1134"/>
      <c r="L293" s="916"/>
    </row>
    <row r="294" spans="1:12" s="103" customFormat="1" ht="15.75" hidden="1" customHeight="1" outlineLevel="1">
      <c r="A294" s="916"/>
      <c r="B294" s="1124"/>
      <c r="C294" s="1128"/>
      <c r="D294" s="1126"/>
      <c r="E294" s="1126"/>
      <c r="F294" s="1132"/>
      <c r="G294" s="100"/>
      <c r="H294" s="824"/>
      <c r="I294" s="1126"/>
      <c r="J294" s="1135"/>
      <c r="K294" s="1135"/>
      <c r="L294" s="916"/>
    </row>
    <row r="295" spans="1:12" s="103" customFormat="1" ht="15.75" hidden="1" customHeight="1" outlineLevel="1">
      <c r="A295" s="916"/>
      <c r="B295" s="1123">
        <v>95</v>
      </c>
      <c r="C295" s="1127"/>
      <c r="D295" s="1125"/>
      <c r="E295" s="1125" t="s">
        <v>18</v>
      </c>
      <c r="F295" s="1130" t="str">
        <f>VLOOKUP(E295,$N$13:$O$17,2,0)</f>
        <v>-</v>
      </c>
      <c r="G295" s="92"/>
      <c r="H295" s="823"/>
      <c r="I295" s="1125"/>
      <c r="J295" s="1133"/>
      <c r="K295" s="1133"/>
      <c r="L295" s="916"/>
    </row>
    <row r="296" spans="1:12" s="103" customFormat="1" ht="15.75" hidden="1" customHeight="1" outlineLevel="1">
      <c r="A296" s="916"/>
      <c r="B296" s="1123"/>
      <c r="C296" s="1127"/>
      <c r="D296" s="1125"/>
      <c r="E296" s="1125"/>
      <c r="F296" s="1130"/>
      <c r="G296" s="95"/>
      <c r="H296" s="823"/>
      <c r="I296" s="1125"/>
      <c r="J296" s="1134"/>
      <c r="K296" s="1134"/>
      <c r="L296" s="916"/>
    </row>
    <row r="297" spans="1:12" s="103" customFormat="1" ht="15.75" hidden="1" customHeight="1" outlineLevel="1">
      <c r="A297" s="916"/>
      <c r="B297" s="1124"/>
      <c r="C297" s="1128"/>
      <c r="D297" s="1126"/>
      <c r="E297" s="1126"/>
      <c r="F297" s="1132"/>
      <c r="G297" s="100"/>
      <c r="H297" s="824"/>
      <c r="I297" s="1126"/>
      <c r="J297" s="1135"/>
      <c r="K297" s="1135"/>
      <c r="L297" s="916"/>
    </row>
    <row r="298" spans="1:12" s="103" customFormat="1" ht="15.75" hidden="1" customHeight="1" outlineLevel="1">
      <c r="A298" s="916"/>
      <c r="B298" s="1123">
        <v>96</v>
      </c>
      <c r="C298" s="1127"/>
      <c r="D298" s="1125"/>
      <c r="E298" s="1125" t="s">
        <v>18</v>
      </c>
      <c r="F298" s="1130" t="str">
        <f>VLOOKUP(E298,$N$13:$O$17,2,0)</f>
        <v>-</v>
      </c>
      <c r="G298" s="92"/>
      <c r="H298" s="823"/>
      <c r="I298" s="1125"/>
      <c r="J298" s="1133"/>
      <c r="K298" s="1133"/>
      <c r="L298" s="916"/>
    </row>
    <row r="299" spans="1:12" s="103" customFormat="1" ht="15.75" hidden="1" customHeight="1" outlineLevel="1">
      <c r="A299" s="916"/>
      <c r="B299" s="1123"/>
      <c r="C299" s="1127"/>
      <c r="D299" s="1125"/>
      <c r="E299" s="1125"/>
      <c r="F299" s="1130"/>
      <c r="G299" s="95"/>
      <c r="H299" s="823"/>
      <c r="I299" s="1125"/>
      <c r="J299" s="1134"/>
      <c r="K299" s="1134"/>
      <c r="L299" s="916"/>
    </row>
    <row r="300" spans="1:12" s="103" customFormat="1" ht="15.75" hidden="1" customHeight="1" outlineLevel="1">
      <c r="A300" s="916"/>
      <c r="B300" s="1124"/>
      <c r="C300" s="1128"/>
      <c r="D300" s="1126"/>
      <c r="E300" s="1126"/>
      <c r="F300" s="1132"/>
      <c r="G300" s="100"/>
      <c r="H300" s="824"/>
      <c r="I300" s="1126"/>
      <c r="J300" s="1135"/>
      <c r="K300" s="1135"/>
      <c r="L300" s="916"/>
    </row>
    <row r="301" spans="1:12" s="103" customFormat="1" ht="15.75" hidden="1" customHeight="1" outlineLevel="1">
      <c r="A301" s="916"/>
      <c r="B301" s="1123">
        <v>97</v>
      </c>
      <c r="C301" s="1127"/>
      <c r="D301" s="1125"/>
      <c r="E301" s="1125" t="s">
        <v>18</v>
      </c>
      <c r="F301" s="1130" t="str">
        <f>VLOOKUP(E301,$N$13:$O$17,2,0)</f>
        <v>-</v>
      </c>
      <c r="G301" s="92"/>
      <c r="H301" s="823"/>
      <c r="I301" s="1125"/>
      <c r="J301" s="1133"/>
      <c r="K301" s="1133"/>
      <c r="L301" s="916"/>
    </row>
    <row r="302" spans="1:12" s="103" customFormat="1" ht="15.75" hidden="1" customHeight="1" outlineLevel="1">
      <c r="A302" s="916"/>
      <c r="B302" s="1123"/>
      <c r="C302" s="1127"/>
      <c r="D302" s="1125"/>
      <c r="E302" s="1125"/>
      <c r="F302" s="1130"/>
      <c r="G302" s="95"/>
      <c r="H302" s="823"/>
      <c r="I302" s="1125"/>
      <c r="J302" s="1134"/>
      <c r="K302" s="1134"/>
      <c r="L302" s="916"/>
    </row>
    <row r="303" spans="1:12" s="103" customFormat="1" ht="15.75" hidden="1" customHeight="1" outlineLevel="1">
      <c r="A303" s="916"/>
      <c r="B303" s="1124"/>
      <c r="C303" s="1128"/>
      <c r="D303" s="1126"/>
      <c r="E303" s="1126"/>
      <c r="F303" s="1132"/>
      <c r="G303" s="100"/>
      <c r="H303" s="824"/>
      <c r="I303" s="1126"/>
      <c r="J303" s="1135"/>
      <c r="K303" s="1135"/>
      <c r="L303" s="916"/>
    </row>
    <row r="304" spans="1:12" s="103" customFormat="1" ht="15.75" hidden="1" customHeight="1" outlineLevel="1">
      <c r="A304" s="916"/>
      <c r="B304" s="1123">
        <v>98</v>
      </c>
      <c r="C304" s="1127"/>
      <c r="D304" s="1125"/>
      <c r="E304" s="1125" t="s">
        <v>18</v>
      </c>
      <c r="F304" s="1130" t="str">
        <f>VLOOKUP(E304,$N$13:$O$17,2,0)</f>
        <v>-</v>
      </c>
      <c r="G304" s="92"/>
      <c r="H304" s="823"/>
      <c r="I304" s="1125"/>
      <c r="J304" s="1133"/>
      <c r="K304" s="1133"/>
      <c r="L304" s="916"/>
    </row>
    <row r="305" spans="1:12" s="103" customFormat="1" ht="15.75" hidden="1" customHeight="1" outlineLevel="1">
      <c r="A305" s="916"/>
      <c r="B305" s="1123"/>
      <c r="C305" s="1127"/>
      <c r="D305" s="1125"/>
      <c r="E305" s="1125"/>
      <c r="F305" s="1130"/>
      <c r="G305" s="95"/>
      <c r="H305" s="823"/>
      <c r="I305" s="1125"/>
      <c r="J305" s="1134"/>
      <c r="K305" s="1134"/>
      <c r="L305" s="916"/>
    </row>
    <row r="306" spans="1:12" s="103" customFormat="1" ht="15.75" hidden="1" customHeight="1" outlineLevel="1">
      <c r="A306" s="916"/>
      <c r="B306" s="1124"/>
      <c r="C306" s="1128"/>
      <c r="D306" s="1126"/>
      <c r="E306" s="1126"/>
      <c r="F306" s="1132"/>
      <c r="G306" s="100"/>
      <c r="H306" s="824"/>
      <c r="I306" s="1126"/>
      <c r="J306" s="1135"/>
      <c r="K306" s="1135"/>
      <c r="L306" s="916"/>
    </row>
    <row r="307" spans="1:12" s="103" customFormat="1" ht="15.75" hidden="1" customHeight="1" outlineLevel="1">
      <c r="A307" s="916"/>
      <c r="B307" s="1123">
        <v>99</v>
      </c>
      <c r="C307" s="1127"/>
      <c r="D307" s="1125"/>
      <c r="E307" s="1125" t="s">
        <v>18</v>
      </c>
      <c r="F307" s="1130" t="str">
        <f>VLOOKUP(E307,$N$13:$O$17,2,0)</f>
        <v>-</v>
      </c>
      <c r="G307" s="92"/>
      <c r="H307" s="823"/>
      <c r="I307" s="1125"/>
      <c r="J307" s="1133"/>
      <c r="K307" s="1133"/>
      <c r="L307" s="916"/>
    </row>
    <row r="308" spans="1:12" s="103" customFormat="1" ht="15.75" hidden="1" customHeight="1" outlineLevel="1">
      <c r="A308" s="916"/>
      <c r="B308" s="1123"/>
      <c r="C308" s="1127"/>
      <c r="D308" s="1125"/>
      <c r="E308" s="1125"/>
      <c r="F308" s="1130"/>
      <c r="G308" s="95"/>
      <c r="H308" s="823"/>
      <c r="I308" s="1125"/>
      <c r="J308" s="1134"/>
      <c r="K308" s="1134"/>
      <c r="L308" s="916"/>
    </row>
    <row r="309" spans="1:12" s="103" customFormat="1" ht="15.75" hidden="1" customHeight="1" outlineLevel="1">
      <c r="A309" s="916"/>
      <c r="B309" s="1124"/>
      <c r="C309" s="1128"/>
      <c r="D309" s="1126"/>
      <c r="E309" s="1126"/>
      <c r="F309" s="1132"/>
      <c r="G309" s="100"/>
      <c r="H309" s="824"/>
      <c r="I309" s="1126"/>
      <c r="J309" s="1135"/>
      <c r="K309" s="1135"/>
      <c r="L309" s="916"/>
    </row>
    <row r="310" spans="1:12" s="103" customFormat="1" ht="15.75" hidden="1" customHeight="1" outlineLevel="1">
      <c r="A310" s="916"/>
      <c r="B310" s="1123">
        <v>100</v>
      </c>
      <c r="C310" s="1127"/>
      <c r="D310" s="1125"/>
      <c r="E310" s="1125" t="s">
        <v>18</v>
      </c>
      <c r="F310" s="1130" t="str">
        <f>VLOOKUP(E310,$N$13:$O$17,2,0)</f>
        <v>-</v>
      </c>
      <c r="G310" s="92"/>
      <c r="H310" s="823"/>
      <c r="I310" s="1125"/>
      <c r="J310" s="1133"/>
      <c r="K310" s="1133"/>
      <c r="L310" s="916"/>
    </row>
    <row r="311" spans="1:12" s="103" customFormat="1" ht="15.75" hidden="1" customHeight="1" outlineLevel="1">
      <c r="A311" s="916"/>
      <c r="B311" s="1123"/>
      <c r="C311" s="1127"/>
      <c r="D311" s="1125"/>
      <c r="E311" s="1125"/>
      <c r="F311" s="1130"/>
      <c r="G311" s="95"/>
      <c r="H311" s="823"/>
      <c r="I311" s="1125"/>
      <c r="J311" s="1134"/>
      <c r="K311" s="1134"/>
      <c r="L311" s="916"/>
    </row>
    <row r="312" spans="1:12" s="103" customFormat="1" ht="15.75" hidden="1" customHeight="1" outlineLevel="1">
      <c r="A312" s="916"/>
      <c r="B312" s="1124"/>
      <c r="C312" s="1128"/>
      <c r="D312" s="1126"/>
      <c r="E312" s="1126"/>
      <c r="F312" s="1132"/>
      <c r="G312" s="100"/>
      <c r="H312" s="824"/>
      <c r="I312" s="1126"/>
      <c r="J312" s="1135"/>
      <c r="K312" s="1135"/>
      <c r="L312" s="916"/>
    </row>
    <row r="313" spans="1:12" s="103" customFormat="1" ht="15.75" hidden="1" customHeight="1" outlineLevel="1">
      <c r="A313" s="916"/>
      <c r="B313" s="1123">
        <v>101</v>
      </c>
      <c r="C313" s="1127"/>
      <c r="D313" s="1125"/>
      <c r="E313" s="1125" t="s">
        <v>18</v>
      </c>
      <c r="F313" s="1130" t="str">
        <f>VLOOKUP(E313,$N$13:$O$17,2,0)</f>
        <v>-</v>
      </c>
      <c r="G313" s="92"/>
      <c r="H313" s="823"/>
      <c r="I313" s="1125"/>
      <c r="J313" s="1133"/>
      <c r="K313" s="1133"/>
      <c r="L313" s="916"/>
    </row>
    <row r="314" spans="1:12" s="103" customFormat="1" ht="15.75" hidden="1" customHeight="1" outlineLevel="1">
      <c r="A314" s="916"/>
      <c r="B314" s="1123"/>
      <c r="C314" s="1127"/>
      <c r="D314" s="1125"/>
      <c r="E314" s="1125"/>
      <c r="F314" s="1130"/>
      <c r="G314" s="95"/>
      <c r="H314" s="823"/>
      <c r="I314" s="1125"/>
      <c r="J314" s="1134"/>
      <c r="K314" s="1134"/>
      <c r="L314" s="916"/>
    </row>
    <row r="315" spans="1:12" s="103" customFormat="1" ht="15.75" hidden="1" customHeight="1" outlineLevel="1">
      <c r="A315" s="916"/>
      <c r="B315" s="1124"/>
      <c r="C315" s="1128"/>
      <c r="D315" s="1126"/>
      <c r="E315" s="1126"/>
      <c r="F315" s="1132"/>
      <c r="G315" s="100"/>
      <c r="H315" s="824"/>
      <c r="I315" s="1126"/>
      <c r="J315" s="1135"/>
      <c r="K315" s="1135"/>
      <c r="L315" s="916"/>
    </row>
    <row r="316" spans="1:12" s="103" customFormat="1" ht="15.75" hidden="1" customHeight="1" outlineLevel="1">
      <c r="A316" s="916"/>
      <c r="B316" s="1123">
        <v>102</v>
      </c>
      <c r="C316" s="1127"/>
      <c r="D316" s="1125"/>
      <c r="E316" s="1125" t="s">
        <v>18</v>
      </c>
      <c r="F316" s="1130" t="str">
        <f>VLOOKUP(E316,$N$13:$O$17,2,0)</f>
        <v>-</v>
      </c>
      <c r="G316" s="92"/>
      <c r="H316" s="823"/>
      <c r="I316" s="1125"/>
      <c r="J316" s="1133"/>
      <c r="K316" s="1133"/>
      <c r="L316" s="916"/>
    </row>
    <row r="317" spans="1:12" s="103" customFormat="1" ht="15.75" hidden="1" customHeight="1" outlineLevel="1">
      <c r="A317" s="916"/>
      <c r="B317" s="1123"/>
      <c r="C317" s="1127"/>
      <c r="D317" s="1125"/>
      <c r="E317" s="1125"/>
      <c r="F317" s="1130"/>
      <c r="G317" s="95"/>
      <c r="H317" s="823"/>
      <c r="I317" s="1125"/>
      <c r="J317" s="1134"/>
      <c r="K317" s="1134"/>
      <c r="L317" s="916"/>
    </row>
    <row r="318" spans="1:12" s="103" customFormat="1" ht="15.75" hidden="1" customHeight="1" outlineLevel="1">
      <c r="A318" s="916"/>
      <c r="B318" s="1124"/>
      <c r="C318" s="1128"/>
      <c r="D318" s="1126"/>
      <c r="E318" s="1126"/>
      <c r="F318" s="1132"/>
      <c r="G318" s="100"/>
      <c r="H318" s="824"/>
      <c r="I318" s="1126"/>
      <c r="J318" s="1135"/>
      <c r="K318" s="1135"/>
      <c r="L318" s="916"/>
    </row>
    <row r="319" spans="1:12" s="103" customFormat="1" ht="15.75" hidden="1" customHeight="1" outlineLevel="1">
      <c r="A319" s="916"/>
      <c r="B319" s="1123">
        <v>103</v>
      </c>
      <c r="C319" s="1127"/>
      <c r="D319" s="1125"/>
      <c r="E319" s="1125" t="s">
        <v>18</v>
      </c>
      <c r="F319" s="1130" t="str">
        <f>VLOOKUP(E319,$N$13:$O$17,2,0)</f>
        <v>-</v>
      </c>
      <c r="G319" s="92"/>
      <c r="H319" s="823"/>
      <c r="I319" s="1125"/>
      <c r="J319" s="1133"/>
      <c r="K319" s="1133"/>
      <c r="L319" s="916"/>
    </row>
    <row r="320" spans="1:12" s="103" customFormat="1" ht="15.75" hidden="1" customHeight="1" outlineLevel="1">
      <c r="A320" s="916"/>
      <c r="B320" s="1123"/>
      <c r="C320" s="1127"/>
      <c r="D320" s="1125"/>
      <c r="E320" s="1125"/>
      <c r="F320" s="1130"/>
      <c r="G320" s="95"/>
      <c r="H320" s="823"/>
      <c r="I320" s="1125"/>
      <c r="J320" s="1134"/>
      <c r="K320" s="1134"/>
      <c r="L320" s="916"/>
    </row>
    <row r="321" spans="1:12" s="103" customFormat="1" ht="15.75" hidden="1" customHeight="1" outlineLevel="1">
      <c r="A321" s="916"/>
      <c r="B321" s="1124"/>
      <c r="C321" s="1128"/>
      <c r="D321" s="1126"/>
      <c r="E321" s="1126"/>
      <c r="F321" s="1132"/>
      <c r="G321" s="100"/>
      <c r="H321" s="824"/>
      <c r="I321" s="1126"/>
      <c r="J321" s="1135"/>
      <c r="K321" s="1135"/>
      <c r="L321" s="916"/>
    </row>
    <row r="322" spans="1:12" s="103" customFormat="1" ht="15.75" hidden="1" customHeight="1" outlineLevel="1">
      <c r="A322" s="916"/>
      <c r="B322" s="1123">
        <v>104</v>
      </c>
      <c r="C322" s="1127"/>
      <c r="D322" s="1125"/>
      <c r="E322" s="1125" t="s">
        <v>18</v>
      </c>
      <c r="F322" s="1130" t="str">
        <f>VLOOKUP(E322,$N$13:$O$17,2,0)</f>
        <v>-</v>
      </c>
      <c r="G322" s="92"/>
      <c r="H322" s="823"/>
      <c r="I322" s="1125"/>
      <c r="J322" s="1133"/>
      <c r="K322" s="1133"/>
      <c r="L322" s="916"/>
    </row>
    <row r="323" spans="1:12" s="103" customFormat="1" ht="15.75" hidden="1" customHeight="1" outlineLevel="1">
      <c r="A323" s="916"/>
      <c r="B323" s="1123"/>
      <c r="C323" s="1127"/>
      <c r="D323" s="1125"/>
      <c r="E323" s="1125"/>
      <c r="F323" s="1130"/>
      <c r="G323" s="95"/>
      <c r="H323" s="823"/>
      <c r="I323" s="1125"/>
      <c r="J323" s="1134"/>
      <c r="K323" s="1134"/>
      <c r="L323" s="916"/>
    </row>
    <row r="324" spans="1:12" s="103" customFormat="1" ht="15.75" hidden="1" customHeight="1" outlineLevel="1">
      <c r="A324" s="916"/>
      <c r="B324" s="1124"/>
      <c r="C324" s="1128"/>
      <c r="D324" s="1126"/>
      <c r="E324" s="1126"/>
      <c r="F324" s="1132"/>
      <c r="G324" s="100"/>
      <c r="H324" s="824"/>
      <c r="I324" s="1126"/>
      <c r="J324" s="1135"/>
      <c r="K324" s="1135"/>
      <c r="L324" s="916"/>
    </row>
    <row r="325" spans="1:12" s="103" customFormat="1" ht="15.75" hidden="1" customHeight="1" outlineLevel="1">
      <c r="A325" s="916"/>
      <c r="B325" s="1123">
        <v>105</v>
      </c>
      <c r="C325" s="1127"/>
      <c r="D325" s="1125"/>
      <c r="E325" s="1125" t="s">
        <v>18</v>
      </c>
      <c r="F325" s="1130" t="str">
        <f>VLOOKUP(E325,$N$13:$O$17,2,0)</f>
        <v>-</v>
      </c>
      <c r="G325" s="92"/>
      <c r="H325" s="823"/>
      <c r="I325" s="1125"/>
      <c r="J325" s="1133"/>
      <c r="K325" s="1133"/>
      <c r="L325" s="916"/>
    </row>
    <row r="326" spans="1:12" s="103" customFormat="1" ht="15.75" hidden="1" customHeight="1" outlineLevel="1">
      <c r="A326" s="916"/>
      <c r="B326" s="1123"/>
      <c r="C326" s="1127"/>
      <c r="D326" s="1125"/>
      <c r="E326" s="1125"/>
      <c r="F326" s="1130"/>
      <c r="G326" s="95"/>
      <c r="H326" s="823"/>
      <c r="I326" s="1125"/>
      <c r="J326" s="1134"/>
      <c r="K326" s="1134"/>
      <c r="L326" s="916"/>
    </row>
    <row r="327" spans="1:12" s="103" customFormat="1" ht="15.75" hidden="1" customHeight="1" outlineLevel="1">
      <c r="A327" s="916"/>
      <c r="B327" s="1124"/>
      <c r="C327" s="1128"/>
      <c r="D327" s="1126"/>
      <c r="E327" s="1126"/>
      <c r="F327" s="1132"/>
      <c r="G327" s="100"/>
      <c r="H327" s="824"/>
      <c r="I327" s="1126"/>
      <c r="J327" s="1135"/>
      <c r="K327" s="1135"/>
      <c r="L327" s="916"/>
    </row>
    <row r="328" spans="1:12" s="103" customFormat="1" ht="15.75" hidden="1" customHeight="1" outlineLevel="1">
      <c r="A328" s="916"/>
      <c r="B328" s="1123">
        <v>106</v>
      </c>
      <c r="C328" s="1127"/>
      <c r="D328" s="1125"/>
      <c r="E328" s="1125" t="s">
        <v>18</v>
      </c>
      <c r="F328" s="1130" t="str">
        <f>VLOOKUP(E328,$N$13:$O$17,2,0)</f>
        <v>-</v>
      </c>
      <c r="G328" s="92"/>
      <c r="H328" s="823"/>
      <c r="I328" s="1125"/>
      <c r="J328" s="1133"/>
      <c r="K328" s="1133"/>
      <c r="L328" s="916"/>
    </row>
    <row r="329" spans="1:12" s="103" customFormat="1" ht="15.75" hidden="1" customHeight="1" outlineLevel="1">
      <c r="A329" s="916"/>
      <c r="B329" s="1123"/>
      <c r="C329" s="1127"/>
      <c r="D329" s="1125"/>
      <c r="E329" s="1125"/>
      <c r="F329" s="1130"/>
      <c r="G329" s="95"/>
      <c r="H329" s="823"/>
      <c r="I329" s="1125"/>
      <c r="J329" s="1134"/>
      <c r="K329" s="1134"/>
      <c r="L329" s="916"/>
    </row>
    <row r="330" spans="1:12" s="103" customFormat="1" ht="15.75" hidden="1" customHeight="1" outlineLevel="1">
      <c r="A330" s="916"/>
      <c r="B330" s="1124"/>
      <c r="C330" s="1128"/>
      <c r="D330" s="1126"/>
      <c r="E330" s="1126"/>
      <c r="F330" s="1132"/>
      <c r="G330" s="100"/>
      <c r="H330" s="824"/>
      <c r="I330" s="1126"/>
      <c r="J330" s="1135"/>
      <c r="K330" s="1135"/>
      <c r="L330" s="916"/>
    </row>
    <row r="331" spans="1:12" s="103" customFormat="1" ht="15.75" hidden="1" customHeight="1" outlineLevel="1">
      <c r="A331" s="916"/>
      <c r="B331" s="1123">
        <v>107</v>
      </c>
      <c r="C331" s="1127"/>
      <c r="D331" s="1125"/>
      <c r="E331" s="1125" t="s">
        <v>18</v>
      </c>
      <c r="F331" s="1130" t="str">
        <f>VLOOKUP(E331,$N$13:$O$17,2,0)</f>
        <v>-</v>
      </c>
      <c r="G331" s="92"/>
      <c r="H331" s="823"/>
      <c r="I331" s="1125"/>
      <c r="J331" s="1133"/>
      <c r="K331" s="1133"/>
      <c r="L331" s="916"/>
    </row>
    <row r="332" spans="1:12" s="103" customFormat="1" ht="15.75" hidden="1" customHeight="1" outlineLevel="1">
      <c r="A332" s="916"/>
      <c r="B332" s="1123"/>
      <c r="C332" s="1127"/>
      <c r="D332" s="1125"/>
      <c r="E332" s="1125"/>
      <c r="F332" s="1130"/>
      <c r="G332" s="95"/>
      <c r="H332" s="823"/>
      <c r="I332" s="1125"/>
      <c r="J332" s="1134"/>
      <c r="K332" s="1134"/>
      <c r="L332" s="916"/>
    </row>
    <row r="333" spans="1:12" s="103" customFormat="1" ht="15.75" hidden="1" customHeight="1" outlineLevel="1">
      <c r="A333" s="916"/>
      <c r="B333" s="1124"/>
      <c r="C333" s="1128"/>
      <c r="D333" s="1126"/>
      <c r="E333" s="1126"/>
      <c r="F333" s="1132"/>
      <c r="G333" s="100"/>
      <c r="H333" s="824"/>
      <c r="I333" s="1126"/>
      <c r="J333" s="1135"/>
      <c r="K333" s="1135"/>
      <c r="L333" s="916"/>
    </row>
    <row r="334" spans="1:12" s="103" customFormat="1" ht="15.75" hidden="1" customHeight="1" outlineLevel="1">
      <c r="A334" s="916"/>
      <c r="B334" s="1123">
        <v>108</v>
      </c>
      <c r="C334" s="1127"/>
      <c r="D334" s="1125"/>
      <c r="E334" s="1125" t="s">
        <v>18</v>
      </c>
      <c r="F334" s="1130" t="str">
        <f>VLOOKUP(E334,$N$13:$O$17,2,0)</f>
        <v>-</v>
      </c>
      <c r="G334" s="92"/>
      <c r="H334" s="823"/>
      <c r="I334" s="1125"/>
      <c r="J334" s="1133"/>
      <c r="K334" s="1133"/>
      <c r="L334" s="916"/>
    </row>
    <row r="335" spans="1:12" s="103" customFormat="1" ht="15.75" hidden="1" customHeight="1" outlineLevel="1">
      <c r="A335" s="916"/>
      <c r="B335" s="1123"/>
      <c r="C335" s="1127"/>
      <c r="D335" s="1125"/>
      <c r="E335" s="1125"/>
      <c r="F335" s="1130"/>
      <c r="G335" s="95"/>
      <c r="H335" s="823"/>
      <c r="I335" s="1125"/>
      <c r="J335" s="1134"/>
      <c r="K335" s="1134"/>
      <c r="L335" s="916"/>
    </row>
    <row r="336" spans="1:12" s="103" customFormat="1" ht="15.75" hidden="1" customHeight="1" outlineLevel="1">
      <c r="A336" s="916"/>
      <c r="B336" s="1124"/>
      <c r="C336" s="1128"/>
      <c r="D336" s="1126"/>
      <c r="E336" s="1126"/>
      <c r="F336" s="1132"/>
      <c r="G336" s="100"/>
      <c r="H336" s="824"/>
      <c r="I336" s="1126"/>
      <c r="J336" s="1135"/>
      <c r="K336" s="1135"/>
      <c r="L336" s="916"/>
    </row>
    <row r="337" spans="1:12" s="103" customFormat="1" ht="15.75" hidden="1" customHeight="1" outlineLevel="1">
      <c r="A337" s="916"/>
      <c r="B337" s="1123">
        <v>109</v>
      </c>
      <c r="C337" s="1127"/>
      <c r="D337" s="1125"/>
      <c r="E337" s="1125" t="s">
        <v>18</v>
      </c>
      <c r="F337" s="1130" t="str">
        <f>VLOOKUP(E337,$N$13:$O$17,2,0)</f>
        <v>-</v>
      </c>
      <c r="G337" s="92"/>
      <c r="H337" s="823"/>
      <c r="I337" s="1125"/>
      <c r="J337" s="1133"/>
      <c r="K337" s="1133"/>
      <c r="L337" s="916"/>
    </row>
    <row r="338" spans="1:12" s="103" customFormat="1" ht="15.75" hidden="1" customHeight="1" outlineLevel="1">
      <c r="A338" s="916"/>
      <c r="B338" s="1123"/>
      <c r="C338" s="1127"/>
      <c r="D338" s="1125"/>
      <c r="E338" s="1125"/>
      <c r="F338" s="1130"/>
      <c r="G338" s="95"/>
      <c r="H338" s="823"/>
      <c r="I338" s="1125"/>
      <c r="J338" s="1134"/>
      <c r="K338" s="1134"/>
      <c r="L338" s="916"/>
    </row>
    <row r="339" spans="1:12" s="103" customFormat="1" ht="15.75" hidden="1" customHeight="1" outlineLevel="1">
      <c r="A339" s="916"/>
      <c r="B339" s="1124"/>
      <c r="C339" s="1128"/>
      <c r="D339" s="1126"/>
      <c r="E339" s="1126"/>
      <c r="F339" s="1132"/>
      <c r="G339" s="100"/>
      <c r="H339" s="824"/>
      <c r="I339" s="1126"/>
      <c r="J339" s="1135"/>
      <c r="K339" s="1135"/>
      <c r="L339" s="916"/>
    </row>
    <row r="340" spans="1:12" s="103" customFormat="1" ht="15.75" hidden="1" customHeight="1" outlineLevel="1">
      <c r="A340" s="916"/>
      <c r="B340" s="1123">
        <v>110</v>
      </c>
      <c r="C340" s="1127"/>
      <c r="D340" s="1125"/>
      <c r="E340" s="1125" t="s">
        <v>18</v>
      </c>
      <c r="F340" s="1130" t="str">
        <f>VLOOKUP(E340,$N$13:$O$17,2,0)</f>
        <v>-</v>
      </c>
      <c r="G340" s="92"/>
      <c r="H340" s="823"/>
      <c r="I340" s="1125"/>
      <c r="J340" s="1133"/>
      <c r="K340" s="1133"/>
      <c r="L340" s="916"/>
    </row>
    <row r="341" spans="1:12" s="103" customFormat="1" ht="15.75" hidden="1" customHeight="1" outlineLevel="1">
      <c r="A341" s="916"/>
      <c r="B341" s="1123"/>
      <c r="C341" s="1127"/>
      <c r="D341" s="1125"/>
      <c r="E341" s="1125"/>
      <c r="F341" s="1130"/>
      <c r="G341" s="95"/>
      <c r="H341" s="823"/>
      <c r="I341" s="1125"/>
      <c r="J341" s="1134"/>
      <c r="K341" s="1134"/>
      <c r="L341" s="916"/>
    </row>
    <row r="342" spans="1:12" s="103" customFormat="1" ht="15.75" hidden="1" customHeight="1" outlineLevel="1">
      <c r="A342" s="916"/>
      <c r="B342" s="1124"/>
      <c r="C342" s="1128"/>
      <c r="D342" s="1126"/>
      <c r="E342" s="1126"/>
      <c r="F342" s="1132"/>
      <c r="G342" s="100"/>
      <c r="H342" s="824"/>
      <c r="I342" s="1126"/>
      <c r="J342" s="1135"/>
      <c r="K342" s="1135"/>
      <c r="L342" s="916"/>
    </row>
    <row r="343" spans="1:12" s="103" customFormat="1" ht="15.75" hidden="1" customHeight="1" outlineLevel="1">
      <c r="A343" s="916"/>
      <c r="B343" s="1123">
        <v>111</v>
      </c>
      <c r="C343" s="1127"/>
      <c r="D343" s="1125"/>
      <c r="E343" s="1125" t="s">
        <v>18</v>
      </c>
      <c r="F343" s="1130" t="str">
        <f>VLOOKUP(E343,$N$13:$O$17,2,0)</f>
        <v>-</v>
      </c>
      <c r="G343" s="92"/>
      <c r="H343" s="823"/>
      <c r="I343" s="1125"/>
      <c r="J343" s="1133"/>
      <c r="K343" s="1133"/>
      <c r="L343" s="916"/>
    </row>
    <row r="344" spans="1:12" s="103" customFormat="1" ht="15.75" hidden="1" customHeight="1" outlineLevel="1">
      <c r="A344" s="916"/>
      <c r="B344" s="1123"/>
      <c r="C344" s="1127"/>
      <c r="D344" s="1125"/>
      <c r="E344" s="1125"/>
      <c r="F344" s="1130"/>
      <c r="G344" s="95"/>
      <c r="H344" s="823"/>
      <c r="I344" s="1125"/>
      <c r="J344" s="1134"/>
      <c r="K344" s="1134"/>
      <c r="L344" s="916"/>
    </row>
    <row r="345" spans="1:12" s="103" customFormat="1" ht="15.75" hidden="1" customHeight="1" outlineLevel="1">
      <c r="A345" s="916"/>
      <c r="B345" s="1124"/>
      <c r="C345" s="1128"/>
      <c r="D345" s="1126"/>
      <c r="E345" s="1126"/>
      <c r="F345" s="1132"/>
      <c r="G345" s="100"/>
      <c r="H345" s="824"/>
      <c r="I345" s="1126"/>
      <c r="J345" s="1135"/>
      <c r="K345" s="1135"/>
      <c r="L345" s="916"/>
    </row>
    <row r="346" spans="1:12" s="103" customFormat="1" ht="15.75" hidden="1" customHeight="1" outlineLevel="1">
      <c r="A346" s="916"/>
      <c r="B346" s="1123">
        <v>112</v>
      </c>
      <c r="C346" s="1127"/>
      <c r="D346" s="1125"/>
      <c r="E346" s="1125" t="s">
        <v>18</v>
      </c>
      <c r="F346" s="1130" t="str">
        <f>VLOOKUP(E346,$N$13:$O$17,2,0)</f>
        <v>-</v>
      </c>
      <c r="G346" s="92"/>
      <c r="H346" s="823"/>
      <c r="I346" s="1125"/>
      <c r="J346" s="1133"/>
      <c r="K346" s="1133"/>
      <c r="L346" s="916"/>
    </row>
    <row r="347" spans="1:12" s="103" customFormat="1" ht="15.75" hidden="1" customHeight="1" outlineLevel="1">
      <c r="A347" s="916"/>
      <c r="B347" s="1123"/>
      <c r="C347" s="1127"/>
      <c r="D347" s="1125"/>
      <c r="E347" s="1125"/>
      <c r="F347" s="1130"/>
      <c r="G347" s="95"/>
      <c r="H347" s="823"/>
      <c r="I347" s="1125"/>
      <c r="J347" s="1134"/>
      <c r="K347" s="1134"/>
      <c r="L347" s="916"/>
    </row>
    <row r="348" spans="1:12" s="103" customFormat="1" ht="15.75" hidden="1" customHeight="1" outlineLevel="1">
      <c r="A348" s="916"/>
      <c r="B348" s="1124"/>
      <c r="C348" s="1128"/>
      <c r="D348" s="1126"/>
      <c r="E348" s="1126"/>
      <c r="F348" s="1132"/>
      <c r="G348" s="100"/>
      <c r="H348" s="824"/>
      <c r="I348" s="1126"/>
      <c r="J348" s="1135"/>
      <c r="K348" s="1135"/>
      <c r="L348" s="916"/>
    </row>
    <row r="349" spans="1:12" s="103" customFormat="1" ht="15.75" hidden="1" customHeight="1" outlineLevel="1">
      <c r="A349" s="916"/>
      <c r="B349" s="1123">
        <v>113</v>
      </c>
      <c r="C349" s="1127"/>
      <c r="D349" s="1125"/>
      <c r="E349" s="1125" t="s">
        <v>18</v>
      </c>
      <c r="F349" s="1130" t="str">
        <f>VLOOKUP(E349,$N$13:$O$17,2,0)</f>
        <v>-</v>
      </c>
      <c r="G349" s="92"/>
      <c r="H349" s="823"/>
      <c r="I349" s="1125"/>
      <c r="J349" s="1133"/>
      <c r="K349" s="1133"/>
      <c r="L349" s="916"/>
    </row>
    <row r="350" spans="1:12" s="103" customFormat="1" ht="15.75" hidden="1" customHeight="1" outlineLevel="1">
      <c r="A350" s="916"/>
      <c r="B350" s="1123"/>
      <c r="C350" s="1127"/>
      <c r="D350" s="1125"/>
      <c r="E350" s="1125"/>
      <c r="F350" s="1130"/>
      <c r="G350" s="95"/>
      <c r="H350" s="823"/>
      <c r="I350" s="1125"/>
      <c r="J350" s="1134"/>
      <c r="K350" s="1134"/>
      <c r="L350" s="916"/>
    </row>
    <row r="351" spans="1:12" s="103" customFormat="1" ht="15.75" hidden="1" customHeight="1" outlineLevel="1">
      <c r="A351" s="916"/>
      <c r="B351" s="1124"/>
      <c r="C351" s="1128"/>
      <c r="D351" s="1126"/>
      <c r="E351" s="1126"/>
      <c r="F351" s="1132"/>
      <c r="G351" s="100"/>
      <c r="H351" s="824"/>
      <c r="I351" s="1126"/>
      <c r="J351" s="1135"/>
      <c r="K351" s="1135"/>
      <c r="L351" s="916"/>
    </row>
    <row r="352" spans="1:12" s="103" customFormat="1" ht="15.75" hidden="1" customHeight="1" outlineLevel="1">
      <c r="A352" s="916"/>
      <c r="B352" s="1123">
        <v>114</v>
      </c>
      <c r="C352" s="1127"/>
      <c r="D352" s="1125"/>
      <c r="E352" s="1125" t="s">
        <v>18</v>
      </c>
      <c r="F352" s="1130" t="str">
        <f>VLOOKUP(E352,$N$13:$O$17,2,0)</f>
        <v>-</v>
      </c>
      <c r="G352" s="92"/>
      <c r="H352" s="823"/>
      <c r="I352" s="1125"/>
      <c r="J352" s="1133"/>
      <c r="K352" s="1133"/>
      <c r="L352" s="916"/>
    </row>
    <row r="353" spans="1:12" s="103" customFormat="1" ht="15.75" hidden="1" customHeight="1" outlineLevel="1">
      <c r="A353" s="916"/>
      <c r="B353" s="1123"/>
      <c r="C353" s="1127"/>
      <c r="D353" s="1125"/>
      <c r="E353" s="1125"/>
      <c r="F353" s="1130"/>
      <c r="G353" s="95"/>
      <c r="H353" s="823"/>
      <c r="I353" s="1125"/>
      <c r="J353" s="1134"/>
      <c r="K353" s="1134"/>
      <c r="L353" s="916"/>
    </row>
    <row r="354" spans="1:12" s="103" customFormat="1" ht="15.75" hidden="1" customHeight="1" outlineLevel="1">
      <c r="A354" s="916"/>
      <c r="B354" s="1124"/>
      <c r="C354" s="1128"/>
      <c r="D354" s="1126"/>
      <c r="E354" s="1126"/>
      <c r="F354" s="1132"/>
      <c r="G354" s="100"/>
      <c r="H354" s="824"/>
      <c r="I354" s="1126"/>
      <c r="J354" s="1135"/>
      <c r="K354" s="1135"/>
      <c r="L354" s="916"/>
    </row>
    <row r="355" spans="1:12" s="103" customFormat="1" ht="15.75" hidden="1" customHeight="1" outlineLevel="1">
      <c r="A355" s="916"/>
      <c r="B355" s="1123">
        <v>115</v>
      </c>
      <c r="C355" s="1127"/>
      <c r="D355" s="1125"/>
      <c r="E355" s="1125" t="s">
        <v>18</v>
      </c>
      <c r="F355" s="1130" t="str">
        <f>VLOOKUP(E355,$N$13:$O$17,2,0)</f>
        <v>-</v>
      </c>
      <c r="G355" s="92"/>
      <c r="H355" s="823"/>
      <c r="I355" s="1125"/>
      <c r="J355" s="1133"/>
      <c r="K355" s="1133"/>
      <c r="L355" s="916"/>
    </row>
    <row r="356" spans="1:12" s="103" customFormat="1" ht="15.75" hidden="1" customHeight="1" outlineLevel="1">
      <c r="A356" s="916"/>
      <c r="B356" s="1123"/>
      <c r="C356" s="1127"/>
      <c r="D356" s="1125"/>
      <c r="E356" s="1125"/>
      <c r="F356" s="1130"/>
      <c r="G356" s="95"/>
      <c r="H356" s="823"/>
      <c r="I356" s="1125"/>
      <c r="J356" s="1134"/>
      <c r="K356" s="1134"/>
      <c r="L356" s="916"/>
    </row>
    <row r="357" spans="1:12" s="103" customFormat="1" ht="15.75" hidden="1" customHeight="1" outlineLevel="1">
      <c r="A357" s="916"/>
      <c r="B357" s="1124"/>
      <c r="C357" s="1128"/>
      <c r="D357" s="1126"/>
      <c r="E357" s="1126"/>
      <c r="F357" s="1132"/>
      <c r="G357" s="100"/>
      <c r="H357" s="824"/>
      <c r="I357" s="1126"/>
      <c r="J357" s="1135"/>
      <c r="K357" s="1135"/>
      <c r="L357" s="916"/>
    </row>
    <row r="358" spans="1:12" s="103" customFormat="1" ht="15.75" hidden="1" customHeight="1" outlineLevel="1">
      <c r="A358" s="916"/>
      <c r="B358" s="1123">
        <v>116</v>
      </c>
      <c r="C358" s="1127"/>
      <c r="D358" s="1125"/>
      <c r="E358" s="1125" t="s">
        <v>18</v>
      </c>
      <c r="F358" s="1130" t="str">
        <f>VLOOKUP(E358,$N$13:$O$17,2,0)</f>
        <v>-</v>
      </c>
      <c r="G358" s="92"/>
      <c r="H358" s="823"/>
      <c r="I358" s="1125"/>
      <c r="J358" s="1133"/>
      <c r="K358" s="1133"/>
      <c r="L358" s="916"/>
    </row>
    <row r="359" spans="1:12" s="103" customFormat="1" ht="15.75" hidden="1" customHeight="1" outlineLevel="1">
      <c r="A359" s="916"/>
      <c r="B359" s="1123"/>
      <c r="C359" s="1127"/>
      <c r="D359" s="1125"/>
      <c r="E359" s="1125"/>
      <c r="F359" s="1130"/>
      <c r="G359" s="95"/>
      <c r="H359" s="823"/>
      <c r="I359" s="1125"/>
      <c r="J359" s="1134"/>
      <c r="K359" s="1134"/>
      <c r="L359" s="916"/>
    </row>
    <row r="360" spans="1:12" s="103" customFormat="1" ht="15.75" hidden="1" customHeight="1" outlineLevel="1">
      <c r="A360" s="916"/>
      <c r="B360" s="1124"/>
      <c r="C360" s="1128"/>
      <c r="D360" s="1126"/>
      <c r="E360" s="1126"/>
      <c r="F360" s="1132"/>
      <c r="G360" s="100"/>
      <c r="H360" s="824"/>
      <c r="I360" s="1126"/>
      <c r="J360" s="1135"/>
      <c r="K360" s="1135"/>
      <c r="L360" s="916"/>
    </row>
    <row r="361" spans="1:12" s="103" customFormat="1" ht="15.75" hidden="1" customHeight="1" outlineLevel="1">
      <c r="A361" s="916"/>
      <c r="B361" s="1123">
        <v>117</v>
      </c>
      <c r="C361" s="1127"/>
      <c r="D361" s="1125"/>
      <c r="E361" s="1125" t="s">
        <v>18</v>
      </c>
      <c r="F361" s="1130" t="str">
        <f>VLOOKUP(E361,$N$13:$O$17,2,0)</f>
        <v>-</v>
      </c>
      <c r="G361" s="92"/>
      <c r="H361" s="823"/>
      <c r="I361" s="1125"/>
      <c r="J361" s="1133"/>
      <c r="K361" s="1133"/>
      <c r="L361" s="916"/>
    </row>
    <row r="362" spans="1:12" s="103" customFormat="1" ht="15.75" hidden="1" customHeight="1" outlineLevel="1">
      <c r="A362" s="916"/>
      <c r="B362" s="1123"/>
      <c r="C362" s="1127"/>
      <c r="D362" s="1125"/>
      <c r="E362" s="1125"/>
      <c r="F362" s="1130"/>
      <c r="G362" s="95"/>
      <c r="H362" s="823"/>
      <c r="I362" s="1125"/>
      <c r="J362" s="1134"/>
      <c r="K362" s="1134"/>
      <c r="L362" s="916"/>
    </row>
    <row r="363" spans="1:12" s="103" customFormat="1" ht="15.75" hidden="1" customHeight="1" outlineLevel="1">
      <c r="A363" s="916"/>
      <c r="B363" s="1124"/>
      <c r="C363" s="1128"/>
      <c r="D363" s="1126"/>
      <c r="E363" s="1126"/>
      <c r="F363" s="1132"/>
      <c r="G363" s="100"/>
      <c r="H363" s="824"/>
      <c r="I363" s="1126"/>
      <c r="J363" s="1135"/>
      <c r="K363" s="1135"/>
      <c r="L363" s="916"/>
    </row>
    <row r="364" spans="1:12" s="103" customFormat="1" ht="15.75" hidden="1" customHeight="1" outlineLevel="1">
      <c r="A364" s="916"/>
      <c r="B364" s="1123">
        <v>118</v>
      </c>
      <c r="C364" s="1127"/>
      <c r="D364" s="1125"/>
      <c r="E364" s="1125" t="s">
        <v>18</v>
      </c>
      <c r="F364" s="1130" t="str">
        <f>VLOOKUP(E364,$N$13:$O$17,2,0)</f>
        <v>-</v>
      </c>
      <c r="G364" s="92"/>
      <c r="H364" s="823"/>
      <c r="I364" s="1125"/>
      <c r="J364" s="1133"/>
      <c r="K364" s="1133"/>
      <c r="L364" s="916"/>
    </row>
    <row r="365" spans="1:12" s="103" customFormat="1" ht="15.75" hidden="1" customHeight="1" outlineLevel="1">
      <c r="A365" s="916"/>
      <c r="B365" s="1123"/>
      <c r="C365" s="1127"/>
      <c r="D365" s="1125"/>
      <c r="E365" s="1125"/>
      <c r="F365" s="1130"/>
      <c r="G365" s="95"/>
      <c r="H365" s="823"/>
      <c r="I365" s="1125"/>
      <c r="J365" s="1134"/>
      <c r="K365" s="1134"/>
      <c r="L365" s="916"/>
    </row>
    <row r="366" spans="1:12" s="103" customFormat="1" ht="15.75" hidden="1" customHeight="1" outlineLevel="1">
      <c r="A366" s="916"/>
      <c r="B366" s="1124"/>
      <c r="C366" s="1128"/>
      <c r="D366" s="1126"/>
      <c r="E366" s="1126"/>
      <c r="F366" s="1132"/>
      <c r="G366" s="100"/>
      <c r="H366" s="824"/>
      <c r="I366" s="1126"/>
      <c r="J366" s="1135"/>
      <c r="K366" s="1135"/>
      <c r="L366" s="916"/>
    </row>
    <row r="367" spans="1:12" s="103" customFormat="1" ht="15.75" hidden="1" customHeight="1" outlineLevel="1">
      <c r="A367" s="916"/>
      <c r="B367" s="1123">
        <v>119</v>
      </c>
      <c r="C367" s="1127"/>
      <c r="D367" s="1125"/>
      <c r="E367" s="1125" t="s">
        <v>18</v>
      </c>
      <c r="F367" s="1130" t="str">
        <f>VLOOKUP(E367,$N$13:$O$17,2,0)</f>
        <v>-</v>
      </c>
      <c r="G367" s="92"/>
      <c r="H367" s="823"/>
      <c r="I367" s="1125"/>
      <c r="J367" s="1133"/>
      <c r="K367" s="1133"/>
      <c r="L367" s="916"/>
    </row>
    <row r="368" spans="1:12" s="103" customFormat="1" ht="15.75" hidden="1" customHeight="1" outlineLevel="1">
      <c r="A368" s="916"/>
      <c r="B368" s="1123"/>
      <c r="C368" s="1127"/>
      <c r="D368" s="1125"/>
      <c r="E368" s="1125"/>
      <c r="F368" s="1130"/>
      <c r="G368" s="95"/>
      <c r="H368" s="823"/>
      <c r="I368" s="1125"/>
      <c r="J368" s="1134"/>
      <c r="K368" s="1134"/>
      <c r="L368" s="916"/>
    </row>
    <row r="369" spans="1:12" s="103" customFormat="1" ht="15.75" hidden="1" customHeight="1" outlineLevel="1">
      <c r="A369" s="916"/>
      <c r="B369" s="1124"/>
      <c r="C369" s="1128"/>
      <c r="D369" s="1126"/>
      <c r="E369" s="1126"/>
      <c r="F369" s="1132"/>
      <c r="G369" s="100"/>
      <c r="H369" s="824"/>
      <c r="I369" s="1126"/>
      <c r="J369" s="1135"/>
      <c r="K369" s="1135"/>
      <c r="L369" s="916"/>
    </row>
    <row r="370" spans="1:12" s="103" customFormat="1" ht="15.75" hidden="1" customHeight="1" outlineLevel="1">
      <c r="A370" s="916"/>
      <c r="B370" s="1123">
        <v>120</v>
      </c>
      <c r="C370" s="1127"/>
      <c r="D370" s="1125"/>
      <c r="E370" s="1125" t="s">
        <v>18</v>
      </c>
      <c r="F370" s="1130" t="str">
        <f>VLOOKUP(E370,$N$13:$O$17,2,0)</f>
        <v>-</v>
      </c>
      <c r="G370" s="92"/>
      <c r="H370" s="823"/>
      <c r="I370" s="1125"/>
      <c r="J370" s="1133"/>
      <c r="K370" s="1133"/>
      <c r="L370" s="916"/>
    </row>
    <row r="371" spans="1:12" s="103" customFormat="1" ht="15.75" hidden="1" customHeight="1" outlineLevel="1">
      <c r="A371" s="916"/>
      <c r="B371" s="1123"/>
      <c r="C371" s="1127"/>
      <c r="D371" s="1125"/>
      <c r="E371" s="1125"/>
      <c r="F371" s="1130"/>
      <c r="G371" s="95"/>
      <c r="H371" s="823"/>
      <c r="I371" s="1125"/>
      <c r="J371" s="1134"/>
      <c r="K371" s="1134"/>
      <c r="L371" s="916"/>
    </row>
    <row r="372" spans="1:12" s="103" customFormat="1" ht="15.75" hidden="1" customHeight="1" outlineLevel="1">
      <c r="A372" s="916"/>
      <c r="B372" s="1124"/>
      <c r="C372" s="1128"/>
      <c r="D372" s="1126"/>
      <c r="E372" s="1126"/>
      <c r="F372" s="1132"/>
      <c r="G372" s="100"/>
      <c r="H372" s="824"/>
      <c r="I372" s="1126"/>
      <c r="J372" s="1135"/>
      <c r="K372" s="1135"/>
      <c r="L372" s="916"/>
    </row>
    <row r="373" spans="1:12" s="103" customFormat="1" ht="15.75" hidden="1" customHeight="1" outlineLevel="1">
      <c r="A373" s="916"/>
      <c r="B373" s="1123">
        <v>121</v>
      </c>
      <c r="C373" s="1127"/>
      <c r="D373" s="1125"/>
      <c r="E373" s="1125" t="s">
        <v>18</v>
      </c>
      <c r="F373" s="1130" t="str">
        <f>VLOOKUP(E373,$N$13:$O$17,2,0)</f>
        <v>-</v>
      </c>
      <c r="G373" s="92"/>
      <c r="H373" s="823"/>
      <c r="I373" s="1125"/>
      <c r="J373" s="1133"/>
      <c r="K373" s="1133"/>
      <c r="L373" s="916"/>
    </row>
    <row r="374" spans="1:12" s="103" customFormat="1" ht="15.75" hidden="1" customHeight="1" outlineLevel="1">
      <c r="A374" s="916"/>
      <c r="B374" s="1123"/>
      <c r="C374" s="1127"/>
      <c r="D374" s="1125"/>
      <c r="E374" s="1125"/>
      <c r="F374" s="1130"/>
      <c r="G374" s="95"/>
      <c r="H374" s="823"/>
      <c r="I374" s="1125"/>
      <c r="J374" s="1134"/>
      <c r="K374" s="1134"/>
      <c r="L374" s="916"/>
    </row>
    <row r="375" spans="1:12" s="103" customFormat="1" ht="15.75" hidden="1" customHeight="1" outlineLevel="1">
      <c r="A375" s="916"/>
      <c r="B375" s="1124"/>
      <c r="C375" s="1128"/>
      <c r="D375" s="1126"/>
      <c r="E375" s="1126"/>
      <c r="F375" s="1132"/>
      <c r="G375" s="100"/>
      <c r="H375" s="824"/>
      <c r="I375" s="1126"/>
      <c r="J375" s="1135"/>
      <c r="K375" s="1135"/>
      <c r="L375" s="916"/>
    </row>
    <row r="376" spans="1:12" s="103" customFormat="1" ht="15.75" hidden="1" customHeight="1" outlineLevel="1">
      <c r="A376" s="916"/>
      <c r="B376" s="1123">
        <v>122</v>
      </c>
      <c r="C376" s="1127"/>
      <c r="D376" s="1125"/>
      <c r="E376" s="1125" t="s">
        <v>18</v>
      </c>
      <c r="F376" s="1130" t="str">
        <f>VLOOKUP(E376,$N$13:$O$17,2,0)</f>
        <v>-</v>
      </c>
      <c r="G376" s="92"/>
      <c r="H376" s="823"/>
      <c r="I376" s="1125"/>
      <c r="J376" s="1133"/>
      <c r="K376" s="1133"/>
      <c r="L376" s="916"/>
    </row>
    <row r="377" spans="1:12" s="103" customFormat="1" ht="15.75" hidden="1" customHeight="1" outlineLevel="1">
      <c r="A377" s="916"/>
      <c r="B377" s="1123"/>
      <c r="C377" s="1127"/>
      <c r="D377" s="1125"/>
      <c r="E377" s="1125"/>
      <c r="F377" s="1130"/>
      <c r="G377" s="95"/>
      <c r="H377" s="823"/>
      <c r="I377" s="1125"/>
      <c r="J377" s="1134"/>
      <c r="K377" s="1134"/>
      <c r="L377" s="916"/>
    </row>
    <row r="378" spans="1:12" s="103" customFormat="1" ht="15.75" hidden="1" customHeight="1" outlineLevel="1">
      <c r="A378" s="916"/>
      <c r="B378" s="1124"/>
      <c r="C378" s="1128"/>
      <c r="D378" s="1126"/>
      <c r="E378" s="1126"/>
      <c r="F378" s="1132"/>
      <c r="G378" s="100"/>
      <c r="H378" s="824"/>
      <c r="I378" s="1126"/>
      <c r="J378" s="1135"/>
      <c r="K378" s="1135"/>
      <c r="L378" s="916"/>
    </row>
    <row r="379" spans="1:12" s="103" customFormat="1" ht="15.75" hidden="1" customHeight="1" outlineLevel="1">
      <c r="A379" s="916"/>
      <c r="B379" s="1123">
        <v>123</v>
      </c>
      <c r="C379" s="1127"/>
      <c r="D379" s="1125"/>
      <c r="E379" s="1125" t="s">
        <v>18</v>
      </c>
      <c r="F379" s="1130" t="str">
        <f>VLOOKUP(E379,$N$13:$O$17,2,0)</f>
        <v>-</v>
      </c>
      <c r="G379" s="92"/>
      <c r="H379" s="823"/>
      <c r="I379" s="1125"/>
      <c r="J379" s="1133"/>
      <c r="K379" s="1133"/>
      <c r="L379" s="916"/>
    </row>
    <row r="380" spans="1:12" s="103" customFormat="1" ht="15.75" hidden="1" customHeight="1" outlineLevel="1">
      <c r="A380" s="916"/>
      <c r="B380" s="1123"/>
      <c r="C380" s="1127"/>
      <c r="D380" s="1125"/>
      <c r="E380" s="1125"/>
      <c r="F380" s="1130"/>
      <c r="G380" s="95"/>
      <c r="H380" s="823"/>
      <c r="I380" s="1125"/>
      <c r="J380" s="1134"/>
      <c r="K380" s="1134"/>
      <c r="L380" s="916"/>
    </row>
    <row r="381" spans="1:12" s="103" customFormat="1" ht="15.75" hidden="1" customHeight="1" outlineLevel="1">
      <c r="A381" s="916"/>
      <c r="B381" s="1124"/>
      <c r="C381" s="1128"/>
      <c r="D381" s="1126"/>
      <c r="E381" s="1126"/>
      <c r="F381" s="1132"/>
      <c r="G381" s="100"/>
      <c r="H381" s="824"/>
      <c r="I381" s="1126"/>
      <c r="J381" s="1135"/>
      <c r="K381" s="1135"/>
      <c r="L381" s="916"/>
    </row>
    <row r="382" spans="1:12" s="103" customFormat="1" ht="15.75" hidden="1" customHeight="1" outlineLevel="1">
      <c r="A382" s="916"/>
      <c r="B382" s="1123">
        <v>124</v>
      </c>
      <c r="C382" s="1127"/>
      <c r="D382" s="1125"/>
      <c r="E382" s="1125" t="s">
        <v>18</v>
      </c>
      <c r="F382" s="1130" t="str">
        <f>VLOOKUP(E382,$N$13:$O$17,2,0)</f>
        <v>-</v>
      </c>
      <c r="G382" s="92"/>
      <c r="H382" s="823"/>
      <c r="I382" s="1125"/>
      <c r="J382" s="1133"/>
      <c r="K382" s="1133"/>
      <c r="L382" s="916"/>
    </row>
    <row r="383" spans="1:12" s="103" customFormat="1" ht="15.75" hidden="1" customHeight="1" outlineLevel="1">
      <c r="A383" s="916"/>
      <c r="B383" s="1123"/>
      <c r="C383" s="1127"/>
      <c r="D383" s="1125"/>
      <c r="E383" s="1125"/>
      <c r="F383" s="1130"/>
      <c r="G383" s="95"/>
      <c r="H383" s="823"/>
      <c r="I383" s="1125"/>
      <c r="J383" s="1134"/>
      <c r="K383" s="1134"/>
      <c r="L383" s="916"/>
    </row>
    <row r="384" spans="1:12" s="103" customFormat="1" ht="15.75" hidden="1" customHeight="1" outlineLevel="1">
      <c r="A384" s="916"/>
      <c r="B384" s="1124"/>
      <c r="C384" s="1128"/>
      <c r="D384" s="1126"/>
      <c r="E384" s="1126"/>
      <c r="F384" s="1132"/>
      <c r="G384" s="100"/>
      <c r="H384" s="824"/>
      <c r="I384" s="1126"/>
      <c r="J384" s="1135"/>
      <c r="K384" s="1135"/>
      <c r="L384" s="916"/>
    </row>
    <row r="385" spans="1:12" s="103" customFormat="1" ht="15.75" hidden="1" customHeight="1" outlineLevel="1">
      <c r="A385" s="916"/>
      <c r="B385" s="1123">
        <v>125</v>
      </c>
      <c r="C385" s="1127"/>
      <c r="D385" s="1125"/>
      <c r="E385" s="1125" t="s">
        <v>18</v>
      </c>
      <c r="F385" s="1130" t="str">
        <f>VLOOKUP(E385,$N$13:$O$17,2,0)</f>
        <v>-</v>
      </c>
      <c r="G385" s="92"/>
      <c r="H385" s="823"/>
      <c r="I385" s="1125"/>
      <c r="J385" s="1133"/>
      <c r="K385" s="1133"/>
      <c r="L385" s="916"/>
    </row>
    <row r="386" spans="1:12" s="103" customFormat="1" ht="15.75" hidden="1" customHeight="1" outlineLevel="1">
      <c r="A386" s="916"/>
      <c r="B386" s="1123"/>
      <c r="C386" s="1127"/>
      <c r="D386" s="1125"/>
      <c r="E386" s="1125"/>
      <c r="F386" s="1130"/>
      <c r="G386" s="95"/>
      <c r="H386" s="823"/>
      <c r="I386" s="1125"/>
      <c r="J386" s="1134"/>
      <c r="K386" s="1134"/>
      <c r="L386" s="916"/>
    </row>
    <row r="387" spans="1:12" s="103" customFormat="1" ht="15.75" hidden="1" customHeight="1" outlineLevel="1">
      <c r="A387" s="916"/>
      <c r="B387" s="1124"/>
      <c r="C387" s="1128"/>
      <c r="D387" s="1126"/>
      <c r="E387" s="1126"/>
      <c r="F387" s="1132"/>
      <c r="G387" s="100"/>
      <c r="H387" s="824"/>
      <c r="I387" s="1126"/>
      <c r="J387" s="1135"/>
      <c r="K387" s="1135"/>
      <c r="L387" s="916"/>
    </row>
    <row r="388" spans="1:12" s="103" customFormat="1" ht="15.75" hidden="1" customHeight="1" outlineLevel="1">
      <c r="A388" s="916"/>
      <c r="B388" s="1123">
        <v>126</v>
      </c>
      <c r="C388" s="1127"/>
      <c r="D388" s="1125"/>
      <c r="E388" s="1125" t="s">
        <v>18</v>
      </c>
      <c r="F388" s="1130" t="str">
        <f>VLOOKUP(E388,$N$13:$O$17,2,0)</f>
        <v>-</v>
      </c>
      <c r="G388" s="92"/>
      <c r="H388" s="823"/>
      <c r="I388" s="1125"/>
      <c r="J388" s="1133"/>
      <c r="K388" s="1133"/>
      <c r="L388" s="916"/>
    </row>
    <row r="389" spans="1:12" s="103" customFormat="1" ht="15.75" hidden="1" customHeight="1" outlineLevel="1">
      <c r="A389" s="916"/>
      <c r="B389" s="1123"/>
      <c r="C389" s="1127"/>
      <c r="D389" s="1125"/>
      <c r="E389" s="1125"/>
      <c r="F389" s="1130"/>
      <c r="G389" s="95"/>
      <c r="H389" s="823"/>
      <c r="I389" s="1125"/>
      <c r="J389" s="1134"/>
      <c r="K389" s="1134"/>
      <c r="L389" s="916"/>
    </row>
    <row r="390" spans="1:12" s="103" customFormat="1" ht="15.75" hidden="1" customHeight="1" outlineLevel="1">
      <c r="A390" s="916"/>
      <c r="B390" s="1124"/>
      <c r="C390" s="1128"/>
      <c r="D390" s="1126"/>
      <c r="E390" s="1126"/>
      <c r="F390" s="1132"/>
      <c r="G390" s="100"/>
      <c r="H390" s="824"/>
      <c r="I390" s="1126"/>
      <c r="J390" s="1135"/>
      <c r="K390" s="1135"/>
      <c r="L390" s="916"/>
    </row>
    <row r="391" spans="1:12" s="103" customFormat="1" ht="15.75" hidden="1" customHeight="1" outlineLevel="1">
      <c r="A391" s="916"/>
      <c r="B391" s="1123">
        <v>127</v>
      </c>
      <c r="C391" s="1127"/>
      <c r="D391" s="1125"/>
      <c r="E391" s="1125" t="s">
        <v>18</v>
      </c>
      <c r="F391" s="1130" t="str">
        <f>VLOOKUP(E391,$N$13:$O$17,2,0)</f>
        <v>-</v>
      </c>
      <c r="G391" s="92"/>
      <c r="H391" s="823"/>
      <c r="I391" s="1125"/>
      <c r="J391" s="1133"/>
      <c r="K391" s="1133"/>
      <c r="L391" s="916"/>
    </row>
    <row r="392" spans="1:12" s="103" customFormat="1" ht="15.75" hidden="1" customHeight="1" outlineLevel="1">
      <c r="A392" s="916"/>
      <c r="B392" s="1123"/>
      <c r="C392" s="1127"/>
      <c r="D392" s="1125"/>
      <c r="E392" s="1125"/>
      <c r="F392" s="1130"/>
      <c r="G392" s="95"/>
      <c r="H392" s="823"/>
      <c r="I392" s="1125"/>
      <c r="J392" s="1134"/>
      <c r="K392" s="1134"/>
      <c r="L392" s="916"/>
    </row>
    <row r="393" spans="1:12" s="103" customFormat="1" ht="15.75" hidden="1" customHeight="1" outlineLevel="1">
      <c r="A393" s="916"/>
      <c r="B393" s="1124"/>
      <c r="C393" s="1128"/>
      <c r="D393" s="1126"/>
      <c r="E393" s="1126"/>
      <c r="F393" s="1132"/>
      <c r="G393" s="100"/>
      <c r="H393" s="824"/>
      <c r="I393" s="1126"/>
      <c r="J393" s="1135"/>
      <c r="K393" s="1135"/>
      <c r="L393" s="916"/>
    </row>
    <row r="394" spans="1:12" s="103" customFormat="1" ht="15.75" hidden="1" customHeight="1" outlineLevel="1">
      <c r="A394" s="916"/>
      <c r="B394" s="1123">
        <v>128</v>
      </c>
      <c r="C394" s="1127"/>
      <c r="D394" s="1125"/>
      <c r="E394" s="1125" t="s">
        <v>18</v>
      </c>
      <c r="F394" s="1130" t="str">
        <f>VLOOKUP(E394,$N$13:$O$17,2,0)</f>
        <v>-</v>
      </c>
      <c r="G394" s="92"/>
      <c r="H394" s="823"/>
      <c r="I394" s="1125"/>
      <c r="J394" s="1133"/>
      <c r="K394" s="1133"/>
      <c r="L394" s="916"/>
    </row>
    <row r="395" spans="1:12" s="103" customFormat="1" ht="15.75" hidden="1" customHeight="1" outlineLevel="1">
      <c r="A395" s="916"/>
      <c r="B395" s="1123"/>
      <c r="C395" s="1127"/>
      <c r="D395" s="1125"/>
      <c r="E395" s="1125"/>
      <c r="F395" s="1130"/>
      <c r="G395" s="95"/>
      <c r="H395" s="823"/>
      <c r="I395" s="1125"/>
      <c r="J395" s="1134"/>
      <c r="K395" s="1134"/>
      <c r="L395" s="916"/>
    </row>
    <row r="396" spans="1:12" s="103" customFormat="1" ht="15.75" hidden="1" customHeight="1" outlineLevel="1">
      <c r="A396" s="916"/>
      <c r="B396" s="1124"/>
      <c r="C396" s="1128"/>
      <c r="D396" s="1126"/>
      <c r="E396" s="1126"/>
      <c r="F396" s="1132"/>
      <c r="G396" s="100"/>
      <c r="H396" s="824"/>
      <c r="I396" s="1126"/>
      <c r="J396" s="1135"/>
      <c r="K396" s="1135"/>
      <c r="L396" s="916"/>
    </row>
    <row r="397" spans="1:12" s="103" customFormat="1" ht="15.75" hidden="1" customHeight="1" outlineLevel="1">
      <c r="A397" s="916"/>
      <c r="B397" s="1123">
        <v>129</v>
      </c>
      <c r="C397" s="1127"/>
      <c r="D397" s="1125"/>
      <c r="E397" s="1125" t="s">
        <v>18</v>
      </c>
      <c r="F397" s="1130" t="str">
        <f>VLOOKUP(E397,$N$13:$O$17,2,0)</f>
        <v>-</v>
      </c>
      <c r="G397" s="92"/>
      <c r="H397" s="823"/>
      <c r="I397" s="1125"/>
      <c r="J397" s="1133"/>
      <c r="K397" s="1133"/>
      <c r="L397" s="916"/>
    </row>
    <row r="398" spans="1:12" s="103" customFormat="1" ht="15.75" hidden="1" customHeight="1" outlineLevel="1">
      <c r="A398" s="916"/>
      <c r="B398" s="1123"/>
      <c r="C398" s="1127"/>
      <c r="D398" s="1125"/>
      <c r="E398" s="1125"/>
      <c r="F398" s="1130"/>
      <c r="G398" s="95"/>
      <c r="H398" s="823"/>
      <c r="I398" s="1125"/>
      <c r="J398" s="1134"/>
      <c r="K398" s="1134"/>
      <c r="L398" s="916"/>
    </row>
    <row r="399" spans="1:12" s="103" customFormat="1" ht="15.75" hidden="1" customHeight="1" outlineLevel="1">
      <c r="A399" s="916"/>
      <c r="B399" s="1124"/>
      <c r="C399" s="1128"/>
      <c r="D399" s="1126"/>
      <c r="E399" s="1126"/>
      <c r="F399" s="1132"/>
      <c r="G399" s="100"/>
      <c r="H399" s="824"/>
      <c r="I399" s="1126"/>
      <c r="J399" s="1135"/>
      <c r="K399" s="1135"/>
      <c r="L399" s="916"/>
    </row>
    <row r="400" spans="1:12" s="103" customFormat="1" ht="15.75" hidden="1" customHeight="1" outlineLevel="1">
      <c r="A400" s="916"/>
      <c r="B400" s="1123">
        <v>130</v>
      </c>
      <c r="C400" s="1127"/>
      <c r="D400" s="1125"/>
      <c r="E400" s="1125" t="s">
        <v>18</v>
      </c>
      <c r="F400" s="1130" t="str">
        <f>VLOOKUP(E400,$N$13:$O$17,2,0)</f>
        <v>-</v>
      </c>
      <c r="G400" s="92"/>
      <c r="H400" s="823"/>
      <c r="I400" s="1125"/>
      <c r="J400" s="1133"/>
      <c r="K400" s="1133"/>
      <c r="L400" s="916"/>
    </row>
    <row r="401" spans="1:12" s="103" customFormat="1" ht="15.75" hidden="1" customHeight="1" outlineLevel="1">
      <c r="A401" s="916"/>
      <c r="B401" s="1123"/>
      <c r="C401" s="1127"/>
      <c r="D401" s="1125"/>
      <c r="E401" s="1125"/>
      <c r="F401" s="1130"/>
      <c r="G401" s="95"/>
      <c r="H401" s="823"/>
      <c r="I401" s="1125"/>
      <c r="J401" s="1134"/>
      <c r="K401" s="1134"/>
      <c r="L401" s="916"/>
    </row>
    <row r="402" spans="1:12" s="103" customFormat="1" ht="15.75" hidden="1" customHeight="1" outlineLevel="1">
      <c r="A402" s="916"/>
      <c r="B402" s="1124"/>
      <c r="C402" s="1128"/>
      <c r="D402" s="1126"/>
      <c r="E402" s="1126"/>
      <c r="F402" s="1132"/>
      <c r="G402" s="100"/>
      <c r="H402" s="824"/>
      <c r="I402" s="1126"/>
      <c r="J402" s="1135"/>
      <c r="K402" s="1135"/>
      <c r="L402" s="916"/>
    </row>
    <row r="403" spans="1:12" s="103" customFormat="1" ht="15.75" hidden="1" customHeight="1" outlineLevel="1">
      <c r="A403" s="916"/>
      <c r="B403" s="1123">
        <v>131</v>
      </c>
      <c r="C403" s="1127"/>
      <c r="D403" s="1125"/>
      <c r="E403" s="1125" t="s">
        <v>18</v>
      </c>
      <c r="F403" s="1130" t="str">
        <f>VLOOKUP(E403,$N$13:$O$17,2,0)</f>
        <v>-</v>
      </c>
      <c r="G403" s="92"/>
      <c r="H403" s="823"/>
      <c r="I403" s="1125"/>
      <c r="J403" s="1133"/>
      <c r="K403" s="1133"/>
      <c r="L403" s="916"/>
    </row>
    <row r="404" spans="1:12" s="103" customFormat="1" ht="15.75" hidden="1" customHeight="1" outlineLevel="1">
      <c r="A404" s="916"/>
      <c r="B404" s="1123"/>
      <c r="C404" s="1127"/>
      <c r="D404" s="1125"/>
      <c r="E404" s="1125"/>
      <c r="F404" s="1130"/>
      <c r="G404" s="95"/>
      <c r="H404" s="823"/>
      <c r="I404" s="1125"/>
      <c r="J404" s="1134"/>
      <c r="K404" s="1134"/>
      <c r="L404" s="916"/>
    </row>
    <row r="405" spans="1:12" s="103" customFormat="1" ht="15.75" hidden="1" customHeight="1" outlineLevel="1">
      <c r="A405" s="916"/>
      <c r="B405" s="1124"/>
      <c r="C405" s="1128"/>
      <c r="D405" s="1126"/>
      <c r="E405" s="1126"/>
      <c r="F405" s="1132"/>
      <c r="G405" s="100"/>
      <c r="H405" s="824"/>
      <c r="I405" s="1126"/>
      <c r="J405" s="1135"/>
      <c r="K405" s="1135"/>
      <c r="L405" s="916"/>
    </row>
    <row r="406" spans="1:12" s="103" customFormat="1" ht="15.75" hidden="1" customHeight="1" outlineLevel="1">
      <c r="A406" s="916"/>
      <c r="B406" s="1123">
        <v>132</v>
      </c>
      <c r="C406" s="1127"/>
      <c r="D406" s="1125"/>
      <c r="E406" s="1125" t="s">
        <v>18</v>
      </c>
      <c r="F406" s="1130" t="str">
        <f>VLOOKUP(E406,$N$13:$O$17,2,0)</f>
        <v>-</v>
      </c>
      <c r="G406" s="92"/>
      <c r="H406" s="823"/>
      <c r="I406" s="1125"/>
      <c r="J406" s="1133"/>
      <c r="K406" s="1133"/>
      <c r="L406" s="916"/>
    </row>
    <row r="407" spans="1:12" s="103" customFormat="1" ht="15.75" hidden="1" customHeight="1" outlineLevel="1">
      <c r="A407" s="916"/>
      <c r="B407" s="1123"/>
      <c r="C407" s="1127"/>
      <c r="D407" s="1125"/>
      <c r="E407" s="1125"/>
      <c r="F407" s="1130"/>
      <c r="G407" s="95"/>
      <c r="H407" s="823"/>
      <c r="I407" s="1125"/>
      <c r="J407" s="1134"/>
      <c r="K407" s="1134"/>
      <c r="L407" s="916"/>
    </row>
    <row r="408" spans="1:12" s="103" customFormat="1" ht="15.75" hidden="1" customHeight="1" outlineLevel="1">
      <c r="A408" s="916"/>
      <c r="B408" s="1124"/>
      <c r="C408" s="1128"/>
      <c r="D408" s="1126"/>
      <c r="E408" s="1126"/>
      <c r="F408" s="1132"/>
      <c r="G408" s="100"/>
      <c r="H408" s="824"/>
      <c r="I408" s="1126"/>
      <c r="J408" s="1135"/>
      <c r="K408" s="1135"/>
      <c r="L408" s="916"/>
    </row>
    <row r="409" spans="1:12" s="103" customFormat="1" ht="15.75" hidden="1" customHeight="1" outlineLevel="1">
      <c r="A409" s="916"/>
      <c r="B409" s="1123">
        <v>133</v>
      </c>
      <c r="C409" s="1127"/>
      <c r="D409" s="1125"/>
      <c r="E409" s="1125" t="s">
        <v>18</v>
      </c>
      <c r="F409" s="1130" t="str">
        <f>VLOOKUP(E409,$N$13:$O$17,2,0)</f>
        <v>-</v>
      </c>
      <c r="G409" s="92"/>
      <c r="H409" s="823"/>
      <c r="I409" s="1125"/>
      <c r="J409" s="1133"/>
      <c r="K409" s="1133"/>
      <c r="L409" s="916"/>
    </row>
    <row r="410" spans="1:12" s="103" customFormat="1" ht="15.75" hidden="1" customHeight="1" outlineLevel="1">
      <c r="A410" s="916"/>
      <c r="B410" s="1123"/>
      <c r="C410" s="1127"/>
      <c r="D410" s="1125"/>
      <c r="E410" s="1125"/>
      <c r="F410" s="1130"/>
      <c r="G410" s="95"/>
      <c r="H410" s="823"/>
      <c r="I410" s="1125"/>
      <c r="J410" s="1134"/>
      <c r="K410" s="1134"/>
      <c r="L410" s="916"/>
    </row>
    <row r="411" spans="1:12" s="103" customFormat="1" ht="15.75" hidden="1" customHeight="1" outlineLevel="1">
      <c r="A411" s="916"/>
      <c r="B411" s="1124"/>
      <c r="C411" s="1128"/>
      <c r="D411" s="1126"/>
      <c r="E411" s="1126"/>
      <c r="F411" s="1132"/>
      <c r="G411" s="100"/>
      <c r="H411" s="824"/>
      <c r="I411" s="1126"/>
      <c r="J411" s="1135"/>
      <c r="K411" s="1135"/>
      <c r="L411" s="916"/>
    </row>
    <row r="412" spans="1:12" s="103" customFormat="1" ht="15.75" hidden="1" customHeight="1" outlineLevel="1">
      <c r="A412" s="916"/>
      <c r="B412" s="1123">
        <v>134</v>
      </c>
      <c r="C412" s="1127"/>
      <c r="D412" s="1125"/>
      <c r="E412" s="1125" t="s">
        <v>18</v>
      </c>
      <c r="F412" s="1130" t="str">
        <f>VLOOKUP(E412,$N$13:$O$17,2,0)</f>
        <v>-</v>
      </c>
      <c r="G412" s="92"/>
      <c r="H412" s="823"/>
      <c r="I412" s="1125"/>
      <c r="J412" s="1133"/>
      <c r="K412" s="1133"/>
      <c r="L412" s="916"/>
    </row>
    <row r="413" spans="1:12" s="103" customFormat="1" ht="15.75" hidden="1" customHeight="1" outlineLevel="1">
      <c r="A413" s="916"/>
      <c r="B413" s="1123"/>
      <c r="C413" s="1127"/>
      <c r="D413" s="1125"/>
      <c r="E413" s="1125"/>
      <c r="F413" s="1130"/>
      <c r="G413" s="95"/>
      <c r="H413" s="823"/>
      <c r="I413" s="1125"/>
      <c r="J413" s="1134"/>
      <c r="K413" s="1134"/>
      <c r="L413" s="916"/>
    </row>
    <row r="414" spans="1:12" s="103" customFormat="1" ht="15.75" hidden="1" customHeight="1" outlineLevel="1">
      <c r="A414" s="916"/>
      <c r="B414" s="1124"/>
      <c r="C414" s="1128"/>
      <c r="D414" s="1126"/>
      <c r="E414" s="1126"/>
      <c r="F414" s="1132"/>
      <c r="G414" s="100"/>
      <c r="H414" s="824"/>
      <c r="I414" s="1126"/>
      <c r="J414" s="1135"/>
      <c r="K414" s="1135"/>
      <c r="L414" s="916"/>
    </row>
    <row r="415" spans="1:12" s="103" customFormat="1" ht="15.75" hidden="1" customHeight="1" outlineLevel="1">
      <c r="A415" s="916"/>
      <c r="B415" s="1123">
        <v>135</v>
      </c>
      <c r="C415" s="1127"/>
      <c r="D415" s="1125"/>
      <c r="E415" s="1125" t="s">
        <v>18</v>
      </c>
      <c r="F415" s="1130" t="str">
        <f>VLOOKUP(E415,$N$13:$O$17,2,0)</f>
        <v>-</v>
      </c>
      <c r="G415" s="92"/>
      <c r="H415" s="823"/>
      <c r="I415" s="1125"/>
      <c r="J415" s="1133"/>
      <c r="K415" s="1133"/>
      <c r="L415" s="916"/>
    </row>
    <row r="416" spans="1:12" s="103" customFormat="1" ht="15.75" hidden="1" customHeight="1" outlineLevel="1">
      <c r="A416" s="916"/>
      <c r="B416" s="1123"/>
      <c r="C416" s="1127"/>
      <c r="D416" s="1125"/>
      <c r="E416" s="1125"/>
      <c r="F416" s="1130"/>
      <c r="G416" s="95"/>
      <c r="H416" s="823"/>
      <c r="I416" s="1125"/>
      <c r="J416" s="1134"/>
      <c r="K416" s="1134"/>
      <c r="L416" s="916"/>
    </row>
    <row r="417" spans="1:12" s="103" customFormat="1" ht="15.75" hidden="1" customHeight="1" outlineLevel="1">
      <c r="A417" s="916"/>
      <c r="B417" s="1124"/>
      <c r="C417" s="1128"/>
      <c r="D417" s="1126"/>
      <c r="E417" s="1126"/>
      <c r="F417" s="1132"/>
      <c r="G417" s="100"/>
      <c r="H417" s="824"/>
      <c r="I417" s="1126"/>
      <c r="J417" s="1135"/>
      <c r="K417" s="1135"/>
      <c r="L417" s="916"/>
    </row>
    <row r="418" spans="1:12" s="103" customFormat="1" ht="15.75" hidden="1" customHeight="1" outlineLevel="1">
      <c r="A418" s="916"/>
      <c r="B418" s="1123">
        <v>136</v>
      </c>
      <c r="C418" s="1127"/>
      <c r="D418" s="1125"/>
      <c r="E418" s="1125" t="s">
        <v>18</v>
      </c>
      <c r="F418" s="1130" t="str">
        <f>VLOOKUP(E418,$N$13:$O$17,2,0)</f>
        <v>-</v>
      </c>
      <c r="G418" s="92"/>
      <c r="H418" s="823"/>
      <c r="I418" s="1125"/>
      <c r="J418" s="1133"/>
      <c r="K418" s="1133"/>
      <c r="L418" s="916"/>
    </row>
    <row r="419" spans="1:12" s="103" customFormat="1" ht="15.75" hidden="1" customHeight="1" outlineLevel="1">
      <c r="A419" s="916"/>
      <c r="B419" s="1123"/>
      <c r="C419" s="1127"/>
      <c r="D419" s="1125"/>
      <c r="E419" s="1125"/>
      <c r="F419" s="1130"/>
      <c r="G419" s="95"/>
      <c r="H419" s="823"/>
      <c r="I419" s="1125"/>
      <c r="J419" s="1134"/>
      <c r="K419" s="1134"/>
      <c r="L419" s="916"/>
    </row>
    <row r="420" spans="1:12" s="103" customFormat="1" ht="15.75" hidden="1" customHeight="1" outlineLevel="1">
      <c r="A420" s="916"/>
      <c r="B420" s="1124"/>
      <c r="C420" s="1128"/>
      <c r="D420" s="1126"/>
      <c r="E420" s="1126"/>
      <c r="F420" s="1132"/>
      <c r="G420" s="100"/>
      <c r="H420" s="824"/>
      <c r="I420" s="1126"/>
      <c r="J420" s="1135"/>
      <c r="K420" s="1135"/>
      <c r="L420" s="916"/>
    </row>
    <row r="421" spans="1:12" s="103" customFormat="1" ht="15.75" hidden="1" customHeight="1" outlineLevel="1">
      <c r="A421" s="916"/>
      <c r="B421" s="1123">
        <v>137</v>
      </c>
      <c r="C421" s="1127"/>
      <c r="D421" s="1125"/>
      <c r="E421" s="1125" t="s">
        <v>18</v>
      </c>
      <c r="F421" s="1130" t="str">
        <f>VLOOKUP(E421,$N$13:$O$17,2,0)</f>
        <v>-</v>
      </c>
      <c r="G421" s="92"/>
      <c r="H421" s="823"/>
      <c r="I421" s="1125"/>
      <c r="J421" s="1133"/>
      <c r="K421" s="1133"/>
      <c r="L421" s="916"/>
    </row>
    <row r="422" spans="1:12" s="103" customFormat="1" ht="15.75" hidden="1" customHeight="1" outlineLevel="1">
      <c r="A422" s="916"/>
      <c r="B422" s="1123"/>
      <c r="C422" s="1127"/>
      <c r="D422" s="1125"/>
      <c r="E422" s="1125"/>
      <c r="F422" s="1130"/>
      <c r="G422" s="95"/>
      <c r="H422" s="823"/>
      <c r="I422" s="1125"/>
      <c r="J422" s="1134"/>
      <c r="K422" s="1134"/>
      <c r="L422" s="916"/>
    </row>
    <row r="423" spans="1:12" s="103" customFormat="1" ht="15.75" hidden="1" customHeight="1" outlineLevel="1">
      <c r="A423" s="916"/>
      <c r="B423" s="1124"/>
      <c r="C423" s="1128"/>
      <c r="D423" s="1126"/>
      <c r="E423" s="1126"/>
      <c r="F423" s="1132"/>
      <c r="G423" s="100"/>
      <c r="H423" s="824"/>
      <c r="I423" s="1126"/>
      <c r="J423" s="1135"/>
      <c r="K423" s="1135"/>
      <c r="L423" s="916"/>
    </row>
    <row r="424" spans="1:12" s="103" customFormat="1" ht="15.75" hidden="1" customHeight="1" outlineLevel="1">
      <c r="A424" s="916"/>
      <c r="B424" s="1123">
        <v>138</v>
      </c>
      <c r="C424" s="1127"/>
      <c r="D424" s="1125"/>
      <c r="E424" s="1125" t="s">
        <v>18</v>
      </c>
      <c r="F424" s="1130" t="str">
        <f>VLOOKUP(E424,$N$13:$O$17,2,0)</f>
        <v>-</v>
      </c>
      <c r="G424" s="92"/>
      <c r="H424" s="823"/>
      <c r="I424" s="1125"/>
      <c r="J424" s="1133"/>
      <c r="K424" s="1133"/>
      <c r="L424" s="916"/>
    </row>
    <row r="425" spans="1:12" s="103" customFormat="1" ht="15.75" hidden="1" customHeight="1" outlineLevel="1">
      <c r="A425" s="916"/>
      <c r="B425" s="1123"/>
      <c r="C425" s="1127"/>
      <c r="D425" s="1125"/>
      <c r="E425" s="1125"/>
      <c r="F425" s="1130"/>
      <c r="G425" s="95"/>
      <c r="H425" s="823"/>
      <c r="I425" s="1125"/>
      <c r="J425" s="1134"/>
      <c r="K425" s="1134"/>
      <c r="L425" s="916"/>
    </row>
    <row r="426" spans="1:12" s="103" customFormat="1" ht="15.75" hidden="1" customHeight="1" outlineLevel="1">
      <c r="A426" s="916"/>
      <c r="B426" s="1124"/>
      <c r="C426" s="1128"/>
      <c r="D426" s="1126"/>
      <c r="E426" s="1126"/>
      <c r="F426" s="1132"/>
      <c r="G426" s="100"/>
      <c r="H426" s="824"/>
      <c r="I426" s="1126"/>
      <c r="J426" s="1135"/>
      <c r="K426" s="1135"/>
      <c r="L426" s="916"/>
    </row>
    <row r="427" spans="1:12" s="103" customFormat="1" ht="15.75" hidden="1" customHeight="1" outlineLevel="1">
      <c r="A427" s="916"/>
      <c r="B427" s="1123">
        <v>139</v>
      </c>
      <c r="C427" s="1127"/>
      <c r="D427" s="1125"/>
      <c r="E427" s="1125" t="s">
        <v>18</v>
      </c>
      <c r="F427" s="1130" t="str">
        <f>VLOOKUP(E427,$N$13:$O$17,2,0)</f>
        <v>-</v>
      </c>
      <c r="G427" s="92"/>
      <c r="H427" s="823"/>
      <c r="I427" s="1125"/>
      <c r="J427" s="1133"/>
      <c r="K427" s="1133"/>
      <c r="L427" s="916"/>
    </row>
    <row r="428" spans="1:12" s="103" customFormat="1" ht="15.75" hidden="1" customHeight="1" outlineLevel="1">
      <c r="A428" s="916"/>
      <c r="B428" s="1123"/>
      <c r="C428" s="1127"/>
      <c r="D428" s="1125"/>
      <c r="E428" s="1125"/>
      <c r="F428" s="1130"/>
      <c r="G428" s="95"/>
      <c r="H428" s="823"/>
      <c r="I428" s="1125"/>
      <c r="J428" s="1134"/>
      <c r="K428" s="1134"/>
      <c r="L428" s="916"/>
    </row>
    <row r="429" spans="1:12" s="103" customFormat="1" ht="15.75" hidden="1" customHeight="1" outlineLevel="1">
      <c r="A429" s="916"/>
      <c r="B429" s="1124"/>
      <c r="C429" s="1128"/>
      <c r="D429" s="1126"/>
      <c r="E429" s="1126"/>
      <c r="F429" s="1132"/>
      <c r="G429" s="100"/>
      <c r="H429" s="824"/>
      <c r="I429" s="1126"/>
      <c r="J429" s="1135"/>
      <c r="K429" s="1135"/>
      <c r="L429" s="916"/>
    </row>
    <row r="430" spans="1:12" s="103" customFormat="1" ht="15.75" hidden="1" customHeight="1" outlineLevel="1">
      <c r="A430" s="916"/>
      <c r="B430" s="1123">
        <v>140</v>
      </c>
      <c r="C430" s="1127"/>
      <c r="D430" s="1125"/>
      <c r="E430" s="1125" t="s">
        <v>18</v>
      </c>
      <c r="F430" s="1130" t="str">
        <f>VLOOKUP(E430,$N$13:$O$17,2,0)</f>
        <v>-</v>
      </c>
      <c r="G430" s="92"/>
      <c r="H430" s="823"/>
      <c r="I430" s="1125"/>
      <c r="J430" s="1133"/>
      <c r="K430" s="1133"/>
      <c r="L430" s="916"/>
    </row>
    <row r="431" spans="1:12" s="103" customFormat="1" ht="15.75" hidden="1" customHeight="1" outlineLevel="1">
      <c r="A431" s="916"/>
      <c r="B431" s="1123"/>
      <c r="C431" s="1127"/>
      <c r="D431" s="1125"/>
      <c r="E431" s="1125"/>
      <c r="F431" s="1130"/>
      <c r="G431" s="95"/>
      <c r="H431" s="823"/>
      <c r="I431" s="1125"/>
      <c r="J431" s="1134"/>
      <c r="K431" s="1134"/>
      <c r="L431" s="916"/>
    </row>
    <row r="432" spans="1:12" s="103" customFormat="1" ht="15.75" hidden="1" customHeight="1" outlineLevel="1">
      <c r="A432" s="916"/>
      <c r="B432" s="1124"/>
      <c r="C432" s="1128"/>
      <c r="D432" s="1126"/>
      <c r="E432" s="1126"/>
      <c r="F432" s="1132"/>
      <c r="G432" s="100"/>
      <c r="H432" s="824"/>
      <c r="I432" s="1126"/>
      <c r="J432" s="1135"/>
      <c r="K432" s="1135"/>
      <c r="L432" s="916"/>
    </row>
    <row r="433" spans="1:12" s="103" customFormat="1" ht="15.75" hidden="1" customHeight="1" outlineLevel="1">
      <c r="A433" s="916"/>
      <c r="B433" s="1123">
        <v>141</v>
      </c>
      <c r="C433" s="1127"/>
      <c r="D433" s="1125"/>
      <c r="E433" s="1125" t="s">
        <v>18</v>
      </c>
      <c r="F433" s="1130" t="str">
        <f>VLOOKUP(E433,$N$13:$O$17,2,0)</f>
        <v>-</v>
      </c>
      <c r="G433" s="92"/>
      <c r="H433" s="823"/>
      <c r="I433" s="1125"/>
      <c r="J433" s="1133"/>
      <c r="K433" s="1133"/>
      <c r="L433" s="916"/>
    </row>
    <row r="434" spans="1:12" s="103" customFormat="1" ht="15.75" hidden="1" customHeight="1" outlineLevel="1">
      <c r="A434" s="916"/>
      <c r="B434" s="1123"/>
      <c r="C434" s="1127"/>
      <c r="D434" s="1125"/>
      <c r="E434" s="1125"/>
      <c r="F434" s="1130"/>
      <c r="G434" s="95"/>
      <c r="H434" s="823"/>
      <c r="I434" s="1125"/>
      <c r="J434" s="1134"/>
      <c r="K434" s="1134"/>
      <c r="L434" s="916"/>
    </row>
    <row r="435" spans="1:12" s="103" customFormat="1" ht="15.75" hidden="1" customHeight="1" outlineLevel="1">
      <c r="A435" s="916"/>
      <c r="B435" s="1124"/>
      <c r="C435" s="1128"/>
      <c r="D435" s="1126"/>
      <c r="E435" s="1126"/>
      <c r="F435" s="1132"/>
      <c r="G435" s="100"/>
      <c r="H435" s="824"/>
      <c r="I435" s="1126"/>
      <c r="J435" s="1135"/>
      <c r="K435" s="1135"/>
      <c r="L435" s="916"/>
    </row>
    <row r="436" spans="1:12" s="103" customFormat="1" ht="15.75" hidden="1" customHeight="1" outlineLevel="1">
      <c r="A436" s="916"/>
      <c r="B436" s="1123">
        <v>142</v>
      </c>
      <c r="C436" s="1127"/>
      <c r="D436" s="1125"/>
      <c r="E436" s="1125" t="s">
        <v>18</v>
      </c>
      <c r="F436" s="1130" t="str">
        <f>VLOOKUP(E436,$N$13:$O$17,2,0)</f>
        <v>-</v>
      </c>
      <c r="G436" s="92"/>
      <c r="H436" s="823"/>
      <c r="I436" s="1125"/>
      <c r="J436" s="1133"/>
      <c r="K436" s="1133"/>
      <c r="L436" s="916"/>
    </row>
    <row r="437" spans="1:12" s="103" customFormat="1" ht="15.75" hidden="1" customHeight="1" outlineLevel="1">
      <c r="A437" s="916"/>
      <c r="B437" s="1123"/>
      <c r="C437" s="1127"/>
      <c r="D437" s="1125"/>
      <c r="E437" s="1125"/>
      <c r="F437" s="1130"/>
      <c r="G437" s="95"/>
      <c r="H437" s="823"/>
      <c r="I437" s="1125"/>
      <c r="J437" s="1134"/>
      <c r="K437" s="1134"/>
      <c r="L437" s="916"/>
    </row>
    <row r="438" spans="1:12" s="103" customFormat="1" ht="15.75" hidden="1" customHeight="1" outlineLevel="1">
      <c r="A438" s="916"/>
      <c r="B438" s="1124"/>
      <c r="C438" s="1128"/>
      <c r="D438" s="1126"/>
      <c r="E438" s="1126"/>
      <c r="F438" s="1132"/>
      <c r="G438" s="100"/>
      <c r="H438" s="824"/>
      <c r="I438" s="1126"/>
      <c r="J438" s="1135"/>
      <c r="K438" s="1135"/>
      <c r="L438" s="916"/>
    </row>
    <row r="439" spans="1:12" s="103" customFormat="1" ht="15.75" hidden="1" customHeight="1" outlineLevel="1">
      <c r="A439" s="916"/>
      <c r="B439" s="1123">
        <v>143</v>
      </c>
      <c r="C439" s="1127"/>
      <c r="D439" s="1125"/>
      <c r="E439" s="1125" t="s">
        <v>18</v>
      </c>
      <c r="F439" s="1130" t="str">
        <f>VLOOKUP(E439,$N$13:$O$17,2,0)</f>
        <v>-</v>
      </c>
      <c r="G439" s="92"/>
      <c r="H439" s="823"/>
      <c r="I439" s="1125"/>
      <c r="J439" s="1133"/>
      <c r="K439" s="1133"/>
      <c r="L439" s="916"/>
    </row>
    <row r="440" spans="1:12" s="103" customFormat="1" ht="15.75" hidden="1" customHeight="1" outlineLevel="1">
      <c r="A440" s="916"/>
      <c r="B440" s="1123"/>
      <c r="C440" s="1127"/>
      <c r="D440" s="1125"/>
      <c r="E440" s="1125"/>
      <c r="F440" s="1130"/>
      <c r="G440" s="95"/>
      <c r="H440" s="823"/>
      <c r="I440" s="1125"/>
      <c r="J440" s="1134"/>
      <c r="K440" s="1134"/>
      <c r="L440" s="916"/>
    </row>
    <row r="441" spans="1:12" s="103" customFormat="1" ht="15.75" hidden="1" customHeight="1" outlineLevel="1">
      <c r="A441" s="916"/>
      <c r="B441" s="1124"/>
      <c r="C441" s="1128"/>
      <c r="D441" s="1126"/>
      <c r="E441" s="1126"/>
      <c r="F441" s="1132"/>
      <c r="G441" s="100"/>
      <c r="H441" s="824"/>
      <c r="I441" s="1126"/>
      <c r="J441" s="1135"/>
      <c r="K441" s="1135"/>
      <c r="L441" s="916"/>
    </row>
    <row r="442" spans="1:12" s="103" customFormat="1" ht="15.75" hidden="1" customHeight="1" outlineLevel="1">
      <c r="A442" s="916"/>
      <c r="B442" s="1123">
        <v>144</v>
      </c>
      <c r="C442" s="1127"/>
      <c r="D442" s="1125"/>
      <c r="E442" s="1125" t="s">
        <v>18</v>
      </c>
      <c r="F442" s="1130" t="str">
        <f>VLOOKUP(E442,$N$13:$O$17,2,0)</f>
        <v>-</v>
      </c>
      <c r="G442" s="92"/>
      <c r="H442" s="823"/>
      <c r="I442" s="1125"/>
      <c r="J442" s="1133"/>
      <c r="K442" s="1133"/>
      <c r="L442" s="916"/>
    </row>
    <row r="443" spans="1:12" s="103" customFormat="1" ht="15.75" hidden="1" customHeight="1" outlineLevel="1">
      <c r="A443" s="916"/>
      <c r="B443" s="1123"/>
      <c r="C443" s="1127"/>
      <c r="D443" s="1125"/>
      <c r="E443" s="1125"/>
      <c r="F443" s="1130"/>
      <c r="G443" s="95"/>
      <c r="H443" s="823"/>
      <c r="I443" s="1125"/>
      <c r="J443" s="1134"/>
      <c r="K443" s="1134"/>
      <c r="L443" s="916"/>
    </row>
    <row r="444" spans="1:12" s="103" customFormat="1" ht="15.75" hidden="1" customHeight="1" outlineLevel="1">
      <c r="A444" s="916"/>
      <c r="B444" s="1124"/>
      <c r="C444" s="1128"/>
      <c r="D444" s="1126"/>
      <c r="E444" s="1126"/>
      <c r="F444" s="1132"/>
      <c r="G444" s="100"/>
      <c r="H444" s="824"/>
      <c r="I444" s="1126"/>
      <c r="J444" s="1135"/>
      <c r="K444" s="1135"/>
      <c r="L444" s="916"/>
    </row>
    <row r="445" spans="1:12" s="103" customFormat="1" ht="15.75" hidden="1" customHeight="1" outlineLevel="1">
      <c r="A445" s="916"/>
      <c r="B445" s="1123">
        <v>145</v>
      </c>
      <c r="C445" s="1127"/>
      <c r="D445" s="1125"/>
      <c r="E445" s="1125" t="s">
        <v>18</v>
      </c>
      <c r="F445" s="1130" t="str">
        <f>VLOOKUP(E445,$N$13:$O$17,2,0)</f>
        <v>-</v>
      </c>
      <c r="G445" s="92"/>
      <c r="H445" s="823"/>
      <c r="I445" s="1125"/>
      <c r="J445" s="1133"/>
      <c r="K445" s="1133"/>
      <c r="L445" s="916"/>
    </row>
    <row r="446" spans="1:12" s="103" customFormat="1" ht="15.75" hidden="1" customHeight="1" outlineLevel="1">
      <c r="A446" s="916"/>
      <c r="B446" s="1123"/>
      <c r="C446" s="1127"/>
      <c r="D446" s="1125"/>
      <c r="E446" s="1125"/>
      <c r="F446" s="1130"/>
      <c r="G446" s="95"/>
      <c r="H446" s="823"/>
      <c r="I446" s="1125"/>
      <c r="J446" s="1134"/>
      <c r="K446" s="1134"/>
      <c r="L446" s="916"/>
    </row>
    <row r="447" spans="1:12" s="103" customFormat="1" ht="15.75" hidden="1" customHeight="1" outlineLevel="1">
      <c r="A447" s="916"/>
      <c r="B447" s="1124"/>
      <c r="C447" s="1128"/>
      <c r="D447" s="1126"/>
      <c r="E447" s="1126"/>
      <c r="F447" s="1132"/>
      <c r="G447" s="100"/>
      <c r="H447" s="824"/>
      <c r="I447" s="1126"/>
      <c r="J447" s="1135"/>
      <c r="K447" s="1135"/>
      <c r="L447" s="916"/>
    </row>
    <row r="448" spans="1:12" s="103" customFormat="1" ht="15.75" hidden="1" customHeight="1" outlineLevel="1">
      <c r="A448" s="916"/>
      <c r="B448" s="1123">
        <v>146</v>
      </c>
      <c r="C448" s="1127"/>
      <c r="D448" s="1125"/>
      <c r="E448" s="1125" t="s">
        <v>18</v>
      </c>
      <c r="F448" s="1130" t="str">
        <f>VLOOKUP(E448,$N$13:$O$17,2,0)</f>
        <v>-</v>
      </c>
      <c r="G448" s="92"/>
      <c r="H448" s="823"/>
      <c r="I448" s="1125"/>
      <c r="J448" s="1133"/>
      <c r="K448" s="1133"/>
      <c r="L448" s="916"/>
    </row>
    <row r="449" spans="1:12" s="103" customFormat="1" ht="15.75" hidden="1" customHeight="1" outlineLevel="1">
      <c r="A449" s="916"/>
      <c r="B449" s="1123"/>
      <c r="C449" s="1127"/>
      <c r="D449" s="1125"/>
      <c r="E449" s="1125"/>
      <c r="F449" s="1130"/>
      <c r="G449" s="95"/>
      <c r="H449" s="823"/>
      <c r="I449" s="1125"/>
      <c r="J449" s="1134"/>
      <c r="K449" s="1134"/>
      <c r="L449" s="916"/>
    </row>
    <row r="450" spans="1:12" s="103" customFormat="1" ht="15.75" hidden="1" customHeight="1" outlineLevel="1">
      <c r="A450" s="916"/>
      <c r="B450" s="1124"/>
      <c r="C450" s="1128"/>
      <c r="D450" s="1126"/>
      <c r="E450" s="1126"/>
      <c r="F450" s="1132"/>
      <c r="G450" s="100"/>
      <c r="H450" s="824"/>
      <c r="I450" s="1126"/>
      <c r="J450" s="1135"/>
      <c r="K450" s="1135"/>
      <c r="L450" s="916"/>
    </row>
    <row r="451" spans="1:12" s="103" customFormat="1" ht="15.75" hidden="1" customHeight="1" outlineLevel="1">
      <c r="A451" s="916"/>
      <c r="B451" s="1123">
        <v>147</v>
      </c>
      <c r="C451" s="1127"/>
      <c r="D451" s="1125"/>
      <c r="E451" s="1125" t="s">
        <v>18</v>
      </c>
      <c r="F451" s="1130" t="str">
        <f>VLOOKUP(E451,$N$13:$O$17,2,0)</f>
        <v>-</v>
      </c>
      <c r="G451" s="92"/>
      <c r="H451" s="823"/>
      <c r="I451" s="1125"/>
      <c r="J451" s="1133"/>
      <c r="K451" s="1133"/>
      <c r="L451" s="916"/>
    </row>
    <row r="452" spans="1:12" s="103" customFormat="1" ht="15.75" hidden="1" customHeight="1" outlineLevel="1">
      <c r="A452" s="916"/>
      <c r="B452" s="1123"/>
      <c r="C452" s="1127"/>
      <c r="D452" s="1125"/>
      <c r="E452" s="1125"/>
      <c r="F452" s="1130"/>
      <c r="G452" s="95"/>
      <c r="H452" s="823"/>
      <c r="I452" s="1125"/>
      <c r="J452" s="1134"/>
      <c r="K452" s="1134"/>
      <c r="L452" s="916"/>
    </row>
    <row r="453" spans="1:12" s="103" customFormat="1" ht="15.75" hidden="1" customHeight="1" outlineLevel="1">
      <c r="A453" s="916"/>
      <c r="B453" s="1124"/>
      <c r="C453" s="1128"/>
      <c r="D453" s="1126"/>
      <c r="E453" s="1126"/>
      <c r="F453" s="1132"/>
      <c r="G453" s="100"/>
      <c r="H453" s="824"/>
      <c r="I453" s="1126"/>
      <c r="J453" s="1135"/>
      <c r="K453" s="1135"/>
      <c r="L453" s="916"/>
    </row>
    <row r="454" spans="1:12" s="103" customFormat="1" ht="15.75" hidden="1" customHeight="1" outlineLevel="1">
      <c r="A454" s="916"/>
      <c r="B454" s="1123">
        <v>148</v>
      </c>
      <c r="C454" s="1127"/>
      <c r="D454" s="1125"/>
      <c r="E454" s="1125" t="s">
        <v>18</v>
      </c>
      <c r="F454" s="1130" t="str">
        <f>VLOOKUP(E454,$N$13:$O$17,2,0)</f>
        <v>-</v>
      </c>
      <c r="G454" s="92"/>
      <c r="H454" s="823"/>
      <c r="I454" s="1125"/>
      <c r="J454" s="1133"/>
      <c r="K454" s="1133"/>
      <c r="L454" s="916"/>
    </row>
    <row r="455" spans="1:12" s="103" customFormat="1" ht="15.75" hidden="1" customHeight="1" outlineLevel="1">
      <c r="A455" s="916"/>
      <c r="B455" s="1123"/>
      <c r="C455" s="1127"/>
      <c r="D455" s="1125"/>
      <c r="E455" s="1125"/>
      <c r="F455" s="1130"/>
      <c r="G455" s="95"/>
      <c r="H455" s="823"/>
      <c r="I455" s="1125"/>
      <c r="J455" s="1134"/>
      <c r="K455" s="1134"/>
      <c r="L455" s="916"/>
    </row>
    <row r="456" spans="1:12" s="103" customFormat="1" ht="15.75" hidden="1" customHeight="1" outlineLevel="1">
      <c r="A456" s="916"/>
      <c r="B456" s="1124"/>
      <c r="C456" s="1128"/>
      <c r="D456" s="1126"/>
      <c r="E456" s="1126"/>
      <c r="F456" s="1132"/>
      <c r="G456" s="100"/>
      <c r="H456" s="824"/>
      <c r="I456" s="1126"/>
      <c r="J456" s="1135"/>
      <c r="K456" s="1135"/>
      <c r="L456" s="916"/>
    </row>
    <row r="457" spans="1:12" s="103" customFormat="1" ht="15.75" hidden="1" customHeight="1" outlineLevel="1">
      <c r="A457" s="916"/>
      <c r="B457" s="1123">
        <v>149</v>
      </c>
      <c r="C457" s="1127"/>
      <c r="D457" s="1125"/>
      <c r="E457" s="1125" t="s">
        <v>18</v>
      </c>
      <c r="F457" s="1130" t="str">
        <f>VLOOKUP(E457,$N$13:$O$17,2,0)</f>
        <v>-</v>
      </c>
      <c r="G457" s="92"/>
      <c r="H457" s="823"/>
      <c r="I457" s="1125"/>
      <c r="J457" s="1133"/>
      <c r="K457" s="1133"/>
      <c r="L457" s="916"/>
    </row>
    <row r="458" spans="1:12" s="103" customFormat="1" ht="15.75" hidden="1" customHeight="1" outlineLevel="1">
      <c r="A458" s="916"/>
      <c r="B458" s="1123"/>
      <c r="C458" s="1127"/>
      <c r="D458" s="1125"/>
      <c r="E458" s="1125"/>
      <c r="F458" s="1130"/>
      <c r="G458" s="95"/>
      <c r="H458" s="823"/>
      <c r="I458" s="1125"/>
      <c r="J458" s="1134"/>
      <c r="K458" s="1134"/>
      <c r="L458" s="916"/>
    </row>
    <row r="459" spans="1:12" s="103" customFormat="1" ht="15.75" hidden="1" customHeight="1" outlineLevel="1">
      <c r="A459" s="916"/>
      <c r="B459" s="1124"/>
      <c r="C459" s="1128"/>
      <c r="D459" s="1126"/>
      <c r="E459" s="1126"/>
      <c r="F459" s="1132"/>
      <c r="G459" s="100"/>
      <c r="H459" s="824"/>
      <c r="I459" s="1126"/>
      <c r="J459" s="1135"/>
      <c r="K459" s="1135"/>
      <c r="L459" s="916"/>
    </row>
    <row r="460" spans="1:12" s="103" customFormat="1" ht="15.75" hidden="1" customHeight="1" outlineLevel="1">
      <c r="A460" s="916"/>
      <c r="B460" s="1123">
        <v>150</v>
      </c>
      <c r="C460" s="1127"/>
      <c r="D460" s="1125"/>
      <c r="E460" s="1125" t="s">
        <v>18</v>
      </c>
      <c r="F460" s="1130" t="str">
        <f>VLOOKUP(E460,$N$13:$O$17,2,0)</f>
        <v>-</v>
      </c>
      <c r="G460" s="92"/>
      <c r="H460" s="823"/>
      <c r="I460" s="1125"/>
      <c r="J460" s="1133"/>
      <c r="K460" s="1133"/>
      <c r="L460" s="916"/>
    </row>
    <row r="461" spans="1:12" s="103" customFormat="1" ht="15.75" hidden="1" customHeight="1" outlineLevel="1">
      <c r="A461" s="916"/>
      <c r="B461" s="1123"/>
      <c r="C461" s="1127"/>
      <c r="D461" s="1125"/>
      <c r="E461" s="1125"/>
      <c r="F461" s="1130"/>
      <c r="G461" s="95"/>
      <c r="H461" s="823"/>
      <c r="I461" s="1125"/>
      <c r="J461" s="1134"/>
      <c r="K461" s="1134"/>
      <c r="L461" s="916"/>
    </row>
    <row r="462" spans="1:12" s="103" customFormat="1" ht="15.75" hidden="1" customHeight="1" outlineLevel="1">
      <c r="A462" s="916"/>
      <c r="B462" s="1124"/>
      <c r="C462" s="1128"/>
      <c r="D462" s="1126"/>
      <c r="E462" s="1126"/>
      <c r="F462" s="1132"/>
      <c r="G462" s="100"/>
      <c r="H462" s="824"/>
      <c r="I462" s="1126"/>
      <c r="J462" s="1135"/>
      <c r="K462" s="1135"/>
      <c r="L462" s="916"/>
    </row>
    <row r="463" spans="1:12" s="103" customFormat="1" ht="15.75" hidden="1" customHeight="1" outlineLevel="1">
      <c r="A463" s="916"/>
      <c r="B463" s="1123">
        <v>151</v>
      </c>
      <c r="C463" s="1127"/>
      <c r="D463" s="1125"/>
      <c r="E463" s="1125" t="s">
        <v>18</v>
      </c>
      <c r="F463" s="1130" t="str">
        <f>VLOOKUP(E463,$N$13:$O$17,2,0)</f>
        <v>-</v>
      </c>
      <c r="G463" s="92"/>
      <c r="H463" s="823"/>
      <c r="I463" s="1125"/>
      <c r="J463" s="1133"/>
      <c r="K463" s="1133"/>
      <c r="L463" s="916"/>
    </row>
    <row r="464" spans="1:12" s="103" customFormat="1" ht="15.75" hidden="1" customHeight="1" outlineLevel="1">
      <c r="A464" s="916"/>
      <c r="B464" s="1123"/>
      <c r="C464" s="1127"/>
      <c r="D464" s="1125"/>
      <c r="E464" s="1125"/>
      <c r="F464" s="1130"/>
      <c r="G464" s="95"/>
      <c r="H464" s="823"/>
      <c r="I464" s="1125"/>
      <c r="J464" s="1134"/>
      <c r="K464" s="1134"/>
      <c r="L464" s="916"/>
    </row>
    <row r="465" spans="1:12" s="103" customFormat="1" ht="15.75" hidden="1" customHeight="1" outlineLevel="1">
      <c r="A465" s="916"/>
      <c r="B465" s="1124"/>
      <c r="C465" s="1128"/>
      <c r="D465" s="1126"/>
      <c r="E465" s="1126"/>
      <c r="F465" s="1132"/>
      <c r="G465" s="100"/>
      <c r="H465" s="824"/>
      <c r="I465" s="1126"/>
      <c r="J465" s="1135"/>
      <c r="K465" s="1135"/>
      <c r="L465" s="916"/>
    </row>
    <row r="466" spans="1:12" s="103" customFormat="1" ht="15.75" hidden="1" customHeight="1" outlineLevel="1">
      <c r="A466" s="916"/>
      <c r="B466" s="1123">
        <v>152</v>
      </c>
      <c r="C466" s="1127"/>
      <c r="D466" s="1125"/>
      <c r="E466" s="1125" t="s">
        <v>18</v>
      </c>
      <c r="F466" s="1130" t="str">
        <f>VLOOKUP(E466,$N$13:$O$17,2,0)</f>
        <v>-</v>
      </c>
      <c r="G466" s="92"/>
      <c r="H466" s="823"/>
      <c r="I466" s="1125"/>
      <c r="J466" s="1133"/>
      <c r="K466" s="1133"/>
      <c r="L466" s="916"/>
    </row>
    <row r="467" spans="1:12" s="103" customFormat="1" ht="15.75" hidden="1" customHeight="1" outlineLevel="1">
      <c r="A467" s="916"/>
      <c r="B467" s="1123"/>
      <c r="C467" s="1127"/>
      <c r="D467" s="1125"/>
      <c r="E467" s="1125"/>
      <c r="F467" s="1130"/>
      <c r="G467" s="95"/>
      <c r="H467" s="823"/>
      <c r="I467" s="1125"/>
      <c r="J467" s="1134"/>
      <c r="K467" s="1134"/>
      <c r="L467" s="916"/>
    </row>
    <row r="468" spans="1:12" s="103" customFormat="1" ht="15.75" hidden="1" customHeight="1" outlineLevel="1">
      <c r="A468" s="916"/>
      <c r="B468" s="1124"/>
      <c r="C468" s="1128"/>
      <c r="D468" s="1126"/>
      <c r="E468" s="1126"/>
      <c r="F468" s="1132"/>
      <c r="G468" s="100"/>
      <c r="H468" s="824"/>
      <c r="I468" s="1126"/>
      <c r="J468" s="1135"/>
      <c r="K468" s="1135"/>
      <c r="L468" s="916"/>
    </row>
    <row r="469" spans="1:12" s="103" customFormat="1" ht="15.75" hidden="1" customHeight="1" outlineLevel="1">
      <c r="A469" s="916"/>
      <c r="B469" s="1123">
        <v>153</v>
      </c>
      <c r="C469" s="1127"/>
      <c r="D469" s="1125"/>
      <c r="E469" s="1125" t="s">
        <v>18</v>
      </c>
      <c r="F469" s="1130" t="str">
        <f>VLOOKUP(E469,$N$13:$O$17,2,0)</f>
        <v>-</v>
      </c>
      <c r="G469" s="92"/>
      <c r="H469" s="823"/>
      <c r="I469" s="1125"/>
      <c r="J469" s="1133"/>
      <c r="K469" s="1133"/>
      <c r="L469" s="916"/>
    </row>
    <row r="470" spans="1:12" s="103" customFormat="1" ht="15.75" hidden="1" customHeight="1" outlineLevel="1">
      <c r="A470" s="916"/>
      <c r="B470" s="1123"/>
      <c r="C470" s="1127"/>
      <c r="D470" s="1125"/>
      <c r="E470" s="1125"/>
      <c r="F470" s="1130"/>
      <c r="G470" s="95"/>
      <c r="H470" s="823"/>
      <c r="I470" s="1125"/>
      <c r="J470" s="1134"/>
      <c r="K470" s="1134"/>
      <c r="L470" s="916"/>
    </row>
    <row r="471" spans="1:12" s="103" customFormat="1" ht="15.75" hidden="1" customHeight="1" outlineLevel="1">
      <c r="A471" s="916"/>
      <c r="B471" s="1124"/>
      <c r="C471" s="1128"/>
      <c r="D471" s="1126"/>
      <c r="E471" s="1126"/>
      <c r="F471" s="1132"/>
      <c r="G471" s="100"/>
      <c r="H471" s="824"/>
      <c r="I471" s="1126"/>
      <c r="J471" s="1135"/>
      <c r="K471" s="1135"/>
      <c r="L471" s="916"/>
    </row>
    <row r="472" spans="1:12" s="103" customFormat="1" ht="15.75" hidden="1" customHeight="1" outlineLevel="1">
      <c r="A472" s="916"/>
      <c r="B472" s="1123">
        <v>154</v>
      </c>
      <c r="C472" s="1127"/>
      <c r="D472" s="1125"/>
      <c r="E472" s="1125" t="s">
        <v>18</v>
      </c>
      <c r="F472" s="1130" t="str">
        <f>VLOOKUP(E472,$N$13:$O$17,2,0)</f>
        <v>-</v>
      </c>
      <c r="G472" s="92"/>
      <c r="H472" s="823"/>
      <c r="I472" s="1125"/>
      <c r="J472" s="1133"/>
      <c r="K472" s="1133"/>
      <c r="L472" s="916"/>
    </row>
    <row r="473" spans="1:12" s="103" customFormat="1" ht="15.75" hidden="1" customHeight="1" outlineLevel="1">
      <c r="A473" s="916"/>
      <c r="B473" s="1123"/>
      <c r="C473" s="1127"/>
      <c r="D473" s="1125"/>
      <c r="E473" s="1125"/>
      <c r="F473" s="1130"/>
      <c r="G473" s="95"/>
      <c r="H473" s="823"/>
      <c r="I473" s="1125"/>
      <c r="J473" s="1134"/>
      <c r="K473" s="1134"/>
      <c r="L473" s="916"/>
    </row>
    <row r="474" spans="1:12" s="103" customFormat="1" ht="15.75" hidden="1" customHeight="1" outlineLevel="1">
      <c r="A474" s="916"/>
      <c r="B474" s="1124"/>
      <c r="C474" s="1128"/>
      <c r="D474" s="1126"/>
      <c r="E474" s="1126"/>
      <c r="F474" s="1132"/>
      <c r="G474" s="100"/>
      <c r="H474" s="824"/>
      <c r="I474" s="1126"/>
      <c r="J474" s="1135"/>
      <c r="K474" s="1135"/>
      <c r="L474" s="916"/>
    </row>
    <row r="475" spans="1:12" s="103" customFormat="1" ht="15.75" hidden="1" customHeight="1" outlineLevel="1">
      <c r="A475" s="916"/>
      <c r="B475" s="1123">
        <v>155</v>
      </c>
      <c r="C475" s="1127"/>
      <c r="D475" s="1125"/>
      <c r="E475" s="1125" t="s">
        <v>18</v>
      </c>
      <c r="F475" s="1130" t="str">
        <f>VLOOKUP(E475,$N$13:$O$17,2,0)</f>
        <v>-</v>
      </c>
      <c r="G475" s="92"/>
      <c r="H475" s="823"/>
      <c r="I475" s="1125"/>
      <c r="J475" s="1133"/>
      <c r="K475" s="1133"/>
      <c r="L475" s="916"/>
    </row>
    <row r="476" spans="1:12" s="103" customFormat="1" ht="15.75" hidden="1" customHeight="1" outlineLevel="1">
      <c r="A476" s="916"/>
      <c r="B476" s="1123"/>
      <c r="C476" s="1127"/>
      <c r="D476" s="1125"/>
      <c r="E476" s="1125"/>
      <c r="F476" s="1130"/>
      <c r="G476" s="95"/>
      <c r="H476" s="823"/>
      <c r="I476" s="1125"/>
      <c r="J476" s="1134"/>
      <c r="K476" s="1134"/>
      <c r="L476" s="916"/>
    </row>
    <row r="477" spans="1:12" s="103" customFormat="1" ht="15.75" hidden="1" customHeight="1" outlineLevel="1">
      <c r="A477" s="916"/>
      <c r="B477" s="1124"/>
      <c r="C477" s="1128"/>
      <c r="D477" s="1126"/>
      <c r="E477" s="1126"/>
      <c r="F477" s="1132"/>
      <c r="G477" s="100"/>
      <c r="H477" s="824"/>
      <c r="I477" s="1126"/>
      <c r="J477" s="1135"/>
      <c r="K477" s="1135"/>
      <c r="L477" s="916"/>
    </row>
    <row r="478" spans="1:12" s="103" customFormat="1" ht="15.75" hidden="1" customHeight="1" outlineLevel="1">
      <c r="A478" s="916"/>
      <c r="B478" s="1123">
        <v>156</v>
      </c>
      <c r="C478" s="1127"/>
      <c r="D478" s="1125"/>
      <c r="E478" s="1125" t="s">
        <v>18</v>
      </c>
      <c r="F478" s="1130" t="str">
        <f>VLOOKUP(E478,$N$13:$O$17,2,0)</f>
        <v>-</v>
      </c>
      <c r="G478" s="92"/>
      <c r="H478" s="823"/>
      <c r="I478" s="1125"/>
      <c r="J478" s="1133"/>
      <c r="K478" s="1133"/>
      <c r="L478" s="916"/>
    </row>
    <row r="479" spans="1:12" s="103" customFormat="1" ht="15.75" hidden="1" customHeight="1" outlineLevel="1">
      <c r="A479" s="916"/>
      <c r="B479" s="1123"/>
      <c r="C479" s="1127"/>
      <c r="D479" s="1125"/>
      <c r="E479" s="1125"/>
      <c r="F479" s="1130"/>
      <c r="G479" s="95"/>
      <c r="H479" s="823"/>
      <c r="I479" s="1125"/>
      <c r="J479" s="1134"/>
      <c r="K479" s="1134"/>
      <c r="L479" s="916"/>
    </row>
    <row r="480" spans="1:12" s="103" customFormat="1" ht="15.75" hidden="1" customHeight="1" outlineLevel="1">
      <c r="A480" s="916"/>
      <c r="B480" s="1124"/>
      <c r="C480" s="1128"/>
      <c r="D480" s="1126"/>
      <c r="E480" s="1126"/>
      <c r="F480" s="1132"/>
      <c r="G480" s="100"/>
      <c r="H480" s="824"/>
      <c r="I480" s="1126"/>
      <c r="J480" s="1135"/>
      <c r="K480" s="1135"/>
      <c r="L480" s="916"/>
    </row>
    <row r="481" spans="1:12" s="103" customFormat="1" ht="15.75" hidden="1" customHeight="1" outlineLevel="1">
      <c r="A481" s="916"/>
      <c r="B481" s="1123">
        <v>157</v>
      </c>
      <c r="C481" s="1127"/>
      <c r="D481" s="1125"/>
      <c r="E481" s="1125" t="s">
        <v>18</v>
      </c>
      <c r="F481" s="1130" t="str">
        <f>VLOOKUP(E481,$N$13:$O$17,2,0)</f>
        <v>-</v>
      </c>
      <c r="G481" s="92"/>
      <c r="H481" s="823"/>
      <c r="I481" s="1125"/>
      <c r="J481" s="1133"/>
      <c r="K481" s="1133"/>
      <c r="L481" s="916"/>
    </row>
    <row r="482" spans="1:12" s="103" customFormat="1" ht="15.75" hidden="1" customHeight="1" outlineLevel="1">
      <c r="A482" s="916"/>
      <c r="B482" s="1123"/>
      <c r="C482" s="1127"/>
      <c r="D482" s="1125"/>
      <c r="E482" s="1125"/>
      <c r="F482" s="1130"/>
      <c r="G482" s="95"/>
      <c r="H482" s="823"/>
      <c r="I482" s="1125"/>
      <c r="J482" s="1134"/>
      <c r="K482" s="1134"/>
      <c r="L482" s="916"/>
    </row>
    <row r="483" spans="1:12" s="103" customFormat="1" ht="15.75" hidden="1" customHeight="1" outlineLevel="1">
      <c r="A483" s="916"/>
      <c r="B483" s="1124"/>
      <c r="C483" s="1128"/>
      <c r="D483" s="1126"/>
      <c r="E483" s="1126"/>
      <c r="F483" s="1132"/>
      <c r="G483" s="100"/>
      <c r="H483" s="824"/>
      <c r="I483" s="1126"/>
      <c r="J483" s="1135"/>
      <c r="K483" s="1135"/>
      <c r="L483" s="916"/>
    </row>
    <row r="484" spans="1:12" s="103" customFormat="1" ht="15.75" hidden="1" customHeight="1" outlineLevel="1">
      <c r="A484" s="916"/>
      <c r="B484" s="1123">
        <v>158</v>
      </c>
      <c r="C484" s="1127"/>
      <c r="D484" s="1125"/>
      <c r="E484" s="1125" t="s">
        <v>18</v>
      </c>
      <c r="F484" s="1130" t="str">
        <f>VLOOKUP(E484,$N$13:$O$17,2,0)</f>
        <v>-</v>
      </c>
      <c r="G484" s="92"/>
      <c r="H484" s="823"/>
      <c r="I484" s="1125"/>
      <c r="J484" s="1133"/>
      <c r="K484" s="1133"/>
      <c r="L484" s="916"/>
    </row>
    <row r="485" spans="1:12" s="103" customFormat="1" ht="15.75" hidden="1" customHeight="1" outlineLevel="1">
      <c r="A485" s="916"/>
      <c r="B485" s="1123"/>
      <c r="C485" s="1127"/>
      <c r="D485" s="1125"/>
      <c r="E485" s="1125"/>
      <c r="F485" s="1130"/>
      <c r="G485" s="95"/>
      <c r="H485" s="823"/>
      <c r="I485" s="1125"/>
      <c r="J485" s="1134"/>
      <c r="K485" s="1134"/>
      <c r="L485" s="916"/>
    </row>
    <row r="486" spans="1:12" s="103" customFormat="1" ht="15.75" hidden="1" customHeight="1" outlineLevel="1">
      <c r="A486" s="916"/>
      <c r="B486" s="1124"/>
      <c r="C486" s="1128"/>
      <c r="D486" s="1126"/>
      <c r="E486" s="1126"/>
      <c r="F486" s="1132"/>
      <c r="G486" s="100"/>
      <c r="H486" s="824"/>
      <c r="I486" s="1126"/>
      <c r="J486" s="1135"/>
      <c r="K486" s="1135"/>
      <c r="L486" s="916"/>
    </row>
    <row r="487" spans="1:12" s="103" customFormat="1" ht="15.75" hidden="1" customHeight="1" outlineLevel="1">
      <c r="A487" s="916"/>
      <c r="B487" s="1123">
        <v>159</v>
      </c>
      <c r="C487" s="1127"/>
      <c r="D487" s="1125"/>
      <c r="E487" s="1125" t="s">
        <v>18</v>
      </c>
      <c r="F487" s="1130" t="str">
        <f>VLOOKUP(E487,$N$13:$O$17,2,0)</f>
        <v>-</v>
      </c>
      <c r="G487" s="92"/>
      <c r="H487" s="823"/>
      <c r="I487" s="1125"/>
      <c r="J487" s="1133"/>
      <c r="K487" s="1133"/>
      <c r="L487" s="916"/>
    </row>
    <row r="488" spans="1:12" s="103" customFormat="1" ht="15.75" hidden="1" customHeight="1" outlineLevel="1">
      <c r="A488" s="916"/>
      <c r="B488" s="1123"/>
      <c r="C488" s="1127"/>
      <c r="D488" s="1125"/>
      <c r="E488" s="1125"/>
      <c r="F488" s="1130"/>
      <c r="G488" s="95"/>
      <c r="H488" s="823"/>
      <c r="I488" s="1125"/>
      <c r="J488" s="1134"/>
      <c r="K488" s="1134"/>
      <c r="L488" s="916"/>
    </row>
    <row r="489" spans="1:12" s="103" customFormat="1" ht="15.75" hidden="1" customHeight="1" outlineLevel="1">
      <c r="A489" s="916"/>
      <c r="B489" s="1124"/>
      <c r="C489" s="1128"/>
      <c r="D489" s="1126"/>
      <c r="E489" s="1126"/>
      <c r="F489" s="1132"/>
      <c r="G489" s="100"/>
      <c r="H489" s="824"/>
      <c r="I489" s="1126"/>
      <c r="J489" s="1135"/>
      <c r="K489" s="1135"/>
      <c r="L489" s="916"/>
    </row>
    <row r="490" spans="1:12" s="103" customFormat="1" ht="15.75" hidden="1" customHeight="1" outlineLevel="1">
      <c r="A490" s="916"/>
      <c r="B490" s="1123">
        <v>160</v>
      </c>
      <c r="C490" s="1127"/>
      <c r="D490" s="1125"/>
      <c r="E490" s="1125" t="s">
        <v>18</v>
      </c>
      <c r="F490" s="1130" t="str">
        <f>VLOOKUP(E490,$N$13:$O$17,2,0)</f>
        <v>-</v>
      </c>
      <c r="G490" s="92"/>
      <c r="H490" s="823"/>
      <c r="I490" s="1125"/>
      <c r="J490" s="1133"/>
      <c r="K490" s="1133"/>
      <c r="L490" s="916"/>
    </row>
    <row r="491" spans="1:12" s="103" customFormat="1" ht="15.75" hidden="1" customHeight="1" outlineLevel="1">
      <c r="A491" s="916"/>
      <c r="B491" s="1123"/>
      <c r="C491" s="1127"/>
      <c r="D491" s="1125"/>
      <c r="E491" s="1125"/>
      <c r="F491" s="1130"/>
      <c r="G491" s="95"/>
      <c r="H491" s="823"/>
      <c r="I491" s="1125"/>
      <c r="J491" s="1134"/>
      <c r="K491" s="1134"/>
      <c r="L491" s="916"/>
    </row>
    <row r="492" spans="1:12" s="103" customFormat="1" ht="15.75" hidden="1" customHeight="1" outlineLevel="1">
      <c r="A492" s="916"/>
      <c r="B492" s="1124"/>
      <c r="C492" s="1128"/>
      <c r="D492" s="1126"/>
      <c r="E492" s="1126"/>
      <c r="F492" s="1132"/>
      <c r="G492" s="100"/>
      <c r="H492" s="824"/>
      <c r="I492" s="1126"/>
      <c r="J492" s="1135"/>
      <c r="K492" s="1135"/>
      <c r="L492" s="916"/>
    </row>
    <row r="493" spans="1:12" s="103" customFormat="1" ht="15.75" hidden="1" customHeight="1" outlineLevel="1">
      <c r="A493" s="916"/>
      <c r="B493" s="1123">
        <v>161</v>
      </c>
      <c r="C493" s="1127"/>
      <c r="D493" s="1125"/>
      <c r="E493" s="1125" t="s">
        <v>18</v>
      </c>
      <c r="F493" s="1130" t="str">
        <f>VLOOKUP(E493,$N$13:$O$17,2,0)</f>
        <v>-</v>
      </c>
      <c r="G493" s="92"/>
      <c r="H493" s="823"/>
      <c r="I493" s="1125"/>
      <c r="J493" s="1133"/>
      <c r="K493" s="1133"/>
      <c r="L493" s="916"/>
    </row>
    <row r="494" spans="1:12" s="103" customFormat="1" ht="15.75" hidden="1" customHeight="1" outlineLevel="1">
      <c r="A494" s="916"/>
      <c r="B494" s="1123"/>
      <c r="C494" s="1127"/>
      <c r="D494" s="1125"/>
      <c r="E494" s="1125"/>
      <c r="F494" s="1130"/>
      <c r="G494" s="95"/>
      <c r="H494" s="823"/>
      <c r="I494" s="1125"/>
      <c r="J494" s="1134"/>
      <c r="K494" s="1134"/>
      <c r="L494" s="916"/>
    </row>
    <row r="495" spans="1:12" s="103" customFormat="1" ht="15.75" hidden="1" customHeight="1" outlineLevel="1">
      <c r="A495" s="916"/>
      <c r="B495" s="1124"/>
      <c r="C495" s="1128"/>
      <c r="D495" s="1126"/>
      <c r="E495" s="1126"/>
      <c r="F495" s="1132"/>
      <c r="G495" s="100"/>
      <c r="H495" s="824"/>
      <c r="I495" s="1126"/>
      <c r="J495" s="1135"/>
      <c r="K495" s="1135"/>
      <c r="L495" s="916"/>
    </row>
    <row r="496" spans="1:12" s="103" customFormat="1" ht="15.75" hidden="1" customHeight="1" outlineLevel="1">
      <c r="A496" s="916"/>
      <c r="B496" s="1123">
        <v>162</v>
      </c>
      <c r="C496" s="1127"/>
      <c r="D496" s="1125"/>
      <c r="E496" s="1125" t="s">
        <v>18</v>
      </c>
      <c r="F496" s="1130" t="str">
        <f>VLOOKUP(E496,$N$13:$O$17,2,0)</f>
        <v>-</v>
      </c>
      <c r="G496" s="92"/>
      <c r="H496" s="823"/>
      <c r="I496" s="1125"/>
      <c r="J496" s="1133"/>
      <c r="K496" s="1133"/>
      <c r="L496" s="916"/>
    </row>
    <row r="497" spans="1:12" s="103" customFormat="1" ht="15.75" hidden="1" customHeight="1" outlineLevel="1">
      <c r="A497" s="916"/>
      <c r="B497" s="1123"/>
      <c r="C497" s="1127"/>
      <c r="D497" s="1125"/>
      <c r="E497" s="1125"/>
      <c r="F497" s="1130"/>
      <c r="G497" s="95"/>
      <c r="H497" s="823"/>
      <c r="I497" s="1125"/>
      <c r="J497" s="1134"/>
      <c r="K497" s="1134"/>
      <c r="L497" s="916"/>
    </row>
    <row r="498" spans="1:12" s="103" customFormat="1" ht="15.75" hidden="1" customHeight="1" outlineLevel="1">
      <c r="A498" s="916"/>
      <c r="B498" s="1124"/>
      <c r="C498" s="1128"/>
      <c r="D498" s="1126"/>
      <c r="E498" s="1126"/>
      <c r="F498" s="1132"/>
      <c r="G498" s="100"/>
      <c r="H498" s="824"/>
      <c r="I498" s="1126"/>
      <c r="J498" s="1135"/>
      <c r="K498" s="1135"/>
      <c r="L498" s="916"/>
    </row>
    <row r="499" spans="1:12" s="103" customFormat="1" ht="15.75" hidden="1" customHeight="1" outlineLevel="1">
      <c r="A499" s="916"/>
      <c r="B499" s="1123">
        <v>163</v>
      </c>
      <c r="C499" s="1127"/>
      <c r="D499" s="1125"/>
      <c r="E499" s="1125" t="s">
        <v>18</v>
      </c>
      <c r="F499" s="1130" t="str">
        <f>VLOOKUP(E499,$N$13:$O$17,2,0)</f>
        <v>-</v>
      </c>
      <c r="G499" s="92"/>
      <c r="H499" s="823"/>
      <c r="I499" s="1125"/>
      <c r="J499" s="1133"/>
      <c r="K499" s="1133"/>
      <c r="L499" s="916"/>
    </row>
    <row r="500" spans="1:12" s="103" customFormat="1" ht="15.75" hidden="1" customHeight="1" outlineLevel="1">
      <c r="A500" s="916"/>
      <c r="B500" s="1123"/>
      <c r="C500" s="1127"/>
      <c r="D500" s="1125"/>
      <c r="E500" s="1125"/>
      <c r="F500" s="1130"/>
      <c r="G500" s="95"/>
      <c r="H500" s="823"/>
      <c r="I500" s="1125"/>
      <c r="J500" s="1134"/>
      <c r="K500" s="1134"/>
      <c r="L500" s="916"/>
    </row>
    <row r="501" spans="1:12" s="103" customFormat="1" ht="15.75" hidden="1" customHeight="1" outlineLevel="1">
      <c r="A501" s="916"/>
      <c r="B501" s="1124"/>
      <c r="C501" s="1128"/>
      <c r="D501" s="1126"/>
      <c r="E501" s="1126"/>
      <c r="F501" s="1132"/>
      <c r="G501" s="100"/>
      <c r="H501" s="824"/>
      <c r="I501" s="1126"/>
      <c r="J501" s="1135"/>
      <c r="K501" s="1135"/>
      <c r="L501" s="916"/>
    </row>
    <row r="502" spans="1:12" s="103" customFormat="1" ht="15.75" hidden="1" customHeight="1" outlineLevel="1">
      <c r="A502" s="916"/>
      <c r="B502" s="1123">
        <v>164</v>
      </c>
      <c r="C502" s="1127"/>
      <c r="D502" s="1125"/>
      <c r="E502" s="1125" t="s">
        <v>18</v>
      </c>
      <c r="F502" s="1130" t="str">
        <f>VLOOKUP(E502,$N$13:$O$17,2,0)</f>
        <v>-</v>
      </c>
      <c r="G502" s="92"/>
      <c r="H502" s="823"/>
      <c r="I502" s="1125"/>
      <c r="J502" s="1133"/>
      <c r="K502" s="1133"/>
      <c r="L502" s="916"/>
    </row>
    <row r="503" spans="1:12" s="103" customFormat="1" ht="15.75" hidden="1" customHeight="1" outlineLevel="1">
      <c r="A503" s="916"/>
      <c r="B503" s="1123"/>
      <c r="C503" s="1127"/>
      <c r="D503" s="1125"/>
      <c r="E503" s="1125"/>
      <c r="F503" s="1130"/>
      <c r="G503" s="95"/>
      <c r="H503" s="823"/>
      <c r="I503" s="1125"/>
      <c r="J503" s="1134"/>
      <c r="K503" s="1134"/>
      <c r="L503" s="916"/>
    </row>
    <row r="504" spans="1:12" s="103" customFormat="1" ht="15.75" hidden="1" customHeight="1" outlineLevel="1">
      <c r="A504" s="916"/>
      <c r="B504" s="1124"/>
      <c r="C504" s="1128"/>
      <c r="D504" s="1126"/>
      <c r="E504" s="1126"/>
      <c r="F504" s="1132"/>
      <c r="G504" s="100"/>
      <c r="H504" s="824"/>
      <c r="I504" s="1126"/>
      <c r="J504" s="1135"/>
      <c r="K504" s="1135"/>
      <c r="L504" s="916"/>
    </row>
    <row r="505" spans="1:12" s="103" customFormat="1" ht="15.75" hidden="1" customHeight="1" outlineLevel="1">
      <c r="A505" s="916"/>
      <c r="B505" s="1123">
        <v>165</v>
      </c>
      <c r="C505" s="1127"/>
      <c r="D505" s="1125"/>
      <c r="E505" s="1125" t="s">
        <v>18</v>
      </c>
      <c r="F505" s="1130" t="str">
        <f>VLOOKUP(E505,$N$13:$O$17,2,0)</f>
        <v>-</v>
      </c>
      <c r="G505" s="92"/>
      <c r="H505" s="823"/>
      <c r="I505" s="1125"/>
      <c r="J505" s="1133"/>
      <c r="K505" s="1133"/>
      <c r="L505" s="916"/>
    </row>
    <row r="506" spans="1:12" s="103" customFormat="1" ht="15.75" hidden="1" customHeight="1" outlineLevel="1">
      <c r="A506" s="916"/>
      <c r="B506" s="1123"/>
      <c r="C506" s="1127"/>
      <c r="D506" s="1125"/>
      <c r="E506" s="1125"/>
      <c r="F506" s="1130"/>
      <c r="G506" s="95"/>
      <c r="H506" s="823"/>
      <c r="I506" s="1125"/>
      <c r="J506" s="1134"/>
      <c r="K506" s="1134"/>
      <c r="L506" s="916"/>
    </row>
    <row r="507" spans="1:12" s="103" customFormat="1" ht="15.75" hidden="1" customHeight="1" outlineLevel="1">
      <c r="A507" s="916"/>
      <c r="B507" s="1124"/>
      <c r="C507" s="1128"/>
      <c r="D507" s="1126"/>
      <c r="E507" s="1126"/>
      <c r="F507" s="1132"/>
      <c r="G507" s="100"/>
      <c r="H507" s="824"/>
      <c r="I507" s="1126"/>
      <c r="J507" s="1135"/>
      <c r="K507" s="1135"/>
      <c r="L507" s="916"/>
    </row>
    <row r="508" spans="1:12" s="103" customFormat="1" ht="15.75" hidden="1" customHeight="1" outlineLevel="1">
      <c r="A508" s="916"/>
      <c r="B508" s="1123">
        <v>166</v>
      </c>
      <c r="C508" s="1127"/>
      <c r="D508" s="1125"/>
      <c r="E508" s="1125" t="s">
        <v>18</v>
      </c>
      <c r="F508" s="1130" t="str">
        <f>VLOOKUP(E508,$N$13:$O$17,2,0)</f>
        <v>-</v>
      </c>
      <c r="G508" s="92"/>
      <c r="H508" s="823"/>
      <c r="I508" s="1125"/>
      <c r="J508" s="1133"/>
      <c r="K508" s="1133"/>
      <c r="L508" s="916"/>
    </row>
    <row r="509" spans="1:12" s="103" customFormat="1" ht="15.75" hidden="1" customHeight="1" outlineLevel="1">
      <c r="A509" s="916"/>
      <c r="B509" s="1123"/>
      <c r="C509" s="1127"/>
      <c r="D509" s="1125"/>
      <c r="E509" s="1125"/>
      <c r="F509" s="1130"/>
      <c r="G509" s="95"/>
      <c r="H509" s="823"/>
      <c r="I509" s="1125"/>
      <c r="J509" s="1134"/>
      <c r="K509" s="1134"/>
      <c r="L509" s="916"/>
    </row>
    <row r="510" spans="1:12" s="103" customFormat="1" ht="15.75" hidden="1" customHeight="1" outlineLevel="1">
      <c r="A510" s="916"/>
      <c r="B510" s="1124"/>
      <c r="C510" s="1128"/>
      <c r="D510" s="1126"/>
      <c r="E510" s="1126"/>
      <c r="F510" s="1132"/>
      <c r="G510" s="100"/>
      <c r="H510" s="824"/>
      <c r="I510" s="1126"/>
      <c r="J510" s="1135"/>
      <c r="K510" s="1135"/>
      <c r="L510" s="916"/>
    </row>
    <row r="511" spans="1:12" s="103" customFormat="1" ht="15.75" hidden="1" customHeight="1" outlineLevel="1">
      <c r="A511" s="916"/>
      <c r="B511" s="1123">
        <v>167</v>
      </c>
      <c r="C511" s="1127"/>
      <c r="D511" s="1125"/>
      <c r="E511" s="1125" t="s">
        <v>18</v>
      </c>
      <c r="F511" s="1130" t="str">
        <f>VLOOKUP(E511,$N$13:$O$17,2,0)</f>
        <v>-</v>
      </c>
      <c r="G511" s="92"/>
      <c r="H511" s="823"/>
      <c r="I511" s="1125"/>
      <c r="J511" s="1133"/>
      <c r="K511" s="1133"/>
      <c r="L511" s="916"/>
    </row>
    <row r="512" spans="1:12" s="103" customFormat="1" ht="15.75" hidden="1" customHeight="1" outlineLevel="1">
      <c r="A512" s="916"/>
      <c r="B512" s="1123"/>
      <c r="C512" s="1127"/>
      <c r="D512" s="1125"/>
      <c r="E512" s="1125"/>
      <c r="F512" s="1130"/>
      <c r="G512" s="95"/>
      <c r="H512" s="823"/>
      <c r="I512" s="1125"/>
      <c r="J512" s="1134"/>
      <c r="K512" s="1134"/>
      <c r="L512" s="916"/>
    </row>
    <row r="513" spans="1:12" s="103" customFormat="1" ht="15.75" hidden="1" customHeight="1" outlineLevel="1">
      <c r="A513" s="916"/>
      <c r="B513" s="1124"/>
      <c r="C513" s="1128"/>
      <c r="D513" s="1126"/>
      <c r="E513" s="1126"/>
      <c r="F513" s="1132"/>
      <c r="G513" s="100"/>
      <c r="H513" s="824"/>
      <c r="I513" s="1126"/>
      <c r="J513" s="1135"/>
      <c r="K513" s="1135"/>
      <c r="L513" s="916"/>
    </row>
    <row r="514" spans="1:12" s="103" customFormat="1" ht="15.75" hidden="1" customHeight="1" outlineLevel="1">
      <c r="A514" s="916"/>
      <c r="B514" s="1123">
        <v>168</v>
      </c>
      <c r="C514" s="1127"/>
      <c r="D514" s="1125"/>
      <c r="E514" s="1125" t="s">
        <v>18</v>
      </c>
      <c r="F514" s="1130" t="str">
        <f>VLOOKUP(E514,$N$13:$O$17,2,0)</f>
        <v>-</v>
      </c>
      <c r="G514" s="92"/>
      <c r="H514" s="823"/>
      <c r="I514" s="1125"/>
      <c r="J514" s="1133"/>
      <c r="K514" s="1133"/>
      <c r="L514" s="916"/>
    </row>
    <row r="515" spans="1:12" s="103" customFormat="1" ht="15.75" hidden="1" customHeight="1" outlineLevel="1">
      <c r="A515" s="916"/>
      <c r="B515" s="1123"/>
      <c r="C515" s="1127"/>
      <c r="D515" s="1125"/>
      <c r="E515" s="1125"/>
      <c r="F515" s="1130"/>
      <c r="G515" s="95"/>
      <c r="H515" s="823"/>
      <c r="I515" s="1125"/>
      <c r="J515" s="1134"/>
      <c r="K515" s="1134"/>
      <c r="L515" s="916"/>
    </row>
    <row r="516" spans="1:12" s="103" customFormat="1" ht="15.75" hidden="1" customHeight="1" outlineLevel="1">
      <c r="A516" s="916"/>
      <c r="B516" s="1124"/>
      <c r="C516" s="1128"/>
      <c r="D516" s="1126"/>
      <c r="E516" s="1126"/>
      <c r="F516" s="1132"/>
      <c r="G516" s="100"/>
      <c r="H516" s="824"/>
      <c r="I516" s="1126"/>
      <c r="J516" s="1135"/>
      <c r="K516" s="1135"/>
      <c r="L516" s="916"/>
    </row>
    <row r="517" spans="1:12" s="103" customFormat="1" ht="15.75" hidden="1" customHeight="1" outlineLevel="1">
      <c r="A517" s="916"/>
      <c r="B517" s="1123">
        <v>169</v>
      </c>
      <c r="C517" s="1127"/>
      <c r="D517" s="1125"/>
      <c r="E517" s="1125" t="s">
        <v>18</v>
      </c>
      <c r="F517" s="1130" t="str">
        <f>VLOOKUP(E517,$N$13:$O$17,2,0)</f>
        <v>-</v>
      </c>
      <c r="G517" s="92"/>
      <c r="H517" s="823"/>
      <c r="I517" s="1125"/>
      <c r="J517" s="1133"/>
      <c r="K517" s="1133"/>
      <c r="L517" s="916"/>
    </row>
    <row r="518" spans="1:12" s="103" customFormat="1" ht="15.75" hidden="1" customHeight="1" outlineLevel="1">
      <c r="A518" s="916"/>
      <c r="B518" s="1123"/>
      <c r="C518" s="1127"/>
      <c r="D518" s="1125"/>
      <c r="E518" s="1125"/>
      <c r="F518" s="1130"/>
      <c r="G518" s="95"/>
      <c r="H518" s="823"/>
      <c r="I518" s="1125"/>
      <c r="J518" s="1134"/>
      <c r="K518" s="1134"/>
      <c r="L518" s="916"/>
    </row>
    <row r="519" spans="1:12" s="103" customFormat="1" ht="15.75" hidden="1" customHeight="1" outlineLevel="1">
      <c r="A519" s="916"/>
      <c r="B519" s="1124"/>
      <c r="C519" s="1128"/>
      <c r="D519" s="1126"/>
      <c r="E519" s="1126"/>
      <c r="F519" s="1132"/>
      <c r="G519" s="100"/>
      <c r="H519" s="824"/>
      <c r="I519" s="1126"/>
      <c r="J519" s="1135"/>
      <c r="K519" s="1135"/>
      <c r="L519" s="916"/>
    </row>
    <row r="520" spans="1:12" s="103" customFormat="1" ht="15.75" hidden="1" customHeight="1" outlineLevel="1">
      <c r="A520" s="916"/>
      <c r="B520" s="1123">
        <v>170</v>
      </c>
      <c r="C520" s="1127"/>
      <c r="D520" s="1125"/>
      <c r="E520" s="1125" t="s">
        <v>18</v>
      </c>
      <c r="F520" s="1130" t="str">
        <f>VLOOKUP(E520,$N$13:$O$17,2,0)</f>
        <v>-</v>
      </c>
      <c r="G520" s="92"/>
      <c r="H520" s="823"/>
      <c r="I520" s="1125"/>
      <c r="J520" s="1133"/>
      <c r="K520" s="1133"/>
      <c r="L520" s="916"/>
    </row>
    <row r="521" spans="1:12" s="103" customFormat="1" ht="15.75" hidden="1" customHeight="1" outlineLevel="1">
      <c r="A521" s="916"/>
      <c r="B521" s="1123"/>
      <c r="C521" s="1127"/>
      <c r="D521" s="1125"/>
      <c r="E521" s="1125"/>
      <c r="F521" s="1130"/>
      <c r="G521" s="95"/>
      <c r="H521" s="823"/>
      <c r="I521" s="1125"/>
      <c r="J521" s="1134"/>
      <c r="K521" s="1134"/>
      <c r="L521" s="916"/>
    </row>
    <row r="522" spans="1:12" s="103" customFormat="1" ht="15.75" hidden="1" customHeight="1" outlineLevel="1">
      <c r="A522" s="916"/>
      <c r="B522" s="1124"/>
      <c r="C522" s="1128"/>
      <c r="D522" s="1126"/>
      <c r="E522" s="1126"/>
      <c r="F522" s="1132"/>
      <c r="G522" s="100"/>
      <c r="H522" s="824"/>
      <c r="I522" s="1126"/>
      <c r="J522" s="1135"/>
      <c r="K522" s="1135"/>
      <c r="L522" s="916"/>
    </row>
    <row r="523" spans="1:12" s="103" customFormat="1" ht="15.75" hidden="1" customHeight="1" outlineLevel="1">
      <c r="A523" s="916"/>
      <c r="B523" s="1123">
        <v>171</v>
      </c>
      <c r="C523" s="1127"/>
      <c r="D523" s="1125"/>
      <c r="E523" s="1125" t="s">
        <v>18</v>
      </c>
      <c r="F523" s="1130" t="str">
        <f>VLOOKUP(E523,$N$13:$O$17,2,0)</f>
        <v>-</v>
      </c>
      <c r="G523" s="92"/>
      <c r="H523" s="823"/>
      <c r="I523" s="1125"/>
      <c r="J523" s="1133"/>
      <c r="K523" s="1133"/>
      <c r="L523" s="916"/>
    </row>
    <row r="524" spans="1:12" s="103" customFormat="1" ht="15.75" hidden="1" customHeight="1" outlineLevel="1">
      <c r="A524" s="916"/>
      <c r="B524" s="1123"/>
      <c r="C524" s="1127"/>
      <c r="D524" s="1125"/>
      <c r="E524" s="1125"/>
      <c r="F524" s="1130"/>
      <c r="G524" s="95"/>
      <c r="H524" s="823"/>
      <c r="I524" s="1125"/>
      <c r="J524" s="1134"/>
      <c r="K524" s="1134"/>
      <c r="L524" s="916"/>
    </row>
    <row r="525" spans="1:12" s="103" customFormat="1" ht="15.75" hidden="1" customHeight="1" outlineLevel="1">
      <c r="A525" s="916"/>
      <c r="B525" s="1124"/>
      <c r="C525" s="1128"/>
      <c r="D525" s="1126"/>
      <c r="E525" s="1126"/>
      <c r="F525" s="1132"/>
      <c r="G525" s="100"/>
      <c r="H525" s="824"/>
      <c r="I525" s="1126"/>
      <c r="J525" s="1135"/>
      <c r="K525" s="1135"/>
      <c r="L525" s="916"/>
    </row>
    <row r="526" spans="1:12" s="103" customFormat="1" ht="15.75" hidden="1" customHeight="1" outlineLevel="1">
      <c r="A526" s="916"/>
      <c r="B526" s="1123">
        <v>172</v>
      </c>
      <c r="C526" s="1127"/>
      <c r="D526" s="1125"/>
      <c r="E526" s="1125" t="s">
        <v>18</v>
      </c>
      <c r="F526" s="1130" t="str">
        <f>VLOOKUP(E526,$N$13:$O$17,2,0)</f>
        <v>-</v>
      </c>
      <c r="G526" s="92"/>
      <c r="H526" s="823"/>
      <c r="I526" s="1125"/>
      <c r="J526" s="1133"/>
      <c r="K526" s="1133"/>
      <c r="L526" s="916"/>
    </row>
    <row r="527" spans="1:12" s="103" customFormat="1" ht="15.75" hidden="1" customHeight="1" outlineLevel="1">
      <c r="A527" s="916"/>
      <c r="B527" s="1123"/>
      <c r="C527" s="1127"/>
      <c r="D527" s="1125"/>
      <c r="E527" s="1125"/>
      <c r="F527" s="1130"/>
      <c r="G527" s="95"/>
      <c r="H527" s="823"/>
      <c r="I527" s="1125"/>
      <c r="J527" s="1134"/>
      <c r="K527" s="1134"/>
      <c r="L527" s="916"/>
    </row>
    <row r="528" spans="1:12" s="103" customFormat="1" ht="15.75" hidden="1" customHeight="1" outlineLevel="1">
      <c r="A528" s="916"/>
      <c r="B528" s="1124"/>
      <c r="C528" s="1128"/>
      <c r="D528" s="1126"/>
      <c r="E528" s="1126"/>
      <c r="F528" s="1132"/>
      <c r="G528" s="100"/>
      <c r="H528" s="824"/>
      <c r="I528" s="1126"/>
      <c r="J528" s="1135"/>
      <c r="K528" s="1135"/>
      <c r="L528" s="916"/>
    </row>
    <row r="529" spans="1:12" s="103" customFormat="1" ht="15.75" hidden="1" customHeight="1" outlineLevel="1">
      <c r="A529" s="916"/>
      <c r="B529" s="1123">
        <v>173</v>
      </c>
      <c r="C529" s="1127"/>
      <c r="D529" s="1125"/>
      <c r="E529" s="1125" t="s">
        <v>18</v>
      </c>
      <c r="F529" s="1130" t="str">
        <f>VLOOKUP(E529,$N$13:$O$17,2,0)</f>
        <v>-</v>
      </c>
      <c r="G529" s="92"/>
      <c r="H529" s="823"/>
      <c r="I529" s="1125"/>
      <c r="J529" s="1133"/>
      <c r="K529" s="1133"/>
      <c r="L529" s="916"/>
    </row>
    <row r="530" spans="1:12" s="103" customFormat="1" ht="15.75" hidden="1" customHeight="1" outlineLevel="1">
      <c r="A530" s="916"/>
      <c r="B530" s="1123"/>
      <c r="C530" s="1127"/>
      <c r="D530" s="1125"/>
      <c r="E530" s="1125"/>
      <c r="F530" s="1130"/>
      <c r="G530" s="95"/>
      <c r="H530" s="823"/>
      <c r="I530" s="1125"/>
      <c r="J530" s="1134"/>
      <c r="K530" s="1134"/>
      <c r="L530" s="916"/>
    </row>
    <row r="531" spans="1:12" s="103" customFormat="1" ht="15.75" hidden="1" customHeight="1" outlineLevel="1">
      <c r="A531" s="916"/>
      <c r="B531" s="1124"/>
      <c r="C531" s="1128"/>
      <c r="D531" s="1126"/>
      <c r="E531" s="1126"/>
      <c r="F531" s="1132"/>
      <c r="G531" s="100"/>
      <c r="H531" s="824"/>
      <c r="I531" s="1126"/>
      <c r="J531" s="1135"/>
      <c r="K531" s="1135"/>
      <c r="L531" s="916"/>
    </row>
    <row r="532" spans="1:12" s="103" customFormat="1" ht="15.75" hidden="1" customHeight="1" outlineLevel="1">
      <c r="A532" s="916"/>
      <c r="B532" s="1123">
        <v>174</v>
      </c>
      <c r="C532" s="1127"/>
      <c r="D532" s="1125"/>
      <c r="E532" s="1125" t="s">
        <v>18</v>
      </c>
      <c r="F532" s="1130" t="str">
        <f>VLOOKUP(E532,$N$13:$O$17,2,0)</f>
        <v>-</v>
      </c>
      <c r="G532" s="92"/>
      <c r="H532" s="823"/>
      <c r="I532" s="1125"/>
      <c r="J532" s="1133"/>
      <c r="K532" s="1133"/>
      <c r="L532" s="916"/>
    </row>
    <row r="533" spans="1:12" s="103" customFormat="1" ht="15.75" hidden="1" customHeight="1" outlineLevel="1">
      <c r="A533" s="916"/>
      <c r="B533" s="1123"/>
      <c r="C533" s="1127"/>
      <c r="D533" s="1125"/>
      <c r="E533" s="1125"/>
      <c r="F533" s="1130"/>
      <c r="G533" s="95"/>
      <c r="H533" s="823"/>
      <c r="I533" s="1125"/>
      <c r="J533" s="1134"/>
      <c r="K533" s="1134"/>
      <c r="L533" s="916"/>
    </row>
    <row r="534" spans="1:12" s="103" customFormat="1" ht="15.75" hidden="1" customHeight="1" outlineLevel="1">
      <c r="A534" s="916"/>
      <c r="B534" s="1124"/>
      <c r="C534" s="1128"/>
      <c r="D534" s="1126"/>
      <c r="E534" s="1126"/>
      <c r="F534" s="1132"/>
      <c r="G534" s="100"/>
      <c r="H534" s="824"/>
      <c r="I534" s="1126"/>
      <c r="J534" s="1135"/>
      <c r="K534" s="1135"/>
      <c r="L534" s="916"/>
    </row>
    <row r="535" spans="1:12" s="103" customFormat="1" ht="15.75" hidden="1" customHeight="1" outlineLevel="1">
      <c r="A535" s="916"/>
      <c r="B535" s="1123">
        <v>175</v>
      </c>
      <c r="C535" s="1127"/>
      <c r="D535" s="1125"/>
      <c r="E535" s="1125" t="s">
        <v>18</v>
      </c>
      <c r="F535" s="1130" t="str">
        <f>VLOOKUP(E535,$N$13:$O$17,2,0)</f>
        <v>-</v>
      </c>
      <c r="G535" s="92"/>
      <c r="H535" s="823"/>
      <c r="I535" s="1125"/>
      <c r="J535" s="1133"/>
      <c r="K535" s="1133"/>
      <c r="L535" s="916"/>
    </row>
    <row r="536" spans="1:12" s="103" customFormat="1" ht="15.75" hidden="1" customHeight="1" outlineLevel="1">
      <c r="A536" s="916"/>
      <c r="B536" s="1123"/>
      <c r="C536" s="1127"/>
      <c r="D536" s="1125"/>
      <c r="E536" s="1125"/>
      <c r="F536" s="1130"/>
      <c r="G536" s="95"/>
      <c r="H536" s="823"/>
      <c r="I536" s="1125"/>
      <c r="J536" s="1134"/>
      <c r="K536" s="1134"/>
      <c r="L536" s="916"/>
    </row>
    <row r="537" spans="1:12" s="103" customFormat="1" ht="15.75" hidden="1" customHeight="1" outlineLevel="1">
      <c r="A537" s="916"/>
      <c r="B537" s="1124"/>
      <c r="C537" s="1128"/>
      <c r="D537" s="1126"/>
      <c r="E537" s="1126"/>
      <c r="F537" s="1132"/>
      <c r="G537" s="100"/>
      <c r="H537" s="824"/>
      <c r="I537" s="1126"/>
      <c r="J537" s="1135"/>
      <c r="K537" s="1135"/>
      <c r="L537" s="916"/>
    </row>
    <row r="538" spans="1:12" s="103" customFormat="1" ht="15.75" hidden="1" customHeight="1" outlineLevel="1">
      <c r="A538" s="916"/>
      <c r="B538" s="1123">
        <v>176</v>
      </c>
      <c r="C538" s="1127"/>
      <c r="D538" s="1125"/>
      <c r="E538" s="1125" t="s">
        <v>18</v>
      </c>
      <c r="F538" s="1130" t="str">
        <f>VLOOKUP(E538,$N$13:$O$17,2,0)</f>
        <v>-</v>
      </c>
      <c r="G538" s="92"/>
      <c r="H538" s="823"/>
      <c r="I538" s="1125"/>
      <c r="J538" s="1133"/>
      <c r="K538" s="1133"/>
      <c r="L538" s="916"/>
    </row>
    <row r="539" spans="1:12" s="103" customFormat="1" ht="15.75" hidden="1" customHeight="1" outlineLevel="1">
      <c r="A539" s="916"/>
      <c r="B539" s="1123"/>
      <c r="C539" s="1127"/>
      <c r="D539" s="1125"/>
      <c r="E539" s="1125"/>
      <c r="F539" s="1130"/>
      <c r="G539" s="95"/>
      <c r="H539" s="823"/>
      <c r="I539" s="1125"/>
      <c r="J539" s="1134"/>
      <c r="K539" s="1134"/>
      <c r="L539" s="916"/>
    </row>
    <row r="540" spans="1:12" s="103" customFormat="1" ht="15.75" hidden="1" customHeight="1" outlineLevel="1">
      <c r="A540" s="916"/>
      <c r="B540" s="1124"/>
      <c r="C540" s="1128"/>
      <c r="D540" s="1126"/>
      <c r="E540" s="1126"/>
      <c r="F540" s="1132"/>
      <c r="G540" s="100"/>
      <c r="H540" s="824"/>
      <c r="I540" s="1126"/>
      <c r="J540" s="1135"/>
      <c r="K540" s="1135"/>
      <c r="L540" s="916"/>
    </row>
    <row r="541" spans="1:12" s="103" customFormat="1" ht="15.75" hidden="1" customHeight="1" outlineLevel="1">
      <c r="A541" s="916"/>
      <c r="B541" s="1123">
        <v>177</v>
      </c>
      <c r="C541" s="1127"/>
      <c r="D541" s="1125"/>
      <c r="E541" s="1125" t="s">
        <v>18</v>
      </c>
      <c r="F541" s="1130" t="str">
        <f>VLOOKUP(E541,$N$13:$O$17,2,0)</f>
        <v>-</v>
      </c>
      <c r="G541" s="92"/>
      <c r="H541" s="823"/>
      <c r="I541" s="1125"/>
      <c r="J541" s="1133"/>
      <c r="K541" s="1133"/>
      <c r="L541" s="916"/>
    </row>
    <row r="542" spans="1:12" s="103" customFormat="1" ht="15.75" hidden="1" customHeight="1" outlineLevel="1">
      <c r="A542" s="916"/>
      <c r="B542" s="1123"/>
      <c r="C542" s="1127"/>
      <c r="D542" s="1125"/>
      <c r="E542" s="1125"/>
      <c r="F542" s="1130"/>
      <c r="G542" s="95"/>
      <c r="H542" s="823"/>
      <c r="I542" s="1125"/>
      <c r="J542" s="1134"/>
      <c r="K542" s="1134"/>
      <c r="L542" s="916"/>
    </row>
    <row r="543" spans="1:12" s="103" customFormat="1" ht="15.75" hidden="1" customHeight="1" outlineLevel="1">
      <c r="A543" s="916"/>
      <c r="B543" s="1124"/>
      <c r="C543" s="1128"/>
      <c r="D543" s="1126"/>
      <c r="E543" s="1126"/>
      <c r="F543" s="1132"/>
      <c r="G543" s="100"/>
      <c r="H543" s="824"/>
      <c r="I543" s="1126"/>
      <c r="J543" s="1135"/>
      <c r="K543" s="1135"/>
      <c r="L543" s="916"/>
    </row>
    <row r="544" spans="1:12" s="103" customFormat="1" ht="15.75" hidden="1" customHeight="1" outlineLevel="1">
      <c r="A544" s="916"/>
      <c r="B544" s="1123">
        <v>178</v>
      </c>
      <c r="C544" s="1127"/>
      <c r="D544" s="1125"/>
      <c r="E544" s="1125" t="s">
        <v>18</v>
      </c>
      <c r="F544" s="1130" t="str">
        <f>VLOOKUP(E544,$N$13:$O$17,2,0)</f>
        <v>-</v>
      </c>
      <c r="G544" s="92"/>
      <c r="H544" s="823"/>
      <c r="I544" s="1125"/>
      <c r="J544" s="1133"/>
      <c r="K544" s="1133"/>
      <c r="L544" s="916"/>
    </row>
    <row r="545" spans="1:12" s="103" customFormat="1" ht="15.75" hidden="1" customHeight="1" outlineLevel="1">
      <c r="A545" s="916"/>
      <c r="B545" s="1123"/>
      <c r="C545" s="1127"/>
      <c r="D545" s="1125"/>
      <c r="E545" s="1125"/>
      <c r="F545" s="1130"/>
      <c r="G545" s="95"/>
      <c r="H545" s="823"/>
      <c r="I545" s="1125"/>
      <c r="J545" s="1134"/>
      <c r="K545" s="1134"/>
      <c r="L545" s="916"/>
    </row>
    <row r="546" spans="1:12" s="103" customFormat="1" ht="15.75" hidden="1" customHeight="1" outlineLevel="1">
      <c r="A546" s="916"/>
      <c r="B546" s="1124"/>
      <c r="C546" s="1128"/>
      <c r="D546" s="1126"/>
      <c r="E546" s="1126"/>
      <c r="F546" s="1132"/>
      <c r="G546" s="100"/>
      <c r="H546" s="824"/>
      <c r="I546" s="1126"/>
      <c r="J546" s="1135"/>
      <c r="K546" s="1135"/>
      <c r="L546" s="916"/>
    </row>
    <row r="547" spans="1:12" s="103" customFormat="1" ht="15.75" hidden="1" customHeight="1" outlineLevel="1">
      <c r="A547" s="916"/>
      <c r="B547" s="1123">
        <v>179</v>
      </c>
      <c r="C547" s="1127"/>
      <c r="D547" s="1125"/>
      <c r="E547" s="1125" t="s">
        <v>18</v>
      </c>
      <c r="F547" s="1130" t="str">
        <f>VLOOKUP(E547,$N$13:$O$17,2,0)</f>
        <v>-</v>
      </c>
      <c r="G547" s="92"/>
      <c r="H547" s="823"/>
      <c r="I547" s="1125"/>
      <c r="J547" s="1133"/>
      <c r="K547" s="1133"/>
      <c r="L547" s="916"/>
    </row>
    <row r="548" spans="1:12" s="103" customFormat="1" ht="15.75" hidden="1" customHeight="1" outlineLevel="1">
      <c r="A548" s="916"/>
      <c r="B548" s="1123"/>
      <c r="C548" s="1127"/>
      <c r="D548" s="1125"/>
      <c r="E548" s="1125"/>
      <c r="F548" s="1130"/>
      <c r="G548" s="95"/>
      <c r="H548" s="823"/>
      <c r="I548" s="1125"/>
      <c r="J548" s="1134"/>
      <c r="K548" s="1134"/>
      <c r="L548" s="916"/>
    </row>
    <row r="549" spans="1:12" s="103" customFormat="1" ht="15.75" hidden="1" customHeight="1" outlineLevel="1">
      <c r="A549" s="916"/>
      <c r="B549" s="1124"/>
      <c r="C549" s="1128"/>
      <c r="D549" s="1126"/>
      <c r="E549" s="1126"/>
      <c r="F549" s="1132"/>
      <c r="G549" s="100"/>
      <c r="H549" s="824"/>
      <c r="I549" s="1126"/>
      <c r="J549" s="1135"/>
      <c r="K549" s="1135"/>
      <c r="L549" s="916"/>
    </row>
    <row r="550" spans="1:12" s="103" customFormat="1" ht="15.75" hidden="1" customHeight="1" outlineLevel="1">
      <c r="A550" s="916"/>
      <c r="B550" s="1123">
        <v>180</v>
      </c>
      <c r="C550" s="1127"/>
      <c r="D550" s="1125"/>
      <c r="E550" s="1125" t="s">
        <v>18</v>
      </c>
      <c r="F550" s="1130" t="str">
        <f>VLOOKUP(E550,$N$13:$O$17,2,0)</f>
        <v>-</v>
      </c>
      <c r="G550" s="92"/>
      <c r="H550" s="823"/>
      <c r="I550" s="1125"/>
      <c r="J550" s="1133"/>
      <c r="K550" s="1133"/>
      <c r="L550" s="916"/>
    </row>
    <row r="551" spans="1:12" s="103" customFormat="1" ht="15.75" hidden="1" customHeight="1" outlineLevel="1">
      <c r="A551" s="916"/>
      <c r="B551" s="1123"/>
      <c r="C551" s="1127"/>
      <c r="D551" s="1125"/>
      <c r="E551" s="1125"/>
      <c r="F551" s="1130"/>
      <c r="G551" s="95"/>
      <c r="H551" s="823"/>
      <c r="I551" s="1125"/>
      <c r="J551" s="1134"/>
      <c r="K551" s="1134"/>
      <c r="L551" s="916"/>
    </row>
    <row r="552" spans="1:12" s="103" customFormat="1" ht="15.75" hidden="1" customHeight="1" outlineLevel="1">
      <c r="A552" s="916"/>
      <c r="B552" s="1124"/>
      <c r="C552" s="1128"/>
      <c r="D552" s="1126"/>
      <c r="E552" s="1126"/>
      <c r="F552" s="1132"/>
      <c r="G552" s="100"/>
      <c r="H552" s="824"/>
      <c r="I552" s="1126"/>
      <c r="J552" s="1135"/>
      <c r="K552" s="1135"/>
      <c r="L552" s="916"/>
    </row>
    <row r="553" spans="1:12" s="103" customFormat="1" ht="15.75" hidden="1" customHeight="1" outlineLevel="1">
      <c r="A553" s="916"/>
      <c r="B553" s="1123">
        <v>181</v>
      </c>
      <c r="C553" s="1127"/>
      <c r="D553" s="1125"/>
      <c r="E553" s="1125" t="s">
        <v>18</v>
      </c>
      <c r="F553" s="1130" t="str">
        <f>VLOOKUP(E553,$N$13:$O$17,2,0)</f>
        <v>-</v>
      </c>
      <c r="G553" s="92"/>
      <c r="H553" s="823"/>
      <c r="I553" s="1125"/>
      <c r="J553" s="1133"/>
      <c r="K553" s="1133"/>
      <c r="L553" s="916"/>
    </row>
    <row r="554" spans="1:12" s="103" customFormat="1" ht="15.75" hidden="1" customHeight="1" outlineLevel="1">
      <c r="A554" s="916"/>
      <c r="B554" s="1123"/>
      <c r="C554" s="1127"/>
      <c r="D554" s="1125"/>
      <c r="E554" s="1125"/>
      <c r="F554" s="1130"/>
      <c r="G554" s="95"/>
      <c r="H554" s="823"/>
      <c r="I554" s="1125"/>
      <c r="J554" s="1134"/>
      <c r="K554" s="1134"/>
      <c r="L554" s="916"/>
    </row>
    <row r="555" spans="1:12" s="103" customFormat="1" ht="15.75" hidden="1" customHeight="1" outlineLevel="1">
      <c r="A555" s="916"/>
      <c r="B555" s="1124"/>
      <c r="C555" s="1128"/>
      <c r="D555" s="1126"/>
      <c r="E555" s="1126"/>
      <c r="F555" s="1132"/>
      <c r="G555" s="100"/>
      <c r="H555" s="824"/>
      <c r="I555" s="1126"/>
      <c r="J555" s="1135"/>
      <c r="K555" s="1135"/>
      <c r="L555" s="916"/>
    </row>
    <row r="556" spans="1:12" s="103" customFormat="1" ht="15.75" hidden="1" customHeight="1" outlineLevel="1">
      <c r="A556" s="916"/>
      <c r="B556" s="1123">
        <v>182</v>
      </c>
      <c r="C556" s="1127"/>
      <c r="D556" s="1125"/>
      <c r="E556" s="1125" t="s">
        <v>18</v>
      </c>
      <c r="F556" s="1130" t="str">
        <f>VLOOKUP(E556,$N$13:$O$17,2,0)</f>
        <v>-</v>
      </c>
      <c r="G556" s="92"/>
      <c r="H556" s="823"/>
      <c r="I556" s="1125"/>
      <c r="J556" s="1133"/>
      <c r="K556" s="1133"/>
      <c r="L556" s="916"/>
    </row>
    <row r="557" spans="1:12" s="103" customFormat="1" ht="15.75" hidden="1" customHeight="1" outlineLevel="1">
      <c r="A557" s="916"/>
      <c r="B557" s="1123"/>
      <c r="C557" s="1127"/>
      <c r="D557" s="1125"/>
      <c r="E557" s="1125"/>
      <c r="F557" s="1130"/>
      <c r="G557" s="95"/>
      <c r="H557" s="823"/>
      <c r="I557" s="1125"/>
      <c r="J557" s="1134"/>
      <c r="K557" s="1134"/>
      <c r="L557" s="916"/>
    </row>
    <row r="558" spans="1:12" s="103" customFormat="1" ht="15.75" hidden="1" customHeight="1" outlineLevel="1">
      <c r="A558" s="916"/>
      <c r="B558" s="1124"/>
      <c r="C558" s="1128"/>
      <c r="D558" s="1126"/>
      <c r="E558" s="1126"/>
      <c r="F558" s="1132"/>
      <c r="G558" s="100"/>
      <c r="H558" s="824"/>
      <c r="I558" s="1126"/>
      <c r="J558" s="1135"/>
      <c r="K558" s="1135"/>
      <c r="L558" s="916"/>
    </row>
    <row r="559" spans="1:12" s="103" customFormat="1" ht="15.75" hidden="1" customHeight="1" outlineLevel="1">
      <c r="A559" s="916"/>
      <c r="B559" s="1123">
        <v>183</v>
      </c>
      <c r="C559" s="1127"/>
      <c r="D559" s="1125"/>
      <c r="E559" s="1125" t="s">
        <v>18</v>
      </c>
      <c r="F559" s="1130" t="str">
        <f>VLOOKUP(E559,$N$13:$O$17,2,0)</f>
        <v>-</v>
      </c>
      <c r="G559" s="92"/>
      <c r="H559" s="823"/>
      <c r="I559" s="1125"/>
      <c r="J559" s="1133"/>
      <c r="K559" s="1133"/>
      <c r="L559" s="916"/>
    </row>
    <row r="560" spans="1:12" s="103" customFormat="1" ht="15.75" hidden="1" customHeight="1" outlineLevel="1">
      <c r="A560" s="916"/>
      <c r="B560" s="1123"/>
      <c r="C560" s="1127"/>
      <c r="D560" s="1125"/>
      <c r="E560" s="1125"/>
      <c r="F560" s="1130"/>
      <c r="G560" s="95"/>
      <c r="H560" s="823"/>
      <c r="I560" s="1125"/>
      <c r="J560" s="1134"/>
      <c r="K560" s="1134"/>
      <c r="L560" s="916"/>
    </row>
    <row r="561" spans="1:12" s="103" customFormat="1" ht="15.75" hidden="1" customHeight="1" outlineLevel="1">
      <c r="A561" s="916"/>
      <c r="B561" s="1124"/>
      <c r="C561" s="1128"/>
      <c r="D561" s="1126"/>
      <c r="E561" s="1126"/>
      <c r="F561" s="1132"/>
      <c r="G561" s="100"/>
      <c r="H561" s="824"/>
      <c r="I561" s="1126"/>
      <c r="J561" s="1135"/>
      <c r="K561" s="1135"/>
      <c r="L561" s="916"/>
    </row>
    <row r="562" spans="1:12" s="103" customFormat="1" ht="15.75" hidden="1" customHeight="1" outlineLevel="1">
      <c r="A562" s="916"/>
      <c r="B562" s="1123">
        <v>184</v>
      </c>
      <c r="C562" s="1127"/>
      <c r="D562" s="1125"/>
      <c r="E562" s="1125" t="s">
        <v>18</v>
      </c>
      <c r="F562" s="1130" t="str">
        <f>VLOOKUP(E562,$N$13:$O$17,2,0)</f>
        <v>-</v>
      </c>
      <c r="G562" s="92"/>
      <c r="H562" s="823"/>
      <c r="I562" s="1125"/>
      <c r="J562" s="1133"/>
      <c r="K562" s="1133"/>
      <c r="L562" s="916"/>
    </row>
    <row r="563" spans="1:12" s="103" customFormat="1" ht="15.75" hidden="1" customHeight="1" outlineLevel="1">
      <c r="A563" s="916"/>
      <c r="B563" s="1123"/>
      <c r="C563" s="1127"/>
      <c r="D563" s="1125"/>
      <c r="E563" s="1125"/>
      <c r="F563" s="1130"/>
      <c r="G563" s="95"/>
      <c r="H563" s="823"/>
      <c r="I563" s="1125"/>
      <c r="J563" s="1134"/>
      <c r="K563" s="1134"/>
      <c r="L563" s="916"/>
    </row>
    <row r="564" spans="1:12" s="103" customFormat="1" ht="15.75" hidden="1" customHeight="1" outlineLevel="1">
      <c r="A564" s="916"/>
      <c r="B564" s="1124"/>
      <c r="C564" s="1128"/>
      <c r="D564" s="1126"/>
      <c r="E564" s="1126"/>
      <c r="F564" s="1132"/>
      <c r="G564" s="100"/>
      <c r="H564" s="824"/>
      <c r="I564" s="1126"/>
      <c r="J564" s="1135"/>
      <c r="K564" s="1135"/>
      <c r="L564" s="916"/>
    </row>
    <row r="565" spans="1:12" s="103" customFormat="1" ht="15.75" hidden="1" customHeight="1" outlineLevel="1">
      <c r="A565" s="916"/>
      <c r="B565" s="1123">
        <v>185</v>
      </c>
      <c r="C565" s="1127"/>
      <c r="D565" s="1125"/>
      <c r="E565" s="1125" t="s">
        <v>18</v>
      </c>
      <c r="F565" s="1130" t="str">
        <f>VLOOKUP(E565,$N$13:$O$17,2,0)</f>
        <v>-</v>
      </c>
      <c r="G565" s="92"/>
      <c r="H565" s="823"/>
      <c r="I565" s="1125"/>
      <c r="J565" s="1133"/>
      <c r="K565" s="1133"/>
      <c r="L565" s="916"/>
    </row>
    <row r="566" spans="1:12" s="103" customFormat="1" ht="15.75" hidden="1" customHeight="1" outlineLevel="1">
      <c r="A566" s="916"/>
      <c r="B566" s="1123"/>
      <c r="C566" s="1127"/>
      <c r="D566" s="1125"/>
      <c r="E566" s="1125"/>
      <c r="F566" s="1130"/>
      <c r="G566" s="95"/>
      <c r="H566" s="823"/>
      <c r="I566" s="1125"/>
      <c r="J566" s="1134"/>
      <c r="K566" s="1134"/>
      <c r="L566" s="916"/>
    </row>
    <row r="567" spans="1:12" s="103" customFormat="1" ht="15.75" hidden="1" customHeight="1" outlineLevel="1">
      <c r="A567" s="916"/>
      <c r="B567" s="1124"/>
      <c r="C567" s="1128"/>
      <c r="D567" s="1126"/>
      <c r="E567" s="1126"/>
      <c r="F567" s="1132"/>
      <c r="G567" s="100"/>
      <c r="H567" s="824"/>
      <c r="I567" s="1126"/>
      <c r="J567" s="1135"/>
      <c r="K567" s="1135"/>
      <c r="L567" s="916"/>
    </row>
    <row r="568" spans="1:12" s="103" customFormat="1" ht="15.75" hidden="1" customHeight="1" outlineLevel="1">
      <c r="A568" s="916"/>
      <c r="B568" s="1123">
        <v>186</v>
      </c>
      <c r="C568" s="1127"/>
      <c r="D568" s="1125"/>
      <c r="E568" s="1125" t="s">
        <v>18</v>
      </c>
      <c r="F568" s="1130" t="str">
        <f>VLOOKUP(E568,$N$13:$O$17,2,0)</f>
        <v>-</v>
      </c>
      <c r="G568" s="92"/>
      <c r="H568" s="823"/>
      <c r="I568" s="1125"/>
      <c r="J568" s="1133"/>
      <c r="K568" s="1133"/>
      <c r="L568" s="916"/>
    </row>
    <row r="569" spans="1:12" s="103" customFormat="1" ht="15.75" hidden="1" customHeight="1" outlineLevel="1">
      <c r="A569" s="916"/>
      <c r="B569" s="1123"/>
      <c r="C569" s="1127"/>
      <c r="D569" s="1125"/>
      <c r="E569" s="1125"/>
      <c r="F569" s="1130"/>
      <c r="G569" s="95"/>
      <c r="H569" s="823"/>
      <c r="I569" s="1125"/>
      <c r="J569" s="1134"/>
      <c r="K569" s="1134"/>
      <c r="L569" s="916"/>
    </row>
    <row r="570" spans="1:12" s="103" customFormat="1" ht="15.75" hidden="1" customHeight="1" outlineLevel="1">
      <c r="A570" s="916"/>
      <c r="B570" s="1124"/>
      <c r="C570" s="1128"/>
      <c r="D570" s="1126"/>
      <c r="E570" s="1126"/>
      <c r="F570" s="1132"/>
      <c r="G570" s="100"/>
      <c r="H570" s="824"/>
      <c r="I570" s="1126"/>
      <c r="J570" s="1135"/>
      <c r="K570" s="1135"/>
      <c r="L570" s="916"/>
    </row>
    <row r="571" spans="1:12" s="103" customFormat="1" ht="15.75" hidden="1" customHeight="1" outlineLevel="1">
      <c r="A571" s="916"/>
      <c r="B571" s="1123">
        <v>187</v>
      </c>
      <c r="C571" s="1127"/>
      <c r="D571" s="1125"/>
      <c r="E571" s="1125" t="s">
        <v>18</v>
      </c>
      <c r="F571" s="1130" t="str">
        <f>VLOOKUP(E571,$N$13:$O$17,2,0)</f>
        <v>-</v>
      </c>
      <c r="G571" s="92"/>
      <c r="H571" s="823"/>
      <c r="I571" s="1125"/>
      <c r="J571" s="1133"/>
      <c r="K571" s="1133"/>
      <c r="L571" s="916"/>
    </row>
    <row r="572" spans="1:12" s="103" customFormat="1" ht="15.75" hidden="1" customHeight="1" outlineLevel="1">
      <c r="A572" s="916"/>
      <c r="B572" s="1123"/>
      <c r="C572" s="1127"/>
      <c r="D572" s="1125"/>
      <c r="E572" s="1125"/>
      <c r="F572" s="1130"/>
      <c r="G572" s="95"/>
      <c r="H572" s="823"/>
      <c r="I572" s="1125"/>
      <c r="J572" s="1134"/>
      <c r="K572" s="1134"/>
      <c r="L572" s="916"/>
    </row>
    <row r="573" spans="1:12" s="103" customFormat="1" ht="15.75" hidden="1" customHeight="1" outlineLevel="1">
      <c r="A573" s="916"/>
      <c r="B573" s="1124"/>
      <c r="C573" s="1128"/>
      <c r="D573" s="1126"/>
      <c r="E573" s="1126"/>
      <c r="F573" s="1132"/>
      <c r="G573" s="100"/>
      <c r="H573" s="824"/>
      <c r="I573" s="1126"/>
      <c r="J573" s="1135"/>
      <c r="K573" s="1135"/>
      <c r="L573" s="916"/>
    </row>
    <row r="574" spans="1:12" s="103" customFormat="1" ht="15.75" hidden="1" customHeight="1" outlineLevel="1">
      <c r="A574" s="916"/>
      <c r="B574" s="1123">
        <v>188</v>
      </c>
      <c r="C574" s="1127"/>
      <c r="D574" s="1125"/>
      <c r="E574" s="1125" t="s">
        <v>18</v>
      </c>
      <c r="F574" s="1130" t="str">
        <f>VLOOKUP(E574,$N$13:$O$17,2,0)</f>
        <v>-</v>
      </c>
      <c r="G574" s="92"/>
      <c r="H574" s="823"/>
      <c r="I574" s="1125"/>
      <c r="J574" s="1133"/>
      <c r="K574" s="1133"/>
      <c r="L574" s="916"/>
    </row>
    <row r="575" spans="1:12" s="103" customFormat="1" ht="15.75" hidden="1" customHeight="1" outlineLevel="1">
      <c r="A575" s="916"/>
      <c r="B575" s="1123"/>
      <c r="C575" s="1127"/>
      <c r="D575" s="1125"/>
      <c r="E575" s="1125"/>
      <c r="F575" s="1130"/>
      <c r="G575" s="95"/>
      <c r="H575" s="823"/>
      <c r="I575" s="1125"/>
      <c r="J575" s="1134"/>
      <c r="K575" s="1134"/>
      <c r="L575" s="916"/>
    </row>
    <row r="576" spans="1:12" s="103" customFormat="1" ht="15.75" hidden="1" customHeight="1" outlineLevel="1">
      <c r="A576" s="916"/>
      <c r="B576" s="1124"/>
      <c r="C576" s="1128"/>
      <c r="D576" s="1126"/>
      <c r="E576" s="1126"/>
      <c r="F576" s="1132"/>
      <c r="G576" s="100"/>
      <c r="H576" s="824"/>
      <c r="I576" s="1126"/>
      <c r="J576" s="1135"/>
      <c r="K576" s="1135"/>
      <c r="L576" s="916"/>
    </row>
    <row r="577" spans="1:12" s="103" customFormat="1" ht="15.75" hidden="1" customHeight="1" outlineLevel="1">
      <c r="A577" s="916"/>
      <c r="B577" s="1123">
        <v>189</v>
      </c>
      <c r="C577" s="1127"/>
      <c r="D577" s="1125"/>
      <c r="E577" s="1125" t="s">
        <v>18</v>
      </c>
      <c r="F577" s="1130" t="str">
        <f>VLOOKUP(E577,$N$13:$O$17,2,0)</f>
        <v>-</v>
      </c>
      <c r="G577" s="92"/>
      <c r="H577" s="823"/>
      <c r="I577" s="1125"/>
      <c r="J577" s="1133"/>
      <c r="K577" s="1133"/>
      <c r="L577" s="916"/>
    </row>
    <row r="578" spans="1:12" s="103" customFormat="1" ht="15.75" hidden="1" customHeight="1" outlineLevel="1">
      <c r="A578" s="916"/>
      <c r="B578" s="1123"/>
      <c r="C578" s="1127"/>
      <c r="D578" s="1125"/>
      <c r="E578" s="1125"/>
      <c r="F578" s="1130"/>
      <c r="G578" s="95"/>
      <c r="H578" s="823"/>
      <c r="I578" s="1125"/>
      <c r="J578" s="1134"/>
      <c r="K578" s="1134"/>
      <c r="L578" s="916"/>
    </row>
    <row r="579" spans="1:12" s="103" customFormat="1" ht="15.75" hidden="1" customHeight="1" outlineLevel="1">
      <c r="A579" s="916"/>
      <c r="B579" s="1124"/>
      <c r="C579" s="1128"/>
      <c r="D579" s="1126"/>
      <c r="E579" s="1126"/>
      <c r="F579" s="1132"/>
      <c r="G579" s="100"/>
      <c r="H579" s="824"/>
      <c r="I579" s="1126"/>
      <c r="J579" s="1135"/>
      <c r="K579" s="1135"/>
      <c r="L579" s="916"/>
    </row>
    <row r="580" spans="1:12" s="103" customFormat="1" ht="15.75" hidden="1" customHeight="1" outlineLevel="1">
      <c r="A580" s="916"/>
      <c r="B580" s="1123">
        <v>190</v>
      </c>
      <c r="C580" s="1127"/>
      <c r="D580" s="1125"/>
      <c r="E580" s="1125" t="s">
        <v>18</v>
      </c>
      <c r="F580" s="1130" t="str">
        <f>VLOOKUP(E580,$N$13:$O$17,2,0)</f>
        <v>-</v>
      </c>
      <c r="G580" s="92"/>
      <c r="H580" s="823"/>
      <c r="I580" s="1125"/>
      <c r="J580" s="1133"/>
      <c r="K580" s="1133"/>
      <c r="L580" s="916"/>
    </row>
    <row r="581" spans="1:12" s="103" customFormat="1" ht="15.75" hidden="1" customHeight="1" outlineLevel="1">
      <c r="A581" s="916"/>
      <c r="B581" s="1123"/>
      <c r="C581" s="1127"/>
      <c r="D581" s="1125"/>
      <c r="E581" s="1125"/>
      <c r="F581" s="1130"/>
      <c r="G581" s="95"/>
      <c r="H581" s="823"/>
      <c r="I581" s="1125"/>
      <c r="J581" s="1134"/>
      <c r="K581" s="1134"/>
      <c r="L581" s="916"/>
    </row>
    <row r="582" spans="1:12" s="103" customFormat="1" ht="15.75" hidden="1" customHeight="1" outlineLevel="1">
      <c r="A582" s="916"/>
      <c r="B582" s="1124"/>
      <c r="C582" s="1128"/>
      <c r="D582" s="1126"/>
      <c r="E582" s="1126"/>
      <c r="F582" s="1132"/>
      <c r="G582" s="100"/>
      <c r="H582" s="824"/>
      <c r="I582" s="1126"/>
      <c r="J582" s="1135"/>
      <c r="K582" s="1135"/>
      <c r="L582" s="916"/>
    </row>
    <row r="583" spans="1:12" s="103" customFormat="1" ht="15.75" hidden="1" customHeight="1" outlineLevel="1">
      <c r="A583" s="916"/>
      <c r="B583" s="1123">
        <v>191</v>
      </c>
      <c r="C583" s="1127"/>
      <c r="D583" s="1125"/>
      <c r="E583" s="1125" t="s">
        <v>18</v>
      </c>
      <c r="F583" s="1130" t="str">
        <f>VLOOKUP(E583,$N$13:$O$17,2,0)</f>
        <v>-</v>
      </c>
      <c r="G583" s="92"/>
      <c r="H583" s="823"/>
      <c r="I583" s="1125"/>
      <c r="J583" s="1133"/>
      <c r="K583" s="1133"/>
      <c r="L583" s="916"/>
    </row>
    <row r="584" spans="1:12" s="103" customFormat="1" ht="15.75" hidden="1" customHeight="1" outlineLevel="1">
      <c r="A584" s="916"/>
      <c r="B584" s="1123"/>
      <c r="C584" s="1127"/>
      <c r="D584" s="1125"/>
      <c r="E584" s="1125"/>
      <c r="F584" s="1130"/>
      <c r="G584" s="95"/>
      <c r="H584" s="823"/>
      <c r="I584" s="1125"/>
      <c r="J584" s="1134"/>
      <c r="K584" s="1134"/>
      <c r="L584" s="916"/>
    </row>
    <row r="585" spans="1:12" s="103" customFormat="1" ht="15.75" hidden="1" customHeight="1" outlineLevel="1">
      <c r="A585" s="916"/>
      <c r="B585" s="1124"/>
      <c r="C585" s="1128"/>
      <c r="D585" s="1126"/>
      <c r="E585" s="1126"/>
      <c r="F585" s="1132"/>
      <c r="G585" s="100"/>
      <c r="H585" s="824"/>
      <c r="I585" s="1126"/>
      <c r="J585" s="1135"/>
      <c r="K585" s="1135"/>
      <c r="L585" s="916"/>
    </row>
    <row r="586" spans="1:12" s="103" customFormat="1" ht="15.75" hidden="1" customHeight="1" outlineLevel="1">
      <c r="A586" s="916"/>
      <c r="B586" s="1123">
        <v>192</v>
      </c>
      <c r="C586" s="1127"/>
      <c r="D586" s="1125"/>
      <c r="E586" s="1125" t="s">
        <v>18</v>
      </c>
      <c r="F586" s="1130" t="str">
        <f>VLOOKUP(E586,$N$13:$O$17,2,0)</f>
        <v>-</v>
      </c>
      <c r="G586" s="92"/>
      <c r="H586" s="823"/>
      <c r="I586" s="1125"/>
      <c r="J586" s="1133"/>
      <c r="K586" s="1133"/>
      <c r="L586" s="916"/>
    </row>
    <row r="587" spans="1:12" s="103" customFormat="1" ht="15.75" hidden="1" customHeight="1" outlineLevel="1">
      <c r="A587" s="916"/>
      <c r="B587" s="1123"/>
      <c r="C587" s="1127"/>
      <c r="D587" s="1125"/>
      <c r="E587" s="1125"/>
      <c r="F587" s="1130"/>
      <c r="G587" s="95"/>
      <c r="H587" s="823"/>
      <c r="I587" s="1125"/>
      <c r="J587" s="1134"/>
      <c r="K587" s="1134"/>
      <c r="L587" s="916"/>
    </row>
    <row r="588" spans="1:12" s="103" customFormat="1" ht="15.75" hidden="1" customHeight="1" outlineLevel="1">
      <c r="A588" s="916"/>
      <c r="B588" s="1124"/>
      <c r="C588" s="1128"/>
      <c r="D588" s="1126"/>
      <c r="E588" s="1126"/>
      <c r="F588" s="1132"/>
      <c r="G588" s="100"/>
      <c r="H588" s="824"/>
      <c r="I588" s="1126"/>
      <c r="J588" s="1135"/>
      <c r="K588" s="1135"/>
      <c r="L588" s="916"/>
    </row>
    <row r="589" spans="1:12" s="103" customFormat="1" ht="15.75" hidden="1" customHeight="1" outlineLevel="1">
      <c r="A589" s="916"/>
      <c r="B589" s="1123">
        <v>193</v>
      </c>
      <c r="C589" s="1127"/>
      <c r="D589" s="1125"/>
      <c r="E589" s="1125" t="s">
        <v>18</v>
      </c>
      <c r="F589" s="1130" t="str">
        <f>VLOOKUP(E589,$N$13:$O$17,2,0)</f>
        <v>-</v>
      </c>
      <c r="G589" s="92"/>
      <c r="H589" s="823"/>
      <c r="I589" s="1125"/>
      <c r="J589" s="1133"/>
      <c r="K589" s="1133"/>
      <c r="L589" s="916"/>
    </row>
    <row r="590" spans="1:12" s="103" customFormat="1" ht="15.75" hidden="1" customHeight="1" outlineLevel="1">
      <c r="A590" s="916"/>
      <c r="B590" s="1123"/>
      <c r="C590" s="1127"/>
      <c r="D590" s="1125"/>
      <c r="E590" s="1125"/>
      <c r="F590" s="1130"/>
      <c r="G590" s="95"/>
      <c r="H590" s="823"/>
      <c r="I590" s="1125"/>
      <c r="J590" s="1134"/>
      <c r="K590" s="1134"/>
      <c r="L590" s="916"/>
    </row>
    <row r="591" spans="1:12" s="103" customFormat="1" ht="15.75" hidden="1" customHeight="1" outlineLevel="1">
      <c r="A591" s="916"/>
      <c r="B591" s="1124"/>
      <c r="C591" s="1128"/>
      <c r="D591" s="1126"/>
      <c r="E591" s="1126"/>
      <c r="F591" s="1132"/>
      <c r="G591" s="100"/>
      <c r="H591" s="824"/>
      <c r="I591" s="1126"/>
      <c r="J591" s="1135"/>
      <c r="K591" s="1135"/>
      <c r="L591" s="916"/>
    </row>
    <row r="592" spans="1:12" s="103" customFormat="1" ht="15.75" hidden="1" customHeight="1" outlineLevel="1">
      <c r="A592" s="916"/>
      <c r="B592" s="1123">
        <v>194</v>
      </c>
      <c r="C592" s="1127"/>
      <c r="D592" s="1125"/>
      <c r="E592" s="1125" t="s">
        <v>18</v>
      </c>
      <c r="F592" s="1130" t="str">
        <f>VLOOKUP(E592,$N$13:$O$17,2,0)</f>
        <v>-</v>
      </c>
      <c r="G592" s="92"/>
      <c r="H592" s="823"/>
      <c r="I592" s="1125"/>
      <c r="J592" s="1133"/>
      <c r="K592" s="1133"/>
      <c r="L592" s="916"/>
    </row>
    <row r="593" spans="1:12" s="103" customFormat="1" ht="15.75" hidden="1" customHeight="1" outlineLevel="1">
      <c r="A593" s="916"/>
      <c r="B593" s="1123"/>
      <c r="C593" s="1127"/>
      <c r="D593" s="1125"/>
      <c r="E593" s="1125"/>
      <c r="F593" s="1130"/>
      <c r="G593" s="95"/>
      <c r="H593" s="823"/>
      <c r="I593" s="1125"/>
      <c r="J593" s="1134"/>
      <c r="K593" s="1134"/>
      <c r="L593" s="916"/>
    </row>
    <row r="594" spans="1:12" s="103" customFormat="1" ht="15.75" hidden="1" customHeight="1" outlineLevel="1">
      <c r="A594" s="916"/>
      <c r="B594" s="1124"/>
      <c r="C594" s="1128"/>
      <c r="D594" s="1126"/>
      <c r="E594" s="1126"/>
      <c r="F594" s="1132"/>
      <c r="G594" s="100"/>
      <c r="H594" s="824"/>
      <c r="I594" s="1126"/>
      <c r="J594" s="1135"/>
      <c r="K594" s="1135"/>
      <c r="L594" s="916"/>
    </row>
    <row r="595" spans="1:12" s="103" customFormat="1" ht="15.75" hidden="1" customHeight="1" outlineLevel="1">
      <c r="A595" s="916"/>
      <c r="B595" s="1123">
        <v>195</v>
      </c>
      <c r="C595" s="1127"/>
      <c r="D595" s="1125"/>
      <c r="E595" s="1125" t="s">
        <v>18</v>
      </c>
      <c r="F595" s="1130" t="str">
        <f>VLOOKUP(E595,$N$13:$O$17,2,0)</f>
        <v>-</v>
      </c>
      <c r="G595" s="92"/>
      <c r="H595" s="823"/>
      <c r="I595" s="1125"/>
      <c r="J595" s="1133"/>
      <c r="K595" s="1133"/>
      <c r="L595" s="916"/>
    </row>
    <row r="596" spans="1:12" s="103" customFormat="1" ht="15.75" hidden="1" customHeight="1" outlineLevel="1">
      <c r="A596" s="916"/>
      <c r="B596" s="1123"/>
      <c r="C596" s="1127"/>
      <c r="D596" s="1125"/>
      <c r="E596" s="1125"/>
      <c r="F596" s="1130"/>
      <c r="G596" s="95"/>
      <c r="H596" s="823"/>
      <c r="I596" s="1125"/>
      <c r="J596" s="1134"/>
      <c r="K596" s="1134"/>
      <c r="L596" s="916"/>
    </row>
    <row r="597" spans="1:12" s="103" customFormat="1" ht="15.75" hidden="1" customHeight="1" outlineLevel="1">
      <c r="A597" s="916"/>
      <c r="B597" s="1124"/>
      <c r="C597" s="1128"/>
      <c r="D597" s="1126"/>
      <c r="E597" s="1126"/>
      <c r="F597" s="1132"/>
      <c r="G597" s="100"/>
      <c r="H597" s="824"/>
      <c r="I597" s="1126"/>
      <c r="J597" s="1135"/>
      <c r="K597" s="1135"/>
      <c r="L597" s="916"/>
    </row>
    <row r="598" spans="1:12" s="103" customFormat="1" ht="15.75" hidden="1" customHeight="1" outlineLevel="1">
      <c r="A598" s="916"/>
      <c r="B598" s="1123">
        <v>196</v>
      </c>
      <c r="C598" s="1127"/>
      <c r="D598" s="1125"/>
      <c r="E598" s="1125" t="s">
        <v>18</v>
      </c>
      <c r="F598" s="1130" t="str">
        <f>VLOOKUP(E598,$N$13:$O$17,2,0)</f>
        <v>-</v>
      </c>
      <c r="G598" s="92"/>
      <c r="H598" s="823"/>
      <c r="I598" s="1125"/>
      <c r="J598" s="1133"/>
      <c r="K598" s="1133"/>
      <c r="L598" s="916"/>
    </row>
    <row r="599" spans="1:12" s="103" customFormat="1" ht="15.75" hidden="1" customHeight="1" outlineLevel="1">
      <c r="A599" s="916"/>
      <c r="B599" s="1123"/>
      <c r="C599" s="1127"/>
      <c r="D599" s="1125"/>
      <c r="E599" s="1125"/>
      <c r="F599" s="1130"/>
      <c r="G599" s="95"/>
      <c r="H599" s="823"/>
      <c r="I599" s="1125"/>
      <c r="J599" s="1134"/>
      <c r="K599" s="1134"/>
      <c r="L599" s="916"/>
    </row>
    <row r="600" spans="1:12" s="103" customFormat="1" ht="15.75" hidden="1" customHeight="1" outlineLevel="1">
      <c r="A600" s="916"/>
      <c r="B600" s="1124"/>
      <c r="C600" s="1128"/>
      <c r="D600" s="1126"/>
      <c r="E600" s="1126"/>
      <c r="F600" s="1132"/>
      <c r="G600" s="100"/>
      <c r="H600" s="824"/>
      <c r="I600" s="1126"/>
      <c r="J600" s="1135"/>
      <c r="K600" s="1135"/>
      <c r="L600" s="916"/>
    </row>
    <row r="601" spans="1:12" s="103" customFormat="1" ht="15.75" hidden="1" customHeight="1" outlineLevel="1">
      <c r="A601" s="916"/>
      <c r="B601" s="1123">
        <v>197</v>
      </c>
      <c r="C601" s="1127"/>
      <c r="D601" s="1125"/>
      <c r="E601" s="1125" t="s">
        <v>18</v>
      </c>
      <c r="F601" s="1130" t="str">
        <f>VLOOKUP(E601,$N$13:$O$17,2,0)</f>
        <v>-</v>
      </c>
      <c r="G601" s="92"/>
      <c r="H601" s="823"/>
      <c r="I601" s="1125"/>
      <c r="J601" s="1133"/>
      <c r="K601" s="1133"/>
      <c r="L601" s="916"/>
    </row>
    <row r="602" spans="1:12" s="103" customFormat="1" ht="15.75" hidden="1" customHeight="1" outlineLevel="1">
      <c r="A602" s="916"/>
      <c r="B602" s="1123"/>
      <c r="C602" s="1127"/>
      <c r="D602" s="1125"/>
      <c r="E602" s="1125"/>
      <c r="F602" s="1130"/>
      <c r="G602" s="95"/>
      <c r="H602" s="823"/>
      <c r="I602" s="1125"/>
      <c r="J602" s="1134"/>
      <c r="K602" s="1134"/>
      <c r="L602" s="916"/>
    </row>
    <row r="603" spans="1:12" s="103" customFormat="1" ht="15.75" hidden="1" customHeight="1" outlineLevel="1">
      <c r="A603" s="916"/>
      <c r="B603" s="1124"/>
      <c r="C603" s="1128"/>
      <c r="D603" s="1126"/>
      <c r="E603" s="1126"/>
      <c r="F603" s="1132"/>
      <c r="G603" s="100"/>
      <c r="H603" s="824"/>
      <c r="I603" s="1126"/>
      <c r="J603" s="1135"/>
      <c r="K603" s="1135"/>
      <c r="L603" s="916"/>
    </row>
    <row r="604" spans="1:12" s="103" customFormat="1" ht="15.75" hidden="1" customHeight="1" outlineLevel="1">
      <c r="A604" s="916"/>
      <c r="B604" s="1123">
        <v>198</v>
      </c>
      <c r="C604" s="1127"/>
      <c r="D604" s="1125"/>
      <c r="E604" s="1125" t="s">
        <v>18</v>
      </c>
      <c r="F604" s="1130" t="str">
        <f>VLOOKUP(E604,$N$13:$O$17,2,0)</f>
        <v>-</v>
      </c>
      <c r="G604" s="92"/>
      <c r="H604" s="823"/>
      <c r="I604" s="1125"/>
      <c r="J604" s="1133"/>
      <c r="K604" s="1133"/>
      <c r="L604" s="916"/>
    </row>
    <row r="605" spans="1:12" s="103" customFormat="1" ht="15.75" hidden="1" customHeight="1" outlineLevel="1">
      <c r="A605" s="916"/>
      <c r="B605" s="1123"/>
      <c r="C605" s="1127"/>
      <c r="D605" s="1125"/>
      <c r="E605" s="1125"/>
      <c r="F605" s="1130"/>
      <c r="G605" s="95"/>
      <c r="H605" s="823"/>
      <c r="I605" s="1125"/>
      <c r="J605" s="1134"/>
      <c r="K605" s="1134"/>
      <c r="L605" s="916"/>
    </row>
    <row r="606" spans="1:12" s="103" customFormat="1" ht="15.75" hidden="1" customHeight="1" outlineLevel="1">
      <c r="A606" s="916"/>
      <c r="B606" s="1124"/>
      <c r="C606" s="1128"/>
      <c r="D606" s="1126"/>
      <c r="E606" s="1126"/>
      <c r="F606" s="1132"/>
      <c r="G606" s="100"/>
      <c r="H606" s="824"/>
      <c r="I606" s="1126"/>
      <c r="J606" s="1135"/>
      <c r="K606" s="1135"/>
      <c r="L606" s="916"/>
    </row>
    <row r="607" spans="1:12" s="103" customFormat="1" ht="15.75" hidden="1" customHeight="1" outlineLevel="1">
      <c r="A607" s="916"/>
      <c r="B607" s="1123">
        <v>199</v>
      </c>
      <c r="C607" s="1127"/>
      <c r="D607" s="1125"/>
      <c r="E607" s="1125" t="s">
        <v>18</v>
      </c>
      <c r="F607" s="1130" t="str">
        <f>VLOOKUP(E607,$N$13:$O$17,2,0)</f>
        <v>-</v>
      </c>
      <c r="G607" s="92"/>
      <c r="H607" s="823"/>
      <c r="I607" s="1125"/>
      <c r="J607" s="1133"/>
      <c r="K607" s="1133"/>
      <c r="L607" s="916"/>
    </row>
    <row r="608" spans="1:12" s="103" customFormat="1" ht="15.75" hidden="1" customHeight="1" outlineLevel="1">
      <c r="A608" s="916"/>
      <c r="B608" s="1123"/>
      <c r="C608" s="1127"/>
      <c r="D608" s="1125"/>
      <c r="E608" s="1125"/>
      <c r="F608" s="1130"/>
      <c r="G608" s="95"/>
      <c r="H608" s="823"/>
      <c r="I608" s="1125"/>
      <c r="J608" s="1134"/>
      <c r="K608" s="1134"/>
      <c r="L608" s="916"/>
    </row>
    <row r="609" spans="1:12" s="103" customFormat="1" ht="15.75" hidden="1" customHeight="1" outlineLevel="1">
      <c r="A609" s="916"/>
      <c r="B609" s="1124"/>
      <c r="C609" s="1128"/>
      <c r="D609" s="1126"/>
      <c r="E609" s="1126"/>
      <c r="F609" s="1132"/>
      <c r="G609" s="100"/>
      <c r="H609" s="824"/>
      <c r="I609" s="1126"/>
      <c r="J609" s="1135"/>
      <c r="K609" s="1135"/>
      <c r="L609" s="916"/>
    </row>
    <row r="610" spans="1:12" s="103" customFormat="1" ht="15.75" hidden="1" customHeight="1" outlineLevel="1">
      <c r="A610" s="916"/>
      <c r="B610" s="1123">
        <v>200</v>
      </c>
      <c r="C610" s="1149" t="e">
        <f>CONCATENATE("Inne ",IF(#REF!=0,0,ROUND(#REF!/#REF!*100,1))," %")</f>
        <v>#REF!</v>
      </c>
      <c r="D610" s="1125"/>
      <c r="E610" s="1125" t="s">
        <v>18</v>
      </c>
      <c r="F610" s="1130" t="str">
        <f>VLOOKUP(E610,$N$13:$O$17,2,0)</f>
        <v>-</v>
      </c>
      <c r="G610" s="92"/>
      <c r="H610" s="823"/>
      <c r="I610" s="1125"/>
      <c r="J610" s="1133"/>
      <c r="K610" s="1133"/>
      <c r="L610" s="916"/>
    </row>
    <row r="611" spans="1:12" s="103" customFormat="1" ht="15.75" hidden="1" customHeight="1" outlineLevel="1">
      <c r="A611" s="916"/>
      <c r="B611" s="1123"/>
      <c r="C611" s="1150"/>
      <c r="D611" s="1125"/>
      <c r="E611" s="1125"/>
      <c r="F611" s="1130"/>
      <c r="G611" s="95"/>
      <c r="H611" s="823"/>
      <c r="I611" s="1125"/>
      <c r="J611" s="1134"/>
      <c r="K611" s="1134"/>
      <c r="L611" s="916"/>
    </row>
    <row r="612" spans="1:12" s="103" customFormat="1" ht="15.75" hidden="1" customHeight="1" outlineLevel="1" thickBot="1">
      <c r="A612" s="916"/>
      <c r="B612" s="1124"/>
      <c r="C612" s="1151"/>
      <c r="D612" s="1126"/>
      <c r="E612" s="1126"/>
      <c r="F612" s="1132"/>
      <c r="G612" s="100"/>
      <c r="H612" s="824"/>
      <c r="I612" s="1126"/>
      <c r="J612" s="1135"/>
      <c r="K612" s="1135"/>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45"/>
      <c r="G621" s="1146"/>
      <c r="H621" s="1146"/>
      <c r="I621" s="1146"/>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612" xr:uid="{00000000-0002-0000-1500-000000000000}">
      <formula1>$N$13:$N$17</formula1>
    </dataValidation>
  </dataValidations>
  <hyperlinks>
    <hyperlink ref="C1" location="Spis!B46" display="&gt;&gt; powrót do spisu treści" xr:uid="{00000000-0004-0000-15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72">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5" width="10.77734375" style="78" hidden="1" customWidth="1"/>
    <col min="16" max="16" width="10.77734375" hidden="1" customWidth="1"/>
    <col min="17" max="22" width="10.77734375" customWidth="1"/>
    <col min="25" max="16384" width="15.77734375" style="78"/>
  </cols>
  <sheetData>
    <row r="1" spans="1:24">
      <c r="A1" s="898"/>
      <c r="B1" s="898"/>
      <c r="C1" s="925" t="s">
        <v>9</v>
      </c>
      <c r="D1" s="899"/>
      <c r="E1" s="900"/>
      <c r="F1" s="900"/>
      <c r="G1" s="901"/>
      <c r="H1" s="902"/>
      <c r="I1" s="903"/>
      <c r="J1" s="880"/>
      <c r="K1" s="880"/>
      <c r="L1" s="880"/>
    </row>
    <row r="2" spans="1:24" ht="9.9499999999999993" customHeight="1">
      <c r="A2" s="898"/>
      <c r="B2" s="898"/>
      <c r="C2" s="924"/>
      <c r="D2" s="899"/>
      <c r="E2" s="900"/>
      <c r="F2" s="900"/>
      <c r="G2" s="901"/>
      <c r="H2" s="902"/>
      <c r="I2" s="903"/>
      <c r="J2" s="880"/>
      <c r="K2" s="880"/>
      <c r="L2" s="880"/>
    </row>
    <row r="3" spans="1:24" ht="15" customHeight="1">
      <c r="A3" s="898"/>
      <c r="B3" s="914" t="s">
        <v>13</v>
      </c>
      <c r="C3" s="1147" t="s">
        <v>19</v>
      </c>
      <c r="D3" s="1147"/>
      <c r="E3" s="1147"/>
      <c r="F3" s="1147"/>
      <c r="G3" s="1147"/>
      <c r="H3" s="1148"/>
      <c r="I3" s="903"/>
      <c r="J3" s="880"/>
      <c r="K3" s="880"/>
      <c r="L3" s="880"/>
    </row>
    <row r="4" spans="1:24" ht="15" customHeight="1">
      <c r="A4" s="898"/>
      <c r="B4" s="915" t="s">
        <v>27</v>
      </c>
      <c r="C4" s="1147" t="s">
        <v>174</v>
      </c>
      <c r="D4" s="1147"/>
      <c r="E4" s="1147"/>
      <c r="F4" s="1147"/>
      <c r="G4" s="1147"/>
      <c r="H4" s="1148"/>
      <c r="I4" s="903"/>
      <c r="J4" s="880"/>
      <c r="K4" s="880"/>
      <c r="L4" s="880"/>
    </row>
    <row r="5" spans="1:24" ht="15" customHeight="1">
      <c r="A5" s="880"/>
      <c r="B5" s="897" t="s">
        <v>28</v>
      </c>
      <c r="C5" s="1116" t="s">
        <v>104</v>
      </c>
      <c r="D5" s="1116"/>
      <c r="E5" s="1116"/>
      <c r="F5" s="1116"/>
      <c r="G5" s="1116"/>
      <c r="H5" s="1148"/>
      <c r="I5" s="903"/>
      <c r="J5" s="880"/>
      <c r="K5" s="880"/>
      <c r="L5" s="880"/>
    </row>
    <row r="6" spans="1:24" ht="50.1" customHeight="1">
      <c r="A6" s="880"/>
      <c r="B6" s="897" t="s">
        <v>35</v>
      </c>
      <c r="C6" s="1116" t="s">
        <v>175</v>
      </c>
      <c r="D6" s="1120"/>
      <c r="E6" s="1120"/>
      <c r="F6" s="1120"/>
      <c r="G6" s="1120"/>
      <c r="H6" s="1148"/>
      <c r="I6" s="903"/>
      <c r="J6" s="880"/>
      <c r="K6" s="880"/>
      <c r="L6" s="880"/>
    </row>
    <row r="7" spans="1:24" s="79" customFormat="1" ht="30" customHeight="1" thickBot="1">
      <c r="A7" s="907"/>
      <c r="B7" s="908" t="s">
        <v>179</v>
      </c>
      <c r="C7" s="911"/>
      <c r="D7" s="909"/>
      <c r="E7" s="907"/>
      <c r="F7" s="910"/>
      <c r="G7" s="911"/>
      <c r="H7" s="912"/>
      <c r="I7" s="912"/>
      <c r="J7" s="913"/>
      <c r="K7" s="913"/>
      <c r="L7" s="913"/>
      <c r="M7" s="81"/>
      <c r="P7"/>
      <c r="Q7"/>
      <c r="R7"/>
      <c r="S7"/>
      <c r="T7"/>
      <c r="U7"/>
      <c r="V7"/>
      <c r="W7"/>
      <c r="X7"/>
    </row>
    <row r="8" spans="1:24"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row>
    <row r="9" spans="1:24" ht="20.100000000000001" customHeight="1" thickBot="1">
      <c r="A9" s="880"/>
      <c r="B9" s="1152"/>
      <c r="C9" s="1106"/>
      <c r="D9" s="1106"/>
      <c r="E9" s="1106"/>
      <c r="F9" s="1106"/>
      <c r="G9" s="1106"/>
      <c r="H9" s="1106"/>
      <c r="I9" s="1103"/>
      <c r="J9" s="628">
        <f>Rok_ZPR</f>
        <v>2023</v>
      </c>
      <c r="K9" s="1102"/>
      <c r="L9" s="860"/>
      <c r="M9" s="84"/>
      <c r="N9" s="76"/>
      <c r="O9" s="76"/>
    </row>
    <row r="10" spans="1:24" ht="20.100000000000001" customHeight="1">
      <c r="A10" s="880"/>
      <c r="B10" s="1152"/>
      <c r="C10" s="1106"/>
      <c r="D10" s="1106"/>
      <c r="E10" s="1106"/>
      <c r="F10" s="1106"/>
      <c r="G10" s="1106"/>
      <c r="H10" s="1106"/>
      <c r="I10" s="1104"/>
      <c r="J10" s="628" t="str">
        <f>'Tab.G1.1-4'!$D$11</f>
        <v>[tys. zł]</v>
      </c>
      <c r="K10" s="1102"/>
      <c r="L10" s="891"/>
      <c r="M10" s="85"/>
      <c r="N10" s="76"/>
      <c r="O10" s="76"/>
    </row>
    <row r="11" spans="1:24"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row>
    <row r="12" spans="1:24" s="82" customFormat="1" ht="16.5" thickBot="1">
      <c r="A12" s="900"/>
      <c r="B12" s="87"/>
      <c r="C12" s="87"/>
      <c r="D12" s="88"/>
      <c r="E12" s="87"/>
      <c r="F12" s="87"/>
      <c r="G12" s="88"/>
      <c r="H12" s="88"/>
      <c r="I12" s="88"/>
      <c r="J12" s="89"/>
      <c r="K12" s="89"/>
      <c r="L12" s="892"/>
      <c r="M12" s="86"/>
      <c r="P12"/>
      <c r="Q12"/>
      <c r="R12"/>
      <c r="S12"/>
      <c r="T12"/>
      <c r="U12"/>
      <c r="V12"/>
      <c r="W12"/>
      <c r="X12"/>
    </row>
    <row r="13" spans="1:24"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c r="P13"/>
      <c r="Q13"/>
      <c r="R13"/>
      <c r="S13"/>
      <c r="T13"/>
      <c r="U13"/>
      <c r="V13"/>
      <c r="W13"/>
      <c r="X13"/>
    </row>
    <row r="14" spans="1:24" s="82" customFormat="1" ht="12.75" customHeight="1">
      <c r="A14" s="900"/>
      <c r="B14" s="1123"/>
      <c r="C14" s="1153"/>
      <c r="D14" s="1125"/>
      <c r="E14" s="1125"/>
      <c r="F14" s="1130"/>
      <c r="G14" s="95"/>
      <c r="H14" s="1125"/>
      <c r="I14" s="1125"/>
      <c r="J14" s="1134"/>
      <c r="K14" s="1134"/>
      <c r="L14" s="892"/>
      <c r="M14" s="86"/>
      <c r="N14" s="96" t="s">
        <v>22</v>
      </c>
      <c r="O14" s="97" t="s">
        <v>59</v>
      </c>
      <c r="P14"/>
      <c r="Q14"/>
      <c r="R14"/>
      <c r="S14"/>
      <c r="T14"/>
      <c r="U14"/>
      <c r="V14"/>
      <c r="W14"/>
      <c r="X14"/>
    </row>
    <row r="15" spans="1:24" s="82" customFormat="1" ht="12.75" customHeight="1">
      <c r="A15" s="900"/>
      <c r="B15" s="1124"/>
      <c r="C15" s="1154"/>
      <c r="D15" s="1126"/>
      <c r="E15" s="1126"/>
      <c r="F15" s="1132"/>
      <c r="G15" s="100"/>
      <c r="H15" s="1126"/>
      <c r="I15" s="1126"/>
      <c r="J15" s="1135"/>
      <c r="K15" s="1135"/>
      <c r="L15" s="892"/>
      <c r="M15" s="86"/>
      <c r="N15" s="96" t="s">
        <v>23</v>
      </c>
      <c r="O15" s="97" t="s">
        <v>24</v>
      </c>
      <c r="P15"/>
      <c r="Q15"/>
      <c r="R15"/>
      <c r="S15"/>
      <c r="T15"/>
      <c r="U15"/>
      <c r="V15"/>
      <c r="W15"/>
      <c r="X15"/>
    </row>
    <row r="16" spans="1:24"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c r="P16"/>
      <c r="Q16"/>
      <c r="R16"/>
      <c r="S16"/>
      <c r="T16"/>
      <c r="U16"/>
      <c r="V16"/>
      <c r="W16"/>
      <c r="X16"/>
    </row>
    <row r="17" spans="1:24" s="82" customFormat="1" ht="12.75" customHeight="1" thickBot="1">
      <c r="A17" s="900"/>
      <c r="B17" s="1123"/>
      <c r="C17" s="1127"/>
      <c r="D17" s="1125"/>
      <c r="E17" s="1125"/>
      <c r="F17" s="1130"/>
      <c r="G17" s="95"/>
      <c r="H17" s="1125"/>
      <c r="I17" s="1125"/>
      <c r="J17" s="1134"/>
      <c r="K17" s="1134"/>
      <c r="L17" s="892"/>
      <c r="M17" s="86"/>
      <c r="N17" s="101" t="s">
        <v>18</v>
      </c>
      <c r="O17" s="102" t="s">
        <v>18</v>
      </c>
      <c r="P17"/>
      <c r="Q17"/>
      <c r="R17"/>
      <c r="S17"/>
      <c r="T17"/>
      <c r="U17"/>
      <c r="V17"/>
      <c r="W17"/>
      <c r="X17"/>
    </row>
    <row r="18" spans="1:24" s="82" customFormat="1" ht="12.75" customHeight="1">
      <c r="A18" s="900"/>
      <c r="B18" s="1124"/>
      <c r="C18" s="1128"/>
      <c r="D18" s="1126"/>
      <c r="E18" s="1126"/>
      <c r="F18" s="1132"/>
      <c r="G18" s="100"/>
      <c r="H18" s="1126"/>
      <c r="I18" s="1126"/>
      <c r="J18" s="1135"/>
      <c r="K18" s="1135"/>
      <c r="L18" s="892"/>
      <c r="M18" s="86"/>
      <c r="N18" s="103"/>
      <c r="O18" s="104"/>
      <c r="P18"/>
      <c r="Q18"/>
      <c r="R18"/>
      <c r="S18"/>
      <c r="T18"/>
      <c r="U18"/>
      <c r="V18"/>
      <c r="W18"/>
      <c r="X18"/>
    </row>
    <row r="19" spans="1:24" s="82" customFormat="1" ht="12.75" customHeight="1">
      <c r="A19" s="900"/>
      <c r="B19" s="1123">
        <v>3</v>
      </c>
      <c r="C19" s="1127"/>
      <c r="D19" s="1125"/>
      <c r="E19" s="1125" t="s">
        <v>18</v>
      </c>
      <c r="F19" s="1130" t="str">
        <f>VLOOKUP(E19,$N$13:$O$17,2,0)</f>
        <v>-</v>
      </c>
      <c r="G19" s="92"/>
      <c r="H19" s="1125"/>
      <c r="I19" s="1125"/>
      <c r="J19" s="1133"/>
      <c r="K19" s="1133"/>
      <c r="L19" s="892"/>
      <c r="M19" s="86"/>
      <c r="N19" s="103"/>
      <c r="O19" s="104"/>
      <c r="P19"/>
      <c r="Q19"/>
      <c r="R19"/>
      <c r="S19"/>
      <c r="T19"/>
      <c r="U19"/>
      <c r="V19"/>
      <c r="W19"/>
      <c r="X19"/>
    </row>
    <row r="20" spans="1:24" s="82" customFormat="1" ht="12.75" customHeight="1">
      <c r="A20" s="900"/>
      <c r="B20" s="1123"/>
      <c r="C20" s="1127"/>
      <c r="D20" s="1125"/>
      <c r="E20" s="1125"/>
      <c r="F20" s="1130"/>
      <c r="G20" s="95"/>
      <c r="H20" s="1125"/>
      <c r="I20" s="1125"/>
      <c r="J20" s="1134"/>
      <c r="K20" s="1134"/>
      <c r="L20" s="892"/>
      <c r="M20" s="86"/>
      <c r="N20" s="103"/>
      <c r="O20" s="104"/>
      <c r="P20"/>
      <c r="Q20"/>
      <c r="R20"/>
      <c r="S20"/>
      <c r="T20"/>
      <c r="U20"/>
      <c r="V20"/>
      <c r="W20"/>
      <c r="X20"/>
    </row>
    <row r="21" spans="1:24" s="82" customFormat="1" ht="12.75" customHeight="1">
      <c r="A21" s="900"/>
      <c r="B21" s="1124"/>
      <c r="C21" s="1128"/>
      <c r="D21" s="1126"/>
      <c r="E21" s="1126"/>
      <c r="F21" s="1132"/>
      <c r="G21" s="100"/>
      <c r="H21" s="1126"/>
      <c r="I21" s="1126"/>
      <c r="J21" s="1135"/>
      <c r="K21" s="1135"/>
      <c r="L21" s="892"/>
      <c r="M21" s="86"/>
      <c r="N21" s="103"/>
      <c r="O21" s="104"/>
      <c r="P21"/>
      <c r="Q21"/>
      <c r="R21"/>
      <c r="S21"/>
      <c r="T21"/>
      <c r="U21"/>
      <c r="V21"/>
      <c r="W21"/>
      <c r="X21"/>
    </row>
    <row r="22" spans="1:24" s="82" customFormat="1" ht="12.75" customHeight="1">
      <c r="A22" s="900"/>
      <c r="B22" s="1123">
        <v>4</v>
      </c>
      <c r="C22" s="1127"/>
      <c r="D22" s="1125"/>
      <c r="E22" s="1125" t="s">
        <v>18</v>
      </c>
      <c r="F22" s="1130" t="str">
        <f>VLOOKUP(E22,$N$13:$O$17,2,0)</f>
        <v>-</v>
      </c>
      <c r="G22" s="92"/>
      <c r="H22" s="1125"/>
      <c r="I22" s="1125"/>
      <c r="J22" s="1133"/>
      <c r="K22" s="1133"/>
      <c r="L22" s="892"/>
      <c r="M22" s="86"/>
      <c r="N22" s="103"/>
      <c r="O22" s="104"/>
      <c r="P22"/>
      <c r="Q22"/>
      <c r="R22"/>
      <c r="S22"/>
      <c r="T22"/>
      <c r="U22"/>
      <c r="V22"/>
      <c r="W22"/>
      <c r="X22"/>
    </row>
    <row r="23" spans="1:24" s="82" customFormat="1" ht="12.75" customHeight="1">
      <c r="A23" s="900"/>
      <c r="B23" s="1123"/>
      <c r="C23" s="1127"/>
      <c r="D23" s="1125"/>
      <c r="E23" s="1125"/>
      <c r="F23" s="1130"/>
      <c r="G23" s="95"/>
      <c r="H23" s="1125"/>
      <c r="I23" s="1125"/>
      <c r="J23" s="1134"/>
      <c r="K23" s="1134"/>
      <c r="L23" s="892"/>
      <c r="M23" s="86"/>
      <c r="N23" s="103"/>
      <c r="O23" s="104"/>
      <c r="P23"/>
      <c r="Q23"/>
      <c r="R23"/>
      <c r="S23"/>
      <c r="T23"/>
      <c r="U23"/>
      <c r="V23"/>
      <c r="W23"/>
      <c r="X23"/>
    </row>
    <row r="24" spans="1:24" s="82" customFormat="1" ht="12.75" customHeight="1">
      <c r="A24" s="900"/>
      <c r="B24" s="1124"/>
      <c r="C24" s="1128"/>
      <c r="D24" s="1126"/>
      <c r="E24" s="1126"/>
      <c r="F24" s="1132"/>
      <c r="G24" s="100"/>
      <c r="H24" s="1126"/>
      <c r="I24" s="1126"/>
      <c r="J24" s="1135"/>
      <c r="K24" s="1135"/>
      <c r="L24" s="892"/>
      <c r="M24" s="86"/>
      <c r="N24" s="103"/>
      <c r="O24" s="104"/>
      <c r="P24"/>
      <c r="Q24"/>
      <c r="R24"/>
      <c r="S24"/>
      <c r="T24"/>
      <c r="U24"/>
      <c r="V24"/>
      <c r="W24"/>
      <c r="X24"/>
    </row>
    <row r="25" spans="1:24" s="82" customFormat="1" ht="12.75" customHeight="1">
      <c r="A25" s="900"/>
      <c r="B25" s="1123">
        <v>5</v>
      </c>
      <c r="C25" s="1127"/>
      <c r="D25" s="1125"/>
      <c r="E25" s="1125" t="s">
        <v>18</v>
      </c>
      <c r="F25" s="1130" t="str">
        <f>VLOOKUP(E25,$N$13:$O$17,2,0)</f>
        <v>-</v>
      </c>
      <c r="G25" s="92"/>
      <c r="H25" s="1125"/>
      <c r="I25" s="1125"/>
      <c r="J25" s="1133"/>
      <c r="K25" s="1133"/>
      <c r="L25" s="892"/>
      <c r="M25" s="86"/>
      <c r="N25" s="103"/>
      <c r="O25" s="104"/>
      <c r="P25"/>
      <c r="Q25"/>
      <c r="R25"/>
      <c r="S25"/>
      <c r="T25"/>
      <c r="U25"/>
      <c r="V25"/>
      <c r="W25"/>
      <c r="X25"/>
    </row>
    <row r="26" spans="1:24" s="82" customFormat="1" ht="12.75" customHeight="1">
      <c r="A26" s="900"/>
      <c r="B26" s="1123"/>
      <c r="C26" s="1127"/>
      <c r="D26" s="1125"/>
      <c r="E26" s="1125"/>
      <c r="F26" s="1130"/>
      <c r="G26" s="95"/>
      <c r="H26" s="1125"/>
      <c r="I26" s="1125"/>
      <c r="J26" s="1134"/>
      <c r="K26" s="1134"/>
      <c r="L26" s="892"/>
      <c r="M26" s="86"/>
      <c r="N26" s="103"/>
      <c r="O26" s="104"/>
      <c r="P26"/>
      <c r="Q26"/>
      <c r="R26"/>
      <c r="S26"/>
      <c r="T26"/>
      <c r="U26"/>
      <c r="V26"/>
      <c r="W26"/>
      <c r="X26"/>
    </row>
    <row r="27" spans="1:24" s="82" customFormat="1" ht="12.75" customHeight="1">
      <c r="A27" s="900"/>
      <c r="B27" s="1124"/>
      <c r="C27" s="1128"/>
      <c r="D27" s="1126"/>
      <c r="E27" s="1126"/>
      <c r="F27" s="1132"/>
      <c r="G27" s="100"/>
      <c r="H27" s="1126"/>
      <c r="I27" s="1126"/>
      <c r="J27" s="1135"/>
      <c r="K27" s="1135"/>
      <c r="L27" s="892"/>
      <c r="M27" s="86"/>
      <c r="N27" s="103"/>
      <c r="O27" s="104"/>
      <c r="P27"/>
      <c r="Q27"/>
      <c r="R27"/>
      <c r="S27"/>
      <c r="T27"/>
      <c r="U27"/>
      <c r="V27"/>
      <c r="W27"/>
      <c r="X27"/>
    </row>
    <row r="28" spans="1:24" s="82" customFormat="1" ht="12.75" customHeight="1">
      <c r="A28" s="900"/>
      <c r="B28" s="1123">
        <v>6</v>
      </c>
      <c r="C28" s="1127"/>
      <c r="D28" s="1125"/>
      <c r="E28" s="1125" t="s">
        <v>18</v>
      </c>
      <c r="F28" s="1130" t="str">
        <f>VLOOKUP(E28,$N$13:$O$17,2,0)</f>
        <v>-</v>
      </c>
      <c r="G28" s="92"/>
      <c r="H28" s="1125"/>
      <c r="I28" s="1125"/>
      <c r="J28" s="1133"/>
      <c r="K28" s="1133"/>
      <c r="L28" s="892"/>
      <c r="M28" s="86"/>
      <c r="N28" s="103"/>
      <c r="O28" s="104"/>
      <c r="P28"/>
      <c r="Q28"/>
      <c r="R28"/>
      <c r="S28"/>
      <c r="T28"/>
      <c r="U28"/>
      <c r="V28"/>
      <c r="W28"/>
      <c r="X28"/>
    </row>
    <row r="29" spans="1:24" s="82" customFormat="1" ht="12.75" customHeight="1">
      <c r="A29" s="900"/>
      <c r="B29" s="1123"/>
      <c r="C29" s="1127"/>
      <c r="D29" s="1125"/>
      <c r="E29" s="1125"/>
      <c r="F29" s="1130"/>
      <c r="G29" s="95"/>
      <c r="H29" s="1125"/>
      <c r="I29" s="1125"/>
      <c r="J29" s="1134"/>
      <c r="K29" s="1134"/>
      <c r="L29" s="892"/>
      <c r="M29" s="86"/>
      <c r="N29" s="103"/>
      <c r="O29" s="104"/>
      <c r="P29"/>
      <c r="Q29"/>
      <c r="R29"/>
      <c r="S29"/>
      <c r="T29"/>
      <c r="U29"/>
      <c r="V29"/>
      <c r="W29"/>
      <c r="X29"/>
    </row>
    <row r="30" spans="1:24" s="82" customFormat="1" ht="12.75" customHeight="1">
      <c r="A30" s="900"/>
      <c r="B30" s="1124"/>
      <c r="C30" s="1128"/>
      <c r="D30" s="1126"/>
      <c r="E30" s="1126"/>
      <c r="F30" s="1132"/>
      <c r="G30" s="100"/>
      <c r="H30" s="1126"/>
      <c r="I30" s="1126"/>
      <c r="J30" s="1135"/>
      <c r="K30" s="1135"/>
      <c r="L30" s="892"/>
      <c r="M30" s="86"/>
      <c r="N30" s="103"/>
      <c r="O30" s="104"/>
      <c r="P30"/>
      <c r="Q30"/>
      <c r="R30"/>
      <c r="S30"/>
      <c r="T30"/>
      <c r="U30"/>
      <c r="V30"/>
      <c r="W30"/>
      <c r="X30"/>
    </row>
    <row r="31" spans="1:24" s="82" customFormat="1" ht="12.75" customHeight="1">
      <c r="A31" s="900"/>
      <c r="B31" s="1123">
        <v>7</v>
      </c>
      <c r="C31" s="1127"/>
      <c r="D31" s="1125"/>
      <c r="E31" s="1125" t="s">
        <v>18</v>
      </c>
      <c r="F31" s="1130" t="str">
        <f>VLOOKUP(E31,$N$13:$O$17,2,0)</f>
        <v>-</v>
      </c>
      <c r="G31" s="92"/>
      <c r="H31" s="1125"/>
      <c r="I31" s="1125"/>
      <c r="J31" s="1133"/>
      <c r="K31" s="1133"/>
      <c r="L31" s="892"/>
      <c r="M31" s="86"/>
      <c r="N31" s="103"/>
      <c r="O31" s="104"/>
      <c r="P31"/>
      <c r="Q31"/>
      <c r="R31"/>
      <c r="S31"/>
      <c r="T31"/>
      <c r="U31"/>
      <c r="V31"/>
      <c r="W31"/>
      <c r="X31"/>
    </row>
    <row r="32" spans="1:24" s="82" customFormat="1" ht="12.75" customHeight="1">
      <c r="A32" s="900"/>
      <c r="B32" s="1123"/>
      <c r="C32" s="1127"/>
      <c r="D32" s="1125"/>
      <c r="E32" s="1125"/>
      <c r="F32" s="1130"/>
      <c r="G32" s="95"/>
      <c r="H32" s="1125"/>
      <c r="I32" s="1125"/>
      <c r="J32" s="1134"/>
      <c r="K32" s="1134"/>
      <c r="L32" s="892"/>
      <c r="M32" s="86"/>
      <c r="N32" s="103"/>
      <c r="O32" s="104"/>
      <c r="P32"/>
      <c r="Q32"/>
      <c r="R32"/>
      <c r="S32"/>
      <c r="T32"/>
      <c r="U32"/>
      <c r="V32"/>
      <c r="W32"/>
      <c r="X32"/>
    </row>
    <row r="33" spans="1:24" s="82" customFormat="1" ht="12.75" customHeight="1">
      <c r="A33" s="900"/>
      <c r="B33" s="1124"/>
      <c r="C33" s="1128"/>
      <c r="D33" s="1126"/>
      <c r="E33" s="1126"/>
      <c r="F33" s="1132"/>
      <c r="G33" s="100"/>
      <c r="H33" s="1126"/>
      <c r="I33" s="1126"/>
      <c r="J33" s="1135"/>
      <c r="K33" s="1135"/>
      <c r="L33" s="892"/>
      <c r="M33" s="86"/>
      <c r="N33" s="103"/>
      <c r="O33" s="104"/>
      <c r="P33"/>
      <c r="Q33"/>
      <c r="R33"/>
      <c r="S33"/>
      <c r="T33"/>
      <c r="U33"/>
      <c r="V33"/>
      <c r="W33"/>
      <c r="X33"/>
    </row>
    <row r="34" spans="1:24" s="82" customFormat="1" ht="12.75" customHeight="1">
      <c r="A34" s="900"/>
      <c r="B34" s="1123">
        <v>8</v>
      </c>
      <c r="C34" s="1127"/>
      <c r="D34" s="1125"/>
      <c r="E34" s="1125" t="s">
        <v>18</v>
      </c>
      <c r="F34" s="1130" t="str">
        <f>VLOOKUP(E34,$N$13:$O$17,2,0)</f>
        <v>-</v>
      </c>
      <c r="G34" s="92"/>
      <c r="H34" s="1125"/>
      <c r="I34" s="1125"/>
      <c r="J34" s="1133"/>
      <c r="K34" s="1133"/>
      <c r="L34" s="892"/>
      <c r="M34" s="86"/>
      <c r="N34" s="103"/>
      <c r="O34" s="104"/>
      <c r="P34"/>
      <c r="Q34"/>
      <c r="R34"/>
      <c r="S34"/>
      <c r="T34"/>
      <c r="U34"/>
      <c r="V34"/>
      <c r="W34"/>
      <c r="X34"/>
    </row>
    <row r="35" spans="1:24" s="82" customFormat="1" ht="12.75" customHeight="1">
      <c r="A35" s="900"/>
      <c r="B35" s="1123"/>
      <c r="C35" s="1127"/>
      <c r="D35" s="1125"/>
      <c r="E35" s="1125"/>
      <c r="F35" s="1130"/>
      <c r="G35" s="91"/>
      <c r="H35" s="1125"/>
      <c r="I35" s="1125"/>
      <c r="J35" s="1134"/>
      <c r="K35" s="1134"/>
      <c r="L35" s="892"/>
      <c r="M35" s="86"/>
      <c r="N35" s="103"/>
      <c r="O35" s="104"/>
      <c r="P35"/>
      <c r="Q35"/>
      <c r="R35"/>
      <c r="S35"/>
      <c r="T35"/>
      <c r="U35"/>
      <c r="V35"/>
      <c r="W35"/>
      <c r="X35"/>
    </row>
    <row r="36" spans="1:24" s="82" customFormat="1" ht="12.75" customHeight="1">
      <c r="A36" s="900"/>
      <c r="B36" s="1124"/>
      <c r="C36" s="1128"/>
      <c r="D36" s="1126"/>
      <c r="E36" s="1126"/>
      <c r="F36" s="1132"/>
      <c r="G36" s="100"/>
      <c r="H36" s="1126"/>
      <c r="I36" s="1126"/>
      <c r="J36" s="1135"/>
      <c r="K36" s="1135"/>
      <c r="L36" s="892"/>
      <c r="M36" s="86"/>
      <c r="N36" s="103"/>
      <c r="O36" s="104"/>
      <c r="P36"/>
      <c r="Q36"/>
      <c r="R36"/>
      <c r="S36"/>
      <c r="T36"/>
      <c r="U36"/>
      <c r="V36"/>
      <c r="W36"/>
      <c r="X36"/>
    </row>
    <row r="37" spans="1:24" s="82" customFormat="1" ht="12.75" customHeight="1">
      <c r="A37" s="900"/>
      <c r="B37" s="1123">
        <v>9</v>
      </c>
      <c r="C37" s="1127"/>
      <c r="D37" s="1125"/>
      <c r="E37" s="1125" t="s">
        <v>18</v>
      </c>
      <c r="F37" s="1130" t="str">
        <f>VLOOKUP(E37,$N$13:$O$17,2,0)</f>
        <v>-</v>
      </c>
      <c r="G37" s="92"/>
      <c r="H37" s="1125"/>
      <c r="I37" s="1125"/>
      <c r="J37" s="1133"/>
      <c r="K37" s="1133"/>
      <c r="L37" s="892"/>
      <c r="M37" s="86"/>
      <c r="N37" s="103"/>
      <c r="O37" s="104"/>
      <c r="P37"/>
      <c r="Q37"/>
      <c r="R37"/>
      <c r="S37"/>
      <c r="T37"/>
      <c r="U37"/>
      <c r="V37"/>
      <c r="W37"/>
      <c r="X37"/>
    </row>
    <row r="38" spans="1:24" s="82" customFormat="1" ht="12.75" customHeight="1">
      <c r="A38" s="900"/>
      <c r="B38" s="1123"/>
      <c r="C38" s="1127"/>
      <c r="D38" s="1125"/>
      <c r="E38" s="1125"/>
      <c r="F38" s="1130"/>
      <c r="G38" s="95"/>
      <c r="H38" s="1125"/>
      <c r="I38" s="1125"/>
      <c r="J38" s="1134"/>
      <c r="K38" s="1134"/>
      <c r="L38" s="892"/>
      <c r="M38" s="86"/>
      <c r="N38" s="103"/>
      <c r="O38" s="104"/>
      <c r="P38"/>
      <c r="Q38"/>
      <c r="R38"/>
      <c r="S38"/>
      <c r="T38"/>
      <c r="U38"/>
      <c r="V38"/>
      <c r="W38"/>
      <c r="X38"/>
    </row>
    <row r="39" spans="1:24" s="82" customFormat="1" ht="12.75" customHeight="1">
      <c r="A39" s="900"/>
      <c r="B39" s="1124"/>
      <c r="C39" s="1128"/>
      <c r="D39" s="1126"/>
      <c r="E39" s="1126"/>
      <c r="F39" s="1132"/>
      <c r="G39" s="100"/>
      <c r="H39" s="1126"/>
      <c r="I39" s="1126"/>
      <c r="J39" s="1135"/>
      <c r="K39" s="1135"/>
      <c r="L39" s="892"/>
      <c r="M39" s="86"/>
      <c r="N39" s="103"/>
      <c r="O39" s="104"/>
      <c r="P39"/>
      <c r="Q39"/>
      <c r="R39"/>
      <c r="S39"/>
      <c r="T39"/>
      <c r="U39"/>
      <c r="V39"/>
      <c r="W39"/>
      <c r="X39"/>
    </row>
    <row r="40" spans="1:24" s="82" customFormat="1" ht="12.75" customHeight="1">
      <c r="A40" s="900"/>
      <c r="B40" s="1123">
        <v>10</v>
      </c>
      <c r="C40" s="1127"/>
      <c r="D40" s="1125"/>
      <c r="E40" s="1125" t="s">
        <v>18</v>
      </c>
      <c r="F40" s="1130" t="str">
        <f>VLOOKUP(E40,$N$13:$O$17,2,0)</f>
        <v>-</v>
      </c>
      <c r="G40" s="92"/>
      <c r="H40" s="1125"/>
      <c r="I40" s="1125"/>
      <c r="J40" s="1133"/>
      <c r="K40" s="1133"/>
      <c r="L40" s="892"/>
      <c r="M40" s="86"/>
      <c r="N40" s="103"/>
      <c r="O40" s="104"/>
      <c r="P40"/>
      <c r="Q40"/>
      <c r="R40"/>
      <c r="S40"/>
      <c r="T40"/>
      <c r="U40"/>
      <c r="V40"/>
      <c r="W40"/>
      <c r="X40"/>
    </row>
    <row r="41" spans="1:24" s="82" customFormat="1" ht="12.75" customHeight="1">
      <c r="A41" s="900"/>
      <c r="B41" s="1123"/>
      <c r="C41" s="1127"/>
      <c r="D41" s="1125"/>
      <c r="E41" s="1125"/>
      <c r="F41" s="1130"/>
      <c r="G41" s="95"/>
      <c r="H41" s="1125"/>
      <c r="I41" s="1125"/>
      <c r="J41" s="1134"/>
      <c r="K41" s="1134"/>
      <c r="L41" s="892"/>
      <c r="M41" s="86"/>
      <c r="N41" s="103"/>
      <c r="O41" s="104"/>
      <c r="P41"/>
      <c r="Q41"/>
      <c r="R41"/>
      <c r="S41"/>
      <c r="T41"/>
      <c r="U41"/>
      <c r="V41"/>
      <c r="W41"/>
      <c r="X41"/>
    </row>
    <row r="42" spans="1:24" s="82" customFormat="1" ht="12.75" customHeight="1" thickBot="1">
      <c r="A42" s="900"/>
      <c r="B42" s="1124"/>
      <c r="C42" s="1128"/>
      <c r="D42" s="1126"/>
      <c r="E42" s="1126"/>
      <c r="F42" s="1132"/>
      <c r="G42" s="100"/>
      <c r="H42" s="1126"/>
      <c r="I42" s="1126"/>
      <c r="J42" s="1135"/>
      <c r="K42" s="1135"/>
      <c r="L42" s="892"/>
      <c r="M42" s="86"/>
      <c r="N42" s="103"/>
      <c r="O42" s="104"/>
      <c r="P42"/>
      <c r="Q42"/>
      <c r="R42"/>
      <c r="S42"/>
      <c r="T42"/>
      <c r="U42"/>
      <c r="V42"/>
      <c r="W42"/>
      <c r="X42"/>
    </row>
    <row r="43" spans="1:24" s="103" customFormat="1" ht="15.75" hidden="1" customHeight="1" outlineLevel="1">
      <c r="A43" s="916"/>
      <c r="B43" s="1123">
        <v>11</v>
      </c>
      <c r="C43" s="1127"/>
      <c r="D43" s="1125"/>
      <c r="E43" s="1125" t="s">
        <v>18</v>
      </c>
      <c r="F43" s="1130" t="str">
        <f>VLOOKUP(E43,$N$13:$O$17,2,0)</f>
        <v>-</v>
      </c>
      <c r="G43" s="92"/>
      <c r="H43" s="1125"/>
      <c r="I43" s="1125"/>
      <c r="J43" s="1133"/>
      <c r="K43" s="1133"/>
      <c r="L43" s="916"/>
      <c r="P43"/>
      <c r="Q43"/>
      <c r="R43"/>
      <c r="S43"/>
      <c r="T43"/>
      <c r="U43"/>
      <c r="V43"/>
      <c r="W43"/>
      <c r="X43"/>
    </row>
    <row r="44" spans="1:24" s="103" customFormat="1" ht="15.75" hidden="1" customHeight="1" outlineLevel="1">
      <c r="A44" s="916"/>
      <c r="B44" s="1123"/>
      <c r="C44" s="1127"/>
      <c r="D44" s="1125"/>
      <c r="E44" s="1125"/>
      <c r="F44" s="1130"/>
      <c r="G44" s="95"/>
      <c r="H44" s="1125"/>
      <c r="I44" s="1125"/>
      <c r="J44" s="1134"/>
      <c r="K44" s="1134"/>
      <c r="L44" s="916"/>
      <c r="P44"/>
      <c r="Q44"/>
      <c r="R44"/>
      <c r="S44"/>
      <c r="T44"/>
      <c r="U44"/>
      <c r="V44"/>
      <c r="W44"/>
      <c r="X44"/>
    </row>
    <row r="45" spans="1:24" s="80" customFormat="1" ht="15.75" hidden="1" customHeight="1" outlineLevel="1">
      <c r="A45" s="910"/>
      <c r="B45" s="1124"/>
      <c r="C45" s="1128"/>
      <c r="D45" s="1126"/>
      <c r="E45" s="1126"/>
      <c r="F45" s="1132"/>
      <c r="G45" s="100"/>
      <c r="H45" s="1126"/>
      <c r="I45" s="1126"/>
      <c r="J45" s="1135"/>
      <c r="K45" s="1135"/>
      <c r="L45" s="910"/>
      <c r="P45"/>
      <c r="Q45"/>
      <c r="R45"/>
      <c r="S45"/>
      <c r="T45"/>
      <c r="U45"/>
      <c r="V45"/>
      <c r="W45"/>
      <c r="X45"/>
    </row>
    <row r="46" spans="1:24" s="80" customFormat="1" ht="15.75" hidden="1" customHeight="1" outlineLevel="1">
      <c r="A46" s="910"/>
      <c r="B46" s="1123">
        <v>12</v>
      </c>
      <c r="C46" s="1127"/>
      <c r="D46" s="1125"/>
      <c r="E46" s="1125" t="s">
        <v>18</v>
      </c>
      <c r="F46" s="1130" t="str">
        <f>VLOOKUP(E46,$N$13:$O$17,2,0)</f>
        <v>-</v>
      </c>
      <c r="G46" s="92"/>
      <c r="H46" s="1125"/>
      <c r="I46" s="1125"/>
      <c r="J46" s="1133"/>
      <c r="K46" s="1133"/>
      <c r="L46" s="910"/>
      <c r="P46"/>
      <c r="Q46"/>
      <c r="R46"/>
      <c r="S46"/>
      <c r="T46"/>
      <c r="U46"/>
      <c r="V46"/>
      <c r="W46"/>
      <c r="X46"/>
    </row>
    <row r="47" spans="1:24" s="103" customFormat="1" ht="15.75" hidden="1" customHeight="1" outlineLevel="1">
      <c r="A47" s="916"/>
      <c r="B47" s="1123"/>
      <c r="C47" s="1127"/>
      <c r="D47" s="1125"/>
      <c r="E47" s="1125"/>
      <c r="F47" s="1130"/>
      <c r="G47" s="95"/>
      <c r="H47" s="1125"/>
      <c r="I47" s="1125"/>
      <c r="J47" s="1134"/>
      <c r="K47" s="1134"/>
      <c r="L47" s="916"/>
      <c r="P47"/>
      <c r="Q47"/>
      <c r="R47"/>
      <c r="S47"/>
      <c r="T47"/>
      <c r="U47"/>
      <c r="V47"/>
      <c r="W47"/>
      <c r="X47"/>
    </row>
    <row r="48" spans="1:24" s="103" customFormat="1" ht="15.75" hidden="1" customHeight="1" outlineLevel="1">
      <c r="A48" s="916"/>
      <c r="B48" s="1124"/>
      <c r="C48" s="1128"/>
      <c r="D48" s="1126"/>
      <c r="E48" s="1126"/>
      <c r="F48" s="1132"/>
      <c r="G48" s="100"/>
      <c r="H48" s="1126"/>
      <c r="I48" s="1126"/>
      <c r="J48" s="1135"/>
      <c r="K48" s="1135"/>
      <c r="L48" s="916"/>
      <c r="P48"/>
      <c r="Q48"/>
      <c r="R48"/>
      <c r="S48"/>
      <c r="T48"/>
      <c r="U48"/>
      <c r="V48"/>
      <c r="W48"/>
      <c r="X48"/>
    </row>
    <row r="49" spans="1:24" s="103" customFormat="1" ht="15.75" hidden="1" customHeight="1" outlineLevel="1">
      <c r="A49" s="916"/>
      <c r="B49" s="1123">
        <v>13</v>
      </c>
      <c r="C49" s="1127"/>
      <c r="D49" s="1125"/>
      <c r="E49" s="1125" t="s">
        <v>18</v>
      </c>
      <c r="F49" s="1130" t="str">
        <f>VLOOKUP(E49,$N$13:$O$17,2,0)</f>
        <v>-</v>
      </c>
      <c r="G49" s="92"/>
      <c r="H49" s="1125"/>
      <c r="I49" s="1125"/>
      <c r="J49" s="1133"/>
      <c r="K49" s="1133"/>
      <c r="L49" s="916"/>
      <c r="P49"/>
      <c r="Q49"/>
      <c r="R49"/>
      <c r="S49"/>
      <c r="T49"/>
      <c r="U49"/>
      <c r="V49"/>
      <c r="W49"/>
      <c r="X49"/>
    </row>
    <row r="50" spans="1:24" s="103" customFormat="1" ht="15.75" hidden="1" customHeight="1" outlineLevel="1">
      <c r="A50" s="916"/>
      <c r="B50" s="1123"/>
      <c r="C50" s="1127"/>
      <c r="D50" s="1125"/>
      <c r="E50" s="1125"/>
      <c r="F50" s="1130"/>
      <c r="G50" s="95"/>
      <c r="H50" s="1125"/>
      <c r="I50" s="1125"/>
      <c r="J50" s="1134"/>
      <c r="K50" s="1134"/>
      <c r="L50" s="916"/>
      <c r="P50"/>
      <c r="Q50"/>
      <c r="R50"/>
      <c r="S50"/>
      <c r="T50"/>
      <c r="U50"/>
      <c r="V50"/>
      <c r="W50"/>
      <c r="X50"/>
    </row>
    <row r="51" spans="1:24" s="103" customFormat="1" ht="15.75" hidden="1" customHeight="1" outlineLevel="1">
      <c r="A51" s="916"/>
      <c r="B51" s="1124"/>
      <c r="C51" s="1128"/>
      <c r="D51" s="1126"/>
      <c r="E51" s="1126"/>
      <c r="F51" s="1132"/>
      <c r="G51" s="100"/>
      <c r="H51" s="1126"/>
      <c r="I51" s="1126"/>
      <c r="J51" s="1135"/>
      <c r="K51" s="1135"/>
      <c r="L51" s="916"/>
      <c r="P51"/>
      <c r="Q51"/>
      <c r="R51"/>
      <c r="S51"/>
      <c r="T51"/>
      <c r="U51"/>
      <c r="V51"/>
      <c r="W51"/>
      <c r="X51"/>
    </row>
    <row r="52" spans="1:24" s="103" customFormat="1" ht="15.75" hidden="1" customHeight="1" outlineLevel="1">
      <c r="A52" s="916"/>
      <c r="B52" s="1123">
        <v>14</v>
      </c>
      <c r="C52" s="1127"/>
      <c r="D52" s="1125"/>
      <c r="E52" s="1125" t="s">
        <v>18</v>
      </c>
      <c r="F52" s="1130" t="str">
        <f>VLOOKUP(E52,$N$13:$O$17,2,0)</f>
        <v>-</v>
      </c>
      <c r="G52" s="92"/>
      <c r="H52" s="1125"/>
      <c r="I52" s="1125"/>
      <c r="J52" s="1133"/>
      <c r="K52" s="1133"/>
      <c r="L52" s="916"/>
      <c r="P52"/>
      <c r="Q52"/>
      <c r="R52"/>
      <c r="S52"/>
      <c r="T52"/>
      <c r="U52"/>
      <c r="V52"/>
      <c r="W52"/>
      <c r="X52"/>
    </row>
    <row r="53" spans="1:24" s="103" customFormat="1" ht="15.75" hidden="1" customHeight="1" outlineLevel="1">
      <c r="A53" s="916"/>
      <c r="B53" s="1123"/>
      <c r="C53" s="1127"/>
      <c r="D53" s="1125"/>
      <c r="E53" s="1125"/>
      <c r="F53" s="1130"/>
      <c r="G53" s="95"/>
      <c r="H53" s="1125"/>
      <c r="I53" s="1125"/>
      <c r="J53" s="1134"/>
      <c r="K53" s="1134"/>
      <c r="L53" s="916"/>
      <c r="P53"/>
      <c r="Q53"/>
      <c r="R53"/>
      <c r="S53"/>
      <c r="T53"/>
      <c r="U53"/>
      <c r="V53"/>
      <c r="W53"/>
      <c r="X53"/>
    </row>
    <row r="54" spans="1:24" s="103" customFormat="1" ht="15.75" hidden="1" customHeight="1" outlineLevel="1">
      <c r="A54" s="916"/>
      <c r="B54" s="1124"/>
      <c r="C54" s="1128"/>
      <c r="D54" s="1126"/>
      <c r="E54" s="1126"/>
      <c r="F54" s="1132"/>
      <c r="G54" s="100"/>
      <c r="H54" s="1126"/>
      <c r="I54" s="1126"/>
      <c r="J54" s="1135"/>
      <c r="K54" s="1135"/>
      <c r="L54" s="916"/>
      <c r="P54"/>
      <c r="Q54"/>
      <c r="R54"/>
      <c r="S54"/>
      <c r="T54"/>
      <c r="U54"/>
      <c r="V54"/>
      <c r="W54"/>
      <c r="X54"/>
    </row>
    <row r="55" spans="1:24" s="103" customFormat="1" ht="15.75" hidden="1" customHeight="1" outlineLevel="1">
      <c r="A55" s="916"/>
      <c r="B55" s="1123">
        <v>15</v>
      </c>
      <c r="C55" s="1127"/>
      <c r="D55" s="1125"/>
      <c r="E55" s="1125" t="s">
        <v>18</v>
      </c>
      <c r="F55" s="1130" t="str">
        <f>VLOOKUP(E55,$N$13:$O$17,2,0)</f>
        <v>-</v>
      </c>
      <c r="G55" s="92"/>
      <c r="H55" s="1125"/>
      <c r="I55" s="1125"/>
      <c r="J55" s="1133"/>
      <c r="K55" s="1133"/>
      <c r="L55" s="916"/>
      <c r="P55"/>
      <c r="Q55"/>
      <c r="R55"/>
      <c r="S55"/>
      <c r="T55"/>
      <c r="U55"/>
      <c r="V55"/>
      <c r="W55"/>
      <c r="X55"/>
    </row>
    <row r="56" spans="1:24" s="103" customFormat="1" ht="15.75" hidden="1" customHeight="1" outlineLevel="1">
      <c r="A56" s="916"/>
      <c r="B56" s="1123"/>
      <c r="C56" s="1127"/>
      <c r="D56" s="1125"/>
      <c r="E56" s="1125"/>
      <c r="F56" s="1130"/>
      <c r="G56" s="95"/>
      <c r="H56" s="1125"/>
      <c r="I56" s="1125"/>
      <c r="J56" s="1134"/>
      <c r="K56" s="1134"/>
      <c r="L56" s="916"/>
      <c r="P56"/>
      <c r="Q56"/>
      <c r="R56"/>
      <c r="S56"/>
      <c r="T56"/>
      <c r="U56"/>
      <c r="V56"/>
      <c r="W56"/>
      <c r="X56"/>
    </row>
    <row r="57" spans="1:24" s="103" customFormat="1" ht="15.75" hidden="1" customHeight="1" outlineLevel="1">
      <c r="A57" s="916"/>
      <c r="B57" s="1124"/>
      <c r="C57" s="1128"/>
      <c r="D57" s="1126"/>
      <c r="E57" s="1126"/>
      <c r="F57" s="1132"/>
      <c r="G57" s="100"/>
      <c r="H57" s="1126"/>
      <c r="I57" s="1126"/>
      <c r="J57" s="1135"/>
      <c r="K57" s="1135"/>
      <c r="L57" s="916"/>
      <c r="P57"/>
      <c r="Q57"/>
      <c r="R57"/>
      <c r="S57"/>
      <c r="T57"/>
      <c r="U57"/>
      <c r="V57"/>
      <c r="W57"/>
      <c r="X57"/>
    </row>
    <row r="58" spans="1:24" s="103" customFormat="1" ht="15.75" hidden="1" customHeight="1" outlineLevel="1">
      <c r="A58" s="916"/>
      <c r="B58" s="1123">
        <v>16</v>
      </c>
      <c r="C58" s="1127"/>
      <c r="D58" s="1125"/>
      <c r="E58" s="1125" t="s">
        <v>18</v>
      </c>
      <c r="F58" s="1130" t="e">
        <f>IF(F$25=0,0,F32/F$25)</f>
        <v>#VALUE!</v>
      </c>
      <c r="G58" s="92"/>
      <c r="H58" s="1125"/>
      <c r="I58" s="1125"/>
      <c r="J58" s="1133"/>
      <c r="K58" s="1133"/>
      <c r="L58" s="916"/>
      <c r="P58"/>
      <c r="Q58"/>
      <c r="R58"/>
      <c r="S58"/>
      <c r="T58"/>
      <c r="U58"/>
      <c r="V58"/>
      <c r="W58"/>
      <c r="X58"/>
    </row>
    <row r="59" spans="1:24" s="103" customFormat="1" ht="15.75" hidden="1" customHeight="1" outlineLevel="1">
      <c r="A59" s="916"/>
      <c r="B59" s="1123"/>
      <c r="C59" s="1127"/>
      <c r="D59" s="1125"/>
      <c r="E59" s="1125"/>
      <c r="F59" s="1130"/>
      <c r="G59" s="95"/>
      <c r="H59" s="1125"/>
      <c r="I59" s="1125"/>
      <c r="J59" s="1134"/>
      <c r="K59" s="1134"/>
      <c r="L59" s="916"/>
      <c r="P59"/>
      <c r="Q59"/>
      <c r="R59"/>
      <c r="S59"/>
      <c r="T59"/>
      <c r="U59"/>
      <c r="V59"/>
      <c r="W59"/>
      <c r="X59"/>
    </row>
    <row r="60" spans="1:24" s="103" customFormat="1" ht="15.75" hidden="1" customHeight="1" outlineLevel="1">
      <c r="A60" s="916"/>
      <c r="B60" s="1124"/>
      <c r="C60" s="1128"/>
      <c r="D60" s="1126"/>
      <c r="E60" s="1126"/>
      <c r="F60" s="1132"/>
      <c r="G60" s="100"/>
      <c r="H60" s="1126"/>
      <c r="I60" s="1126"/>
      <c r="J60" s="1135"/>
      <c r="K60" s="1135"/>
      <c r="L60" s="916"/>
      <c r="P60"/>
      <c r="Q60"/>
      <c r="R60"/>
      <c r="S60"/>
      <c r="T60"/>
      <c r="U60"/>
      <c r="V60"/>
      <c r="W60"/>
      <c r="X60"/>
    </row>
    <row r="61" spans="1:24" s="103" customFormat="1" ht="15.75" hidden="1" customHeight="1" outlineLevel="1">
      <c r="A61" s="916"/>
      <c r="B61" s="1123">
        <v>17</v>
      </c>
      <c r="C61" s="1127"/>
      <c r="D61" s="1125"/>
      <c r="E61" s="1125" t="s">
        <v>18</v>
      </c>
      <c r="F61" s="1130" t="str">
        <f>VLOOKUP(E61,$N$13:$O$17,2,0)</f>
        <v>-</v>
      </c>
      <c r="G61" s="92"/>
      <c r="H61" s="1125"/>
      <c r="I61" s="1125"/>
      <c r="J61" s="1133"/>
      <c r="K61" s="1133"/>
      <c r="L61" s="916"/>
      <c r="P61"/>
      <c r="Q61"/>
      <c r="R61"/>
      <c r="S61"/>
      <c r="T61"/>
      <c r="U61"/>
      <c r="V61"/>
      <c r="W61"/>
      <c r="X61"/>
    </row>
    <row r="62" spans="1:24" s="103" customFormat="1" ht="15.75" hidden="1" customHeight="1" outlineLevel="1">
      <c r="A62" s="916"/>
      <c r="B62" s="1123"/>
      <c r="C62" s="1127"/>
      <c r="D62" s="1125"/>
      <c r="E62" s="1125"/>
      <c r="F62" s="1130"/>
      <c r="G62" s="95"/>
      <c r="H62" s="1125"/>
      <c r="I62" s="1125"/>
      <c r="J62" s="1134"/>
      <c r="K62" s="1134"/>
      <c r="L62" s="916"/>
      <c r="P62"/>
      <c r="Q62"/>
      <c r="R62"/>
      <c r="S62"/>
      <c r="T62"/>
      <c r="U62"/>
      <c r="V62"/>
      <c r="W62"/>
      <c r="X62"/>
    </row>
    <row r="63" spans="1:24" s="103" customFormat="1" ht="15.75" hidden="1" customHeight="1" outlineLevel="1">
      <c r="A63" s="916"/>
      <c r="B63" s="1124"/>
      <c r="C63" s="1128"/>
      <c r="D63" s="1126"/>
      <c r="E63" s="1126"/>
      <c r="F63" s="1132"/>
      <c r="G63" s="100"/>
      <c r="H63" s="1126"/>
      <c r="I63" s="1126"/>
      <c r="J63" s="1135"/>
      <c r="K63" s="1135"/>
      <c r="L63" s="916"/>
      <c r="P63"/>
      <c r="Q63"/>
      <c r="R63"/>
      <c r="S63"/>
      <c r="T63"/>
      <c r="U63"/>
      <c r="V63"/>
      <c r="W63"/>
      <c r="X63"/>
    </row>
    <row r="64" spans="1:24" s="103" customFormat="1" ht="15.75" hidden="1" customHeight="1" outlineLevel="1">
      <c r="A64" s="916"/>
      <c r="B64" s="1123">
        <v>18</v>
      </c>
      <c r="C64" s="1127"/>
      <c r="D64" s="1125"/>
      <c r="E64" s="1125" t="s">
        <v>18</v>
      </c>
      <c r="F64" s="1130" t="str">
        <f>VLOOKUP(E64,$N$13:$O$17,2,0)</f>
        <v>-</v>
      </c>
      <c r="G64" s="92"/>
      <c r="H64" s="1125"/>
      <c r="I64" s="1125"/>
      <c r="J64" s="1133"/>
      <c r="K64" s="1133"/>
      <c r="L64" s="916"/>
      <c r="P64"/>
      <c r="Q64"/>
      <c r="R64"/>
      <c r="S64"/>
      <c r="T64"/>
      <c r="U64"/>
      <c r="V64"/>
      <c r="W64"/>
      <c r="X64"/>
    </row>
    <row r="65" spans="1:24" s="103" customFormat="1" ht="15.75" hidden="1" customHeight="1" outlineLevel="1">
      <c r="A65" s="916"/>
      <c r="B65" s="1123"/>
      <c r="C65" s="1127"/>
      <c r="D65" s="1125"/>
      <c r="E65" s="1125"/>
      <c r="F65" s="1130"/>
      <c r="G65" s="95"/>
      <c r="H65" s="1125"/>
      <c r="I65" s="1125"/>
      <c r="J65" s="1134"/>
      <c r="K65" s="1134"/>
      <c r="L65" s="916"/>
      <c r="P65"/>
      <c r="Q65"/>
      <c r="R65"/>
      <c r="S65"/>
      <c r="T65"/>
      <c r="U65"/>
      <c r="V65"/>
      <c r="W65"/>
      <c r="X65"/>
    </row>
    <row r="66" spans="1:24" s="103" customFormat="1" ht="15.75" hidden="1" customHeight="1" outlineLevel="1">
      <c r="A66" s="916"/>
      <c r="B66" s="1124"/>
      <c r="C66" s="1128"/>
      <c r="D66" s="1126"/>
      <c r="E66" s="1126"/>
      <c r="F66" s="1132"/>
      <c r="G66" s="100"/>
      <c r="H66" s="1126"/>
      <c r="I66" s="1126"/>
      <c r="J66" s="1135"/>
      <c r="K66" s="1135"/>
      <c r="L66" s="916"/>
      <c r="P66"/>
      <c r="Q66"/>
      <c r="R66"/>
      <c r="S66"/>
      <c r="T66"/>
      <c r="U66"/>
      <c r="V66"/>
      <c r="W66"/>
      <c r="X66"/>
    </row>
    <row r="67" spans="1:24" s="103" customFormat="1" ht="15.75" hidden="1" customHeight="1" outlineLevel="1">
      <c r="A67" s="916"/>
      <c r="B67" s="1123">
        <v>19</v>
      </c>
      <c r="C67" s="1127"/>
      <c r="D67" s="1125"/>
      <c r="E67" s="1125" t="s">
        <v>18</v>
      </c>
      <c r="F67" s="1130" t="str">
        <f>VLOOKUP(E67,$N$13:$O$17,2,0)</f>
        <v>-</v>
      </c>
      <c r="G67" s="92"/>
      <c r="H67" s="1125"/>
      <c r="I67" s="1125"/>
      <c r="J67" s="1133"/>
      <c r="K67" s="1133"/>
      <c r="L67" s="916"/>
      <c r="P67"/>
      <c r="Q67"/>
      <c r="R67"/>
      <c r="S67"/>
      <c r="T67"/>
      <c r="U67"/>
      <c r="V67"/>
      <c r="W67"/>
      <c r="X67"/>
    </row>
    <row r="68" spans="1:24" s="103" customFormat="1" ht="15.75" hidden="1" customHeight="1" outlineLevel="1">
      <c r="A68" s="916"/>
      <c r="B68" s="1123"/>
      <c r="C68" s="1127"/>
      <c r="D68" s="1125"/>
      <c r="E68" s="1125"/>
      <c r="F68" s="1130"/>
      <c r="G68" s="95"/>
      <c r="H68" s="1125"/>
      <c r="I68" s="1125"/>
      <c r="J68" s="1134"/>
      <c r="K68" s="1134"/>
      <c r="L68" s="916"/>
      <c r="P68"/>
      <c r="Q68"/>
      <c r="R68"/>
      <c r="S68"/>
      <c r="T68"/>
      <c r="U68"/>
      <c r="V68"/>
      <c r="W68"/>
      <c r="X68"/>
    </row>
    <row r="69" spans="1:24" s="103" customFormat="1" ht="15.75" hidden="1" customHeight="1" outlineLevel="1">
      <c r="A69" s="916"/>
      <c r="B69" s="1124"/>
      <c r="C69" s="1128"/>
      <c r="D69" s="1126"/>
      <c r="E69" s="1126"/>
      <c r="F69" s="1132"/>
      <c r="G69" s="100"/>
      <c r="H69" s="1126"/>
      <c r="I69" s="1126"/>
      <c r="J69" s="1135"/>
      <c r="K69" s="1135"/>
      <c r="L69" s="916"/>
      <c r="P69"/>
      <c r="Q69"/>
      <c r="R69"/>
      <c r="S69"/>
      <c r="T69"/>
      <c r="U69"/>
      <c r="V69"/>
      <c r="W69"/>
      <c r="X69"/>
    </row>
    <row r="70" spans="1:24" s="103" customFormat="1" ht="15.75" hidden="1" customHeight="1" outlineLevel="1">
      <c r="A70" s="916"/>
      <c r="B70" s="1123">
        <v>20</v>
      </c>
      <c r="C70" s="1127"/>
      <c r="D70" s="1125"/>
      <c r="E70" s="1125" t="s">
        <v>18</v>
      </c>
      <c r="F70" s="1130" t="str">
        <f>VLOOKUP(E70,$N$13:$O$17,2,0)</f>
        <v>-</v>
      </c>
      <c r="G70" s="92"/>
      <c r="H70" s="1125"/>
      <c r="I70" s="1125"/>
      <c r="J70" s="1133"/>
      <c r="K70" s="1133"/>
      <c r="L70" s="916"/>
      <c r="P70"/>
      <c r="Q70"/>
      <c r="R70"/>
      <c r="S70"/>
      <c r="T70"/>
      <c r="U70"/>
      <c r="V70"/>
      <c r="W70"/>
      <c r="X70"/>
    </row>
    <row r="71" spans="1:24" s="103" customFormat="1" ht="15.75" hidden="1" customHeight="1" outlineLevel="1">
      <c r="A71" s="916"/>
      <c r="B71" s="1123"/>
      <c r="C71" s="1127"/>
      <c r="D71" s="1125"/>
      <c r="E71" s="1125"/>
      <c r="F71" s="1130"/>
      <c r="G71" s="95"/>
      <c r="H71" s="1125"/>
      <c r="I71" s="1125"/>
      <c r="J71" s="1134"/>
      <c r="K71" s="1134"/>
      <c r="L71" s="916"/>
      <c r="P71"/>
      <c r="Q71"/>
      <c r="R71"/>
      <c r="S71"/>
      <c r="T71"/>
      <c r="U71"/>
      <c r="V71"/>
      <c r="W71"/>
      <c r="X71"/>
    </row>
    <row r="72" spans="1:24" s="103" customFormat="1" ht="15.75" hidden="1" customHeight="1" outlineLevel="1">
      <c r="A72" s="916"/>
      <c r="B72" s="1124"/>
      <c r="C72" s="1128"/>
      <c r="D72" s="1126"/>
      <c r="E72" s="1126"/>
      <c r="F72" s="1132"/>
      <c r="G72" s="100"/>
      <c r="H72" s="1126"/>
      <c r="I72" s="1126"/>
      <c r="J72" s="1135"/>
      <c r="K72" s="1135"/>
      <c r="L72" s="916"/>
      <c r="P72"/>
      <c r="Q72"/>
      <c r="R72"/>
      <c r="S72"/>
      <c r="T72"/>
      <c r="U72"/>
      <c r="V72"/>
      <c r="W72"/>
      <c r="X72"/>
    </row>
    <row r="73" spans="1:24" s="103" customFormat="1" ht="15.75" hidden="1" customHeight="1" outlineLevel="1">
      <c r="A73" s="916"/>
      <c r="B73" s="1123">
        <v>21</v>
      </c>
      <c r="C73" s="1127"/>
      <c r="D73" s="1125"/>
      <c r="E73" s="1125" t="s">
        <v>18</v>
      </c>
      <c r="F73" s="1130" t="str">
        <f>VLOOKUP(E73,$N$13:$O$17,2,0)</f>
        <v>-</v>
      </c>
      <c r="G73" s="92"/>
      <c r="H73" s="1125"/>
      <c r="I73" s="1125"/>
      <c r="J73" s="1133"/>
      <c r="K73" s="1133"/>
      <c r="L73" s="916"/>
      <c r="P73"/>
      <c r="Q73"/>
      <c r="R73"/>
      <c r="S73"/>
      <c r="T73"/>
      <c r="U73"/>
      <c r="V73"/>
      <c r="W73"/>
      <c r="X73"/>
    </row>
    <row r="74" spans="1:24" s="103" customFormat="1" ht="15.75" hidden="1" customHeight="1" outlineLevel="1">
      <c r="A74" s="916"/>
      <c r="B74" s="1123"/>
      <c r="C74" s="1127"/>
      <c r="D74" s="1125"/>
      <c r="E74" s="1125"/>
      <c r="F74" s="1130"/>
      <c r="G74" s="95"/>
      <c r="H74" s="1125"/>
      <c r="I74" s="1125"/>
      <c r="J74" s="1134"/>
      <c r="K74" s="1134"/>
      <c r="L74" s="916"/>
      <c r="P74"/>
      <c r="Q74"/>
      <c r="R74"/>
      <c r="S74"/>
      <c r="T74"/>
      <c r="U74"/>
      <c r="V74"/>
      <c r="W74"/>
      <c r="X74"/>
    </row>
    <row r="75" spans="1:24" s="103" customFormat="1" ht="15.75" hidden="1" customHeight="1" outlineLevel="1">
      <c r="A75" s="916"/>
      <c r="B75" s="1124"/>
      <c r="C75" s="1128"/>
      <c r="D75" s="1126"/>
      <c r="E75" s="1126"/>
      <c r="F75" s="1132"/>
      <c r="G75" s="100"/>
      <c r="H75" s="1126"/>
      <c r="I75" s="1126"/>
      <c r="J75" s="1135"/>
      <c r="K75" s="1135"/>
      <c r="L75" s="916"/>
      <c r="P75"/>
      <c r="Q75"/>
      <c r="R75"/>
      <c r="S75"/>
      <c r="T75"/>
      <c r="U75"/>
      <c r="V75"/>
      <c r="W75"/>
      <c r="X75"/>
    </row>
    <row r="76" spans="1:24" s="103" customFormat="1" ht="15.75" hidden="1" customHeight="1" outlineLevel="1">
      <c r="A76" s="916"/>
      <c r="B76" s="1123">
        <v>22</v>
      </c>
      <c r="C76" s="1127"/>
      <c r="D76" s="1125"/>
      <c r="E76" s="1125" t="s">
        <v>18</v>
      </c>
      <c r="F76" s="1130" t="str">
        <f>VLOOKUP(E76,$N$13:$O$17,2,0)</f>
        <v>-</v>
      </c>
      <c r="G76" s="92"/>
      <c r="H76" s="1125"/>
      <c r="I76" s="1125"/>
      <c r="J76" s="1133"/>
      <c r="K76" s="1133"/>
      <c r="L76" s="916"/>
      <c r="P76"/>
      <c r="Q76"/>
      <c r="R76"/>
      <c r="S76"/>
      <c r="T76"/>
      <c r="U76"/>
      <c r="V76"/>
      <c r="W76"/>
      <c r="X76"/>
    </row>
    <row r="77" spans="1:24" s="103" customFormat="1" ht="15.75" hidden="1" customHeight="1" outlineLevel="1">
      <c r="A77" s="916"/>
      <c r="B77" s="1123"/>
      <c r="C77" s="1127"/>
      <c r="D77" s="1125"/>
      <c r="E77" s="1125"/>
      <c r="F77" s="1130"/>
      <c r="G77" s="95"/>
      <c r="H77" s="1125"/>
      <c r="I77" s="1125"/>
      <c r="J77" s="1134"/>
      <c r="K77" s="1134"/>
      <c r="L77" s="916"/>
      <c r="P77"/>
      <c r="Q77"/>
      <c r="R77"/>
      <c r="S77"/>
      <c r="T77"/>
      <c r="U77"/>
      <c r="V77"/>
      <c r="W77"/>
      <c r="X77"/>
    </row>
    <row r="78" spans="1:24" s="103" customFormat="1" ht="15.75" hidden="1" customHeight="1" outlineLevel="1">
      <c r="A78" s="916"/>
      <c r="B78" s="1124"/>
      <c r="C78" s="1128"/>
      <c r="D78" s="1126"/>
      <c r="E78" s="1126"/>
      <c r="F78" s="1132"/>
      <c r="G78" s="100"/>
      <c r="H78" s="1126"/>
      <c r="I78" s="1126"/>
      <c r="J78" s="1135"/>
      <c r="K78" s="1135"/>
      <c r="L78" s="916"/>
      <c r="P78"/>
      <c r="Q78"/>
      <c r="R78"/>
      <c r="S78"/>
      <c r="T78"/>
      <c r="U78"/>
      <c r="V78"/>
      <c r="W78"/>
      <c r="X78"/>
    </row>
    <row r="79" spans="1:24" s="103" customFormat="1" ht="15.75" hidden="1" customHeight="1" outlineLevel="1">
      <c r="A79" s="916"/>
      <c r="B79" s="1123">
        <v>23</v>
      </c>
      <c r="C79" s="1127"/>
      <c r="D79" s="1125"/>
      <c r="E79" s="1125" t="s">
        <v>18</v>
      </c>
      <c r="F79" s="1130" t="str">
        <f>VLOOKUP(E79,$N$13:$O$17,2,0)</f>
        <v>-</v>
      </c>
      <c r="G79" s="92"/>
      <c r="H79" s="1125"/>
      <c r="I79" s="1125"/>
      <c r="J79" s="1133"/>
      <c r="K79" s="1133"/>
      <c r="L79" s="916"/>
      <c r="P79"/>
      <c r="Q79"/>
      <c r="R79"/>
      <c r="S79"/>
      <c r="T79"/>
      <c r="U79"/>
      <c r="V79"/>
      <c r="W79"/>
      <c r="X79"/>
    </row>
    <row r="80" spans="1:24" s="103" customFormat="1" ht="15.75" hidden="1" customHeight="1" outlineLevel="1">
      <c r="A80" s="916"/>
      <c r="B80" s="1123"/>
      <c r="C80" s="1127"/>
      <c r="D80" s="1125"/>
      <c r="E80" s="1125"/>
      <c r="F80" s="1130"/>
      <c r="G80" s="95"/>
      <c r="H80" s="1125"/>
      <c r="I80" s="1125"/>
      <c r="J80" s="1134"/>
      <c r="K80" s="1134"/>
      <c r="L80" s="916"/>
      <c r="P80"/>
      <c r="Q80"/>
      <c r="R80"/>
      <c r="S80"/>
      <c r="T80"/>
      <c r="U80"/>
      <c r="V80"/>
      <c r="W80"/>
      <c r="X80"/>
    </row>
    <row r="81" spans="1:24" s="103" customFormat="1" ht="15.75" hidden="1" customHeight="1" outlineLevel="1">
      <c r="A81" s="916"/>
      <c r="B81" s="1124"/>
      <c r="C81" s="1128"/>
      <c r="D81" s="1126"/>
      <c r="E81" s="1126"/>
      <c r="F81" s="1132"/>
      <c r="G81" s="100"/>
      <c r="H81" s="1126"/>
      <c r="I81" s="1126"/>
      <c r="J81" s="1135"/>
      <c r="K81" s="1135"/>
      <c r="L81" s="916"/>
      <c r="P81"/>
      <c r="Q81"/>
      <c r="R81"/>
      <c r="S81"/>
      <c r="T81"/>
      <c r="U81"/>
      <c r="V81"/>
      <c r="W81"/>
      <c r="X81"/>
    </row>
    <row r="82" spans="1:24" s="103" customFormat="1" ht="15.75" hidden="1" customHeight="1" outlineLevel="1">
      <c r="A82" s="916"/>
      <c r="B82" s="1123">
        <v>24</v>
      </c>
      <c r="C82" s="1127"/>
      <c r="D82" s="1125"/>
      <c r="E82" s="1125" t="s">
        <v>18</v>
      </c>
      <c r="F82" s="1130" t="str">
        <f>VLOOKUP(E82,$N$13:$O$17,2,0)</f>
        <v>-</v>
      </c>
      <c r="G82" s="92"/>
      <c r="H82" s="1125"/>
      <c r="I82" s="1125"/>
      <c r="J82" s="1133"/>
      <c r="K82" s="1133"/>
      <c r="L82" s="916"/>
      <c r="P82"/>
      <c r="Q82"/>
      <c r="R82"/>
      <c r="S82"/>
      <c r="T82"/>
      <c r="U82"/>
      <c r="V82"/>
      <c r="W82"/>
      <c r="X82"/>
    </row>
    <row r="83" spans="1:24" s="103" customFormat="1" ht="15.75" hidden="1" customHeight="1" outlineLevel="1">
      <c r="A83" s="916"/>
      <c r="B83" s="1123"/>
      <c r="C83" s="1127"/>
      <c r="D83" s="1125"/>
      <c r="E83" s="1125"/>
      <c r="F83" s="1130"/>
      <c r="G83" s="95"/>
      <c r="H83" s="1125"/>
      <c r="I83" s="1125"/>
      <c r="J83" s="1134"/>
      <c r="K83" s="1134"/>
      <c r="L83" s="916"/>
      <c r="P83"/>
      <c r="Q83"/>
      <c r="R83"/>
      <c r="S83"/>
      <c r="T83"/>
      <c r="U83"/>
      <c r="V83"/>
      <c r="W83"/>
      <c r="X83"/>
    </row>
    <row r="84" spans="1:24" s="103" customFormat="1" ht="15.75" hidden="1" customHeight="1" outlineLevel="1">
      <c r="A84" s="916"/>
      <c r="B84" s="1124"/>
      <c r="C84" s="1128"/>
      <c r="D84" s="1126"/>
      <c r="E84" s="1126"/>
      <c r="F84" s="1132"/>
      <c r="G84" s="100"/>
      <c r="H84" s="1126"/>
      <c r="I84" s="1126"/>
      <c r="J84" s="1135"/>
      <c r="K84" s="1135"/>
      <c r="L84" s="916"/>
      <c r="P84"/>
      <c r="Q84"/>
      <c r="R84"/>
      <c r="S84"/>
      <c r="T84"/>
      <c r="U84"/>
      <c r="V84"/>
      <c r="W84"/>
      <c r="X84"/>
    </row>
    <row r="85" spans="1:24" s="103" customFormat="1" ht="15.75" hidden="1" customHeight="1" outlineLevel="1">
      <c r="A85" s="916"/>
      <c r="B85" s="1123">
        <v>25</v>
      </c>
      <c r="C85" s="1127"/>
      <c r="D85" s="1125"/>
      <c r="E85" s="1125" t="s">
        <v>18</v>
      </c>
      <c r="F85" s="1130" t="str">
        <f>VLOOKUP(E85,$N$13:$O$17,2,0)</f>
        <v>-</v>
      </c>
      <c r="G85" s="92"/>
      <c r="H85" s="1125"/>
      <c r="I85" s="1125"/>
      <c r="J85" s="1133"/>
      <c r="K85" s="1133"/>
      <c r="L85" s="916"/>
      <c r="P85"/>
      <c r="Q85"/>
      <c r="R85"/>
      <c r="S85"/>
      <c r="T85"/>
      <c r="U85"/>
      <c r="V85"/>
      <c r="W85"/>
      <c r="X85"/>
    </row>
    <row r="86" spans="1:24" s="103" customFormat="1" ht="15.75" hidden="1" customHeight="1" outlineLevel="1">
      <c r="A86" s="916"/>
      <c r="B86" s="1123"/>
      <c r="C86" s="1127"/>
      <c r="D86" s="1125"/>
      <c r="E86" s="1125"/>
      <c r="F86" s="1130"/>
      <c r="G86" s="95"/>
      <c r="H86" s="1125"/>
      <c r="I86" s="1125"/>
      <c r="J86" s="1134"/>
      <c r="K86" s="1134"/>
      <c r="L86" s="916"/>
      <c r="P86"/>
      <c r="Q86"/>
      <c r="R86"/>
      <c r="S86"/>
      <c r="T86"/>
      <c r="U86"/>
      <c r="V86"/>
      <c r="W86"/>
      <c r="X86"/>
    </row>
    <row r="87" spans="1:24" s="103" customFormat="1" ht="15.75" hidden="1" customHeight="1" outlineLevel="1">
      <c r="A87" s="916"/>
      <c r="B87" s="1124"/>
      <c r="C87" s="1128"/>
      <c r="D87" s="1126"/>
      <c r="E87" s="1126"/>
      <c r="F87" s="1132"/>
      <c r="G87" s="100"/>
      <c r="H87" s="1126"/>
      <c r="I87" s="1126"/>
      <c r="J87" s="1135"/>
      <c r="K87" s="1135"/>
      <c r="L87" s="916"/>
      <c r="P87"/>
      <c r="Q87"/>
      <c r="R87"/>
      <c r="S87"/>
      <c r="T87"/>
      <c r="U87"/>
      <c r="V87"/>
      <c r="W87"/>
      <c r="X87"/>
    </row>
    <row r="88" spans="1:24" s="103" customFormat="1" ht="15.75" hidden="1" customHeight="1" outlineLevel="1">
      <c r="A88" s="916"/>
      <c r="B88" s="1123">
        <v>26</v>
      </c>
      <c r="C88" s="1127"/>
      <c r="D88" s="1125"/>
      <c r="E88" s="1125" t="s">
        <v>18</v>
      </c>
      <c r="F88" s="1130" t="str">
        <f>VLOOKUP(E88,$N$13:$O$17,2,0)</f>
        <v>-</v>
      </c>
      <c r="G88" s="92"/>
      <c r="H88" s="1125"/>
      <c r="I88" s="1125"/>
      <c r="J88" s="1133"/>
      <c r="K88" s="1133"/>
      <c r="L88" s="916"/>
      <c r="P88"/>
      <c r="Q88"/>
      <c r="R88"/>
      <c r="S88"/>
      <c r="T88"/>
      <c r="U88"/>
      <c r="V88"/>
      <c r="W88"/>
      <c r="X88"/>
    </row>
    <row r="89" spans="1:24" s="103" customFormat="1" ht="15.75" hidden="1" customHeight="1" outlineLevel="1">
      <c r="A89" s="916"/>
      <c r="B89" s="1123"/>
      <c r="C89" s="1127"/>
      <c r="D89" s="1125"/>
      <c r="E89" s="1125"/>
      <c r="F89" s="1130"/>
      <c r="G89" s="95"/>
      <c r="H89" s="1125"/>
      <c r="I89" s="1125"/>
      <c r="J89" s="1134"/>
      <c r="K89" s="1134"/>
      <c r="L89" s="916"/>
      <c r="P89"/>
      <c r="Q89"/>
      <c r="R89"/>
      <c r="S89"/>
      <c r="T89"/>
      <c r="U89"/>
      <c r="V89"/>
      <c r="W89"/>
      <c r="X89"/>
    </row>
    <row r="90" spans="1:24" s="103" customFormat="1" ht="15.75" hidden="1" customHeight="1" outlineLevel="1">
      <c r="A90" s="916"/>
      <c r="B90" s="1124"/>
      <c r="C90" s="1128"/>
      <c r="D90" s="1126"/>
      <c r="E90" s="1126"/>
      <c r="F90" s="1132"/>
      <c r="G90" s="100"/>
      <c r="H90" s="1126"/>
      <c r="I90" s="1126"/>
      <c r="J90" s="1135"/>
      <c r="K90" s="1135"/>
      <c r="L90" s="916"/>
      <c r="P90"/>
      <c r="Q90"/>
      <c r="R90"/>
      <c r="S90"/>
      <c r="T90"/>
      <c r="U90"/>
      <c r="V90"/>
      <c r="W90"/>
      <c r="X90"/>
    </row>
    <row r="91" spans="1:24" s="103" customFormat="1" ht="15.75" hidden="1" customHeight="1" outlineLevel="1">
      <c r="A91" s="916"/>
      <c r="B91" s="1123">
        <v>27</v>
      </c>
      <c r="C91" s="1127"/>
      <c r="D91" s="1125"/>
      <c r="E91" s="1125" t="s">
        <v>18</v>
      </c>
      <c r="F91" s="1130" t="str">
        <f>VLOOKUP(E91,$N$13:$O$17,2,0)</f>
        <v>-</v>
      </c>
      <c r="G91" s="92"/>
      <c r="H91" s="1125"/>
      <c r="I91" s="1125"/>
      <c r="J91" s="1133"/>
      <c r="K91" s="1133"/>
      <c r="L91" s="916"/>
      <c r="P91"/>
      <c r="Q91"/>
      <c r="R91"/>
      <c r="S91"/>
      <c r="T91"/>
      <c r="U91"/>
      <c r="V91"/>
      <c r="W91"/>
      <c r="X91"/>
    </row>
    <row r="92" spans="1:24" s="103" customFormat="1" ht="15.75" hidden="1" customHeight="1" outlineLevel="1">
      <c r="A92" s="916"/>
      <c r="B92" s="1123"/>
      <c r="C92" s="1127"/>
      <c r="D92" s="1125"/>
      <c r="E92" s="1125"/>
      <c r="F92" s="1130"/>
      <c r="G92" s="95"/>
      <c r="H92" s="1125"/>
      <c r="I92" s="1125"/>
      <c r="J92" s="1134"/>
      <c r="K92" s="1134"/>
      <c r="L92" s="916"/>
      <c r="P92"/>
      <c r="Q92"/>
      <c r="R92"/>
      <c r="S92"/>
      <c r="T92"/>
      <c r="U92"/>
      <c r="V92"/>
      <c r="W92"/>
      <c r="X92"/>
    </row>
    <row r="93" spans="1:24" s="103" customFormat="1" ht="15.75" hidden="1" customHeight="1" outlineLevel="1">
      <c r="A93" s="916"/>
      <c r="B93" s="1124"/>
      <c r="C93" s="1128"/>
      <c r="D93" s="1126"/>
      <c r="E93" s="1126"/>
      <c r="F93" s="1132"/>
      <c r="G93" s="100"/>
      <c r="H93" s="1126"/>
      <c r="I93" s="1126"/>
      <c r="J93" s="1135"/>
      <c r="K93" s="1135"/>
      <c r="L93" s="916"/>
      <c r="P93"/>
      <c r="Q93"/>
      <c r="R93"/>
      <c r="S93"/>
      <c r="T93"/>
      <c r="U93"/>
      <c r="V93"/>
      <c r="W93"/>
      <c r="X93"/>
    </row>
    <row r="94" spans="1:24" s="103" customFormat="1" ht="15.75" hidden="1" customHeight="1" outlineLevel="1">
      <c r="A94" s="916"/>
      <c r="B94" s="1123">
        <v>28</v>
      </c>
      <c r="C94" s="1127"/>
      <c r="D94" s="1125"/>
      <c r="E94" s="1125" t="s">
        <v>18</v>
      </c>
      <c r="F94" s="1130" t="str">
        <f>VLOOKUP(E94,$N$13:$O$17,2,0)</f>
        <v>-</v>
      </c>
      <c r="G94" s="92"/>
      <c r="H94" s="1125"/>
      <c r="I94" s="1125"/>
      <c r="J94" s="1133"/>
      <c r="K94" s="1133"/>
      <c r="L94" s="916"/>
      <c r="P94"/>
      <c r="Q94"/>
      <c r="R94"/>
      <c r="S94"/>
      <c r="T94"/>
      <c r="U94"/>
      <c r="V94"/>
      <c r="W94"/>
      <c r="X94"/>
    </row>
    <row r="95" spans="1:24" s="103" customFormat="1" ht="15.75" hidden="1" customHeight="1" outlineLevel="1">
      <c r="A95" s="916"/>
      <c r="B95" s="1123"/>
      <c r="C95" s="1127"/>
      <c r="D95" s="1125"/>
      <c r="E95" s="1125"/>
      <c r="F95" s="1130"/>
      <c r="G95" s="95"/>
      <c r="H95" s="1125"/>
      <c r="I95" s="1125"/>
      <c r="J95" s="1134"/>
      <c r="K95" s="1134"/>
      <c r="L95" s="916"/>
      <c r="P95"/>
      <c r="Q95"/>
      <c r="R95"/>
      <c r="S95"/>
      <c r="T95"/>
      <c r="U95"/>
      <c r="V95"/>
      <c r="W95"/>
      <c r="X95"/>
    </row>
    <row r="96" spans="1:24" s="103" customFormat="1" ht="15.75" hidden="1" customHeight="1" outlineLevel="1">
      <c r="A96" s="916"/>
      <c r="B96" s="1124"/>
      <c r="C96" s="1128"/>
      <c r="D96" s="1126"/>
      <c r="E96" s="1126"/>
      <c r="F96" s="1132"/>
      <c r="G96" s="100"/>
      <c r="H96" s="1126"/>
      <c r="I96" s="1126"/>
      <c r="J96" s="1135"/>
      <c r="K96" s="1135"/>
      <c r="L96" s="916"/>
      <c r="P96"/>
      <c r="Q96"/>
      <c r="R96"/>
      <c r="S96"/>
      <c r="T96"/>
      <c r="U96"/>
      <c r="V96"/>
      <c r="W96"/>
      <c r="X96"/>
    </row>
    <row r="97" spans="1:24" s="103" customFormat="1" ht="15.75" hidden="1" customHeight="1" outlineLevel="1">
      <c r="A97" s="916"/>
      <c r="B97" s="1123">
        <v>29</v>
      </c>
      <c r="C97" s="1127"/>
      <c r="D97" s="1125"/>
      <c r="E97" s="1125" t="s">
        <v>18</v>
      </c>
      <c r="F97" s="1130" t="str">
        <f>VLOOKUP(E97,$N$13:$O$17,2,0)</f>
        <v>-</v>
      </c>
      <c r="G97" s="92"/>
      <c r="H97" s="1125"/>
      <c r="I97" s="1125"/>
      <c r="J97" s="1133"/>
      <c r="K97" s="1133"/>
      <c r="L97" s="916"/>
      <c r="P97"/>
      <c r="Q97"/>
      <c r="R97"/>
      <c r="S97"/>
      <c r="T97"/>
      <c r="U97"/>
      <c r="V97"/>
      <c r="W97"/>
      <c r="X97"/>
    </row>
    <row r="98" spans="1:24" s="103" customFormat="1" ht="15.75" hidden="1" customHeight="1" outlineLevel="1">
      <c r="A98" s="916"/>
      <c r="B98" s="1123"/>
      <c r="C98" s="1127"/>
      <c r="D98" s="1125"/>
      <c r="E98" s="1125"/>
      <c r="F98" s="1130"/>
      <c r="G98" s="95"/>
      <c r="H98" s="1125"/>
      <c r="I98" s="1125"/>
      <c r="J98" s="1134"/>
      <c r="K98" s="1134"/>
      <c r="L98" s="916"/>
      <c r="P98"/>
      <c r="Q98"/>
      <c r="R98"/>
      <c r="S98"/>
      <c r="T98"/>
      <c r="U98"/>
      <c r="V98"/>
      <c r="W98"/>
      <c r="X98"/>
    </row>
    <row r="99" spans="1:24" s="103" customFormat="1" ht="15.75" hidden="1" customHeight="1" outlineLevel="1">
      <c r="A99" s="916"/>
      <c r="B99" s="1124"/>
      <c r="C99" s="1128"/>
      <c r="D99" s="1126"/>
      <c r="E99" s="1126"/>
      <c r="F99" s="1132"/>
      <c r="G99" s="100"/>
      <c r="H99" s="1126"/>
      <c r="I99" s="1126"/>
      <c r="J99" s="1135"/>
      <c r="K99" s="1135"/>
      <c r="L99" s="916"/>
      <c r="P99"/>
      <c r="Q99"/>
      <c r="R99"/>
      <c r="S99"/>
      <c r="T99"/>
      <c r="U99"/>
      <c r="V99"/>
      <c r="W99"/>
      <c r="X99"/>
    </row>
    <row r="100" spans="1:24" s="103" customFormat="1" ht="15.75" hidden="1" customHeight="1" outlineLevel="1">
      <c r="A100" s="916"/>
      <c r="B100" s="1123">
        <v>30</v>
      </c>
      <c r="C100" s="1127"/>
      <c r="D100" s="1125"/>
      <c r="E100" s="1125" t="s">
        <v>18</v>
      </c>
      <c r="F100" s="1130" t="str">
        <f>VLOOKUP(E100,$N$13:$O$17,2,0)</f>
        <v>-</v>
      </c>
      <c r="G100" s="92"/>
      <c r="H100" s="1125"/>
      <c r="I100" s="1125"/>
      <c r="J100" s="1133"/>
      <c r="K100" s="1133"/>
      <c r="L100" s="916"/>
      <c r="P100"/>
      <c r="Q100"/>
      <c r="R100"/>
      <c r="S100"/>
      <c r="T100"/>
      <c r="U100"/>
      <c r="V100"/>
      <c r="W100"/>
      <c r="X100"/>
    </row>
    <row r="101" spans="1:24" s="103" customFormat="1" ht="15.75" hidden="1" customHeight="1" outlineLevel="1">
      <c r="A101" s="916"/>
      <c r="B101" s="1123"/>
      <c r="C101" s="1127"/>
      <c r="D101" s="1125"/>
      <c r="E101" s="1125"/>
      <c r="F101" s="1130"/>
      <c r="G101" s="95"/>
      <c r="H101" s="1125"/>
      <c r="I101" s="1125"/>
      <c r="J101" s="1134"/>
      <c r="K101" s="1134"/>
      <c r="L101" s="916"/>
      <c r="P101"/>
      <c r="Q101"/>
      <c r="R101"/>
      <c r="S101"/>
      <c r="T101"/>
      <c r="U101"/>
      <c r="V101"/>
      <c r="W101"/>
      <c r="X101"/>
    </row>
    <row r="102" spans="1:24" s="103" customFormat="1" ht="15.75" hidden="1" customHeight="1" outlineLevel="1">
      <c r="A102" s="916"/>
      <c r="B102" s="1124"/>
      <c r="C102" s="1128"/>
      <c r="D102" s="1126"/>
      <c r="E102" s="1126"/>
      <c r="F102" s="1132"/>
      <c r="G102" s="100"/>
      <c r="H102" s="1126"/>
      <c r="I102" s="1126"/>
      <c r="J102" s="1135"/>
      <c r="K102" s="1135"/>
      <c r="L102" s="916"/>
      <c r="P102"/>
      <c r="Q102"/>
      <c r="R102"/>
      <c r="S102"/>
      <c r="T102"/>
      <c r="U102"/>
      <c r="V102"/>
      <c r="W102"/>
      <c r="X102"/>
    </row>
    <row r="103" spans="1:24" s="103" customFormat="1" ht="15.75" hidden="1" customHeight="1" outlineLevel="1">
      <c r="A103" s="916"/>
      <c r="B103" s="1123">
        <v>31</v>
      </c>
      <c r="C103" s="1127"/>
      <c r="D103" s="1125"/>
      <c r="E103" s="1125" t="s">
        <v>18</v>
      </c>
      <c r="F103" s="1130" t="str">
        <f>VLOOKUP(E103,$N$13:$O$17,2,0)</f>
        <v>-</v>
      </c>
      <c r="G103" s="92"/>
      <c r="H103" s="1125"/>
      <c r="I103" s="1125"/>
      <c r="J103" s="1133"/>
      <c r="K103" s="1133"/>
      <c r="L103" s="916"/>
      <c r="P103"/>
      <c r="Q103"/>
      <c r="R103"/>
      <c r="S103"/>
      <c r="T103"/>
      <c r="U103"/>
      <c r="V103"/>
      <c r="W103"/>
      <c r="X103"/>
    </row>
    <row r="104" spans="1:24" s="103" customFormat="1" ht="15.75" hidden="1" customHeight="1" outlineLevel="1">
      <c r="A104" s="916"/>
      <c r="B104" s="1123"/>
      <c r="C104" s="1127"/>
      <c r="D104" s="1125"/>
      <c r="E104" s="1125"/>
      <c r="F104" s="1130"/>
      <c r="G104" s="95"/>
      <c r="H104" s="1125"/>
      <c r="I104" s="1125"/>
      <c r="J104" s="1134"/>
      <c r="K104" s="1134"/>
      <c r="L104" s="916"/>
      <c r="P104"/>
      <c r="Q104"/>
      <c r="R104"/>
      <c r="S104"/>
      <c r="T104"/>
      <c r="U104"/>
      <c r="V104"/>
      <c r="W104"/>
      <c r="X104"/>
    </row>
    <row r="105" spans="1:24" s="103" customFormat="1" ht="15.75" hidden="1" customHeight="1" outlineLevel="1">
      <c r="A105" s="916"/>
      <c r="B105" s="1124"/>
      <c r="C105" s="1128"/>
      <c r="D105" s="1126"/>
      <c r="E105" s="1126"/>
      <c r="F105" s="1132"/>
      <c r="G105" s="100"/>
      <c r="H105" s="1126"/>
      <c r="I105" s="1126"/>
      <c r="J105" s="1135"/>
      <c r="K105" s="1135"/>
      <c r="L105" s="916"/>
      <c r="P105"/>
      <c r="Q105"/>
      <c r="R105"/>
      <c r="S105"/>
      <c r="T105"/>
      <c r="U105"/>
      <c r="V105"/>
      <c r="W105"/>
      <c r="X105"/>
    </row>
    <row r="106" spans="1:24" s="103" customFormat="1" ht="15.75" hidden="1" customHeight="1" outlineLevel="1">
      <c r="A106" s="916"/>
      <c r="B106" s="1123">
        <v>32</v>
      </c>
      <c r="C106" s="1127"/>
      <c r="D106" s="1125"/>
      <c r="E106" s="1125" t="s">
        <v>18</v>
      </c>
      <c r="F106" s="1130" t="str">
        <f>VLOOKUP(E106,$N$13:$O$17,2,0)</f>
        <v>-</v>
      </c>
      <c r="G106" s="92"/>
      <c r="H106" s="1125"/>
      <c r="I106" s="1125"/>
      <c r="J106" s="1133"/>
      <c r="K106" s="1133"/>
      <c r="L106" s="916"/>
      <c r="P106"/>
      <c r="Q106"/>
      <c r="R106"/>
      <c r="S106"/>
      <c r="T106"/>
      <c r="U106"/>
      <c r="V106"/>
      <c r="W106"/>
      <c r="X106"/>
    </row>
    <row r="107" spans="1:24" s="103" customFormat="1" ht="15.75" hidden="1" customHeight="1" outlineLevel="1">
      <c r="A107" s="916"/>
      <c r="B107" s="1123"/>
      <c r="C107" s="1127"/>
      <c r="D107" s="1125"/>
      <c r="E107" s="1125"/>
      <c r="F107" s="1130"/>
      <c r="G107" s="95"/>
      <c r="H107" s="1125"/>
      <c r="I107" s="1125"/>
      <c r="J107" s="1134"/>
      <c r="K107" s="1134"/>
      <c r="L107" s="916"/>
      <c r="P107"/>
      <c r="Q107"/>
      <c r="R107"/>
      <c r="S107"/>
      <c r="T107"/>
      <c r="U107"/>
      <c r="V107"/>
      <c r="W107"/>
      <c r="X107"/>
    </row>
    <row r="108" spans="1:24" s="103" customFormat="1" ht="15.75" hidden="1" customHeight="1" outlineLevel="1">
      <c r="A108" s="916"/>
      <c r="B108" s="1124"/>
      <c r="C108" s="1128"/>
      <c r="D108" s="1126"/>
      <c r="E108" s="1126"/>
      <c r="F108" s="1132"/>
      <c r="G108" s="100"/>
      <c r="H108" s="1126"/>
      <c r="I108" s="1126"/>
      <c r="J108" s="1135"/>
      <c r="K108" s="1135"/>
      <c r="L108" s="916"/>
      <c r="P108"/>
      <c r="Q108"/>
      <c r="R108"/>
      <c r="S108"/>
      <c r="T108"/>
      <c r="U108"/>
      <c r="V108"/>
      <c r="W108"/>
      <c r="X108"/>
    </row>
    <row r="109" spans="1:24" s="103" customFormat="1" ht="15.75" hidden="1" customHeight="1" outlineLevel="1">
      <c r="A109" s="916"/>
      <c r="B109" s="1123">
        <v>33</v>
      </c>
      <c r="C109" s="1127"/>
      <c r="D109" s="1125"/>
      <c r="E109" s="1125" t="s">
        <v>18</v>
      </c>
      <c r="F109" s="1130" t="str">
        <f>VLOOKUP(E109,$N$13:$O$17,2,0)</f>
        <v>-</v>
      </c>
      <c r="G109" s="92"/>
      <c r="H109" s="1125"/>
      <c r="I109" s="1125"/>
      <c r="J109" s="1133"/>
      <c r="K109" s="1133"/>
      <c r="L109" s="916"/>
      <c r="P109"/>
      <c r="Q109"/>
      <c r="R109"/>
      <c r="S109"/>
      <c r="T109"/>
      <c r="U109"/>
      <c r="V109"/>
      <c r="W109"/>
      <c r="X109"/>
    </row>
    <row r="110" spans="1:24" s="103" customFormat="1" ht="15.75" hidden="1" customHeight="1" outlineLevel="1">
      <c r="A110" s="916"/>
      <c r="B110" s="1123"/>
      <c r="C110" s="1127"/>
      <c r="D110" s="1125"/>
      <c r="E110" s="1125"/>
      <c r="F110" s="1130"/>
      <c r="G110" s="95"/>
      <c r="H110" s="1125"/>
      <c r="I110" s="1125"/>
      <c r="J110" s="1134"/>
      <c r="K110" s="1134"/>
      <c r="L110" s="916"/>
      <c r="P110"/>
      <c r="Q110"/>
      <c r="R110"/>
      <c r="S110"/>
      <c r="T110"/>
      <c r="U110"/>
      <c r="V110"/>
      <c r="W110"/>
      <c r="X110"/>
    </row>
    <row r="111" spans="1:24" s="103" customFormat="1" ht="15.75" hidden="1" customHeight="1" outlineLevel="1">
      <c r="A111" s="916"/>
      <c r="B111" s="1124"/>
      <c r="C111" s="1128"/>
      <c r="D111" s="1126"/>
      <c r="E111" s="1126"/>
      <c r="F111" s="1132"/>
      <c r="G111" s="100"/>
      <c r="H111" s="1126"/>
      <c r="I111" s="1126"/>
      <c r="J111" s="1135"/>
      <c r="K111" s="1135"/>
      <c r="L111" s="916"/>
      <c r="P111"/>
      <c r="Q111"/>
      <c r="R111"/>
      <c r="S111"/>
      <c r="T111"/>
      <c r="U111"/>
      <c r="V111"/>
      <c r="W111"/>
      <c r="X111"/>
    </row>
    <row r="112" spans="1:24" s="103" customFormat="1" ht="15.75" hidden="1" customHeight="1" outlineLevel="1">
      <c r="A112" s="916"/>
      <c r="B112" s="1123">
        <v>34</v>
      </c>
      <c r="C112" s="1127"/>
      <c r="D112" s="1125"/>
      <c r="E112" s="1125" t="s">
        <v>18</v>
      </c>
      <c r="F112" s="1130" t="str">
        <f>VLOOKUP(E112,$N$13:$O$17,2,0)</f>
        <v>-</v>
      </c>
      <c r="G112" s="92"/>
      <c r="H112" s="1125"/>
      <c r="I112" s="1125"/>
      <c r="J112" s="1133"/>
      <c r="K112" s="1133"/>
      <c r="L112" s="916"/>
      <c r="P112"/>
      <c r="Q112"/>
      <c r="R112"/>
      <c r="S112"/>
      <c r="T112"/>
      <c r="U112"/>
      <c r="V112"/>
      <c r="W112"/>
      <c r="X112"/>
    </row>
    <row r="113" spans="1:24" s="103" customFormat="1" ht="15.75" hidden="1" customHeight="1" outlineLevel="1">
      <c r="A113" s="916"/>
      <c r="B113" s="1123"/>
      <c r="C113" s="1127"/>
      <c r="D113" s="1125"/>
      <c r="E113" s="1125"/>
      <c r="F113" s="1130"/>
      <c r="G113" s="95"/>
      <c r="H113" s="1125"/>
      <c r="I113" s="1125"/>
      <c r="J113" s="1134"/>
      <c r="K113" s="1134"/>
      <c r="L113" s="916"/>
      <c r="P113"/>
      <c r="Q113"/>
      <c r="R113"/>
      <c r="S113"/>
      <c r="T113"/>
      <c r="U113"/>
      <c r="V113"/>
      <c r="W113"/>
      <c r="X113"/>
    </row>
    <row r="114" spans="1:24" s="103" customFormat="1" ht="15.75" hidden="1" customHeight="1" outlineLevel="1">
      <c r="A114" s="916"/>
      <c r="B114" s="1124"/>
      <c r="C114" s="1128"/>
      <c r="D114" s="1126"/>
      <c r="E114" s="1126"/>
      <c r="F114" s="1132"/>
      <c r="G114" s="100"/>
      <c r="H114" s="1126"/>
      <c r="I114" s="1126"/>
      <c r="J114" s="1135"/>
      <c r="K114" s="1135"/>
      <c r="L114" s="916"/>
      <c r="P114"/>
      <c r="Q114"/>
      <c r="R114"/>
      <c r="S114"/>
      <c r="T114"/>
      <c r="U114"/>
      <c r="V114"/>
      <c r="W114"/>
      <c r="X114"/>
    </row>
    <row r="115" spans="1:24" s="103" customFormat="1" ht="15.75" hidden="1" customHeight="1" outlineLevel="1">
      <c r="A115" s="916"/>
      <c r="B115" s="1123">
        <v>35</v>
      </c>
      <c r="C115" s="1127"/>
      <c r="D115" s="1125"/>
      <c r="E115" s="1125" t="s">
        <v>18</v>
      </c>
      <c r="F115" s="1130" t="str">
        <f>VLOOKUP(E115,$N$13:$O$17,2,0)</f>
        <v>-</v>
      </c>
      <c r="G115" s="92"/>
      <c r="H115" s="1125"/>
      <c r="I115" s="1125"/>
      <c r="J115" s="1133"/>
      <c r="K115" s="1133"/>
      <c r="L115" s="916"/>
      <c r="P115"/>
      <c r="Q115"/>
      <c r="R115"/>
      <c r="S115"/>
      <c r="T115"/>
      <c r="U115"/>
      <c r="V115"/>
      <c r="W115"/>
      <c r="X115"/>
    </row>
    <row r="116" spans="1:24" s="103" customFormat="1" ht="15.75" hidden="1" customHeight="1" outlineLevel="1">
      <c r="A116" s="916"/>
      <c r="B116" s="1123"/>
      <c r="C116" s="1127"/>
      <c r="D116" s="1125"/>
      <c r="E116" s="1125"/>
      <c r="F116" s="1130"/>
      <c r="G116" s="95"/>
      <c r="H116" s="1125"/>
      <c r="I116" s="1125"/>
      <c r="J116" s="1134"/>
      <c r="K116" s="1134"/>
      <c r="L116" s="916"/>
      <c r="P116"/>
      <c r="Q116"/>
      <c r="R116"/>
      <c r="S116"/>
      <c r="T116"/>
      <c r="U116"/>
      <c r="V116"/>
      <c r="W116"/>
      <c r="X116"/>
    </row>
    <row r="117" spans="1:24" s="103" customFormat="1" ht="15.75" hidden="1" customHeight="1" outlineLevel="1">
      <c r="A117" s="916"/>
      <c r="B117" s="1124"/>
      <c r="C117" s="1128"/>
      <c r="D117" s="1126"/>
      <c r="E117" s="1126"/>
      <c r="F117" s="1132"/>
      <c r="G117" s="100"/>
      <c r="H117" s="1126"/>
      <c r="I117" s="1126"/>
      <c r="J117" s="1135"/>
      <c r="K117" s="1135"/>
      <c r="L117" s="916"/>
      <c r="P117"/>
      <c r="Q117"/>
      <c r="R117"/>
      <c r="S117"/>
      <c r="T117"/>
      <c r="U117"/>
      <c r="V117"/>
      <c r="W117"/>
      <c r="X117"/>
    </row>
    <row r="118" spans="1:24" s="103" customFormat="1" ht="15.75" hidden="1" customHeight="1" outlineLevel="1">
      <c r="A118" s="916"/>
      <c r="B118" s="1123">
        <v>36</v>
      </c>
      <c r="C118" s="1127"/>
      <c r="D118" s="1125"/>
      <c r="E118" s="1125" t="s">
        <v>18</v>
      </c>
      <c r="F118" s="1130" t="str">
        <f>VLOOKUP(E118,$N$13:$O$17,2,0)</f>
        <v>-</v>
      </c>
      <c r="G118" s="92"/>
      <c r="H118" s="1125"/>
      <c r="I118" s="1125"/>
      <c r="J118" s="1133"/>
      <c r="K118" s="1133"/>
      <c r="L118" s="916"/>
      <c r="P118"/>
      <c r="Q118"/>
      <c r="R118"/>
      <c r="S118"/>
      <c r="T118"/>
      <c r="U118"/>
      <c r="V118"/>
      <c r="W118"/>
      <c r="X118"/>
    </row>
    <row r="119" spans="1:24" s="103" customFormat="1" ht="15.75" hidden="1" customHeight="1" outlineLevel="1">
      <c r="A119" s="916"/>
      <c r="B119" s="1123"/>
      <c r="C119" s="1127"/>
      <c r="D119" s="1125"/>
      <c r="E119" s="1125"/>
      <c r="F119" s="1130"/>
      <c r="G119" s="95"/>
      <c r="H119" s="1125"/>
      <c r="I119" s="1125"/>
      <c r="J119" s="1134"/>
      <c r="K119" s="1134"/>
      <c r="L119" s="916"/>
      <c r="P119"/>
      <c r="Q119"/>
      <c r="R119"/>
      <c r="S119"/>
      <c r="T119"/>
      <c r="U119"/>
      <c r="V119"/>
      <c r="W119"/>
      <c r="X119"/>
    </row>
    <row r="120" spans="1:24" s="103" customFormat="1" ht="15.75" hidden="1" customHeight="1" outlineLevel="1">
      <c r="A120" s="916"/>
      <c r="B120" s="1124"/>
      <c r="C120" s="1128"/>
      <c r="D120" s="1126"/>
      <c r="E120" s="1126"/>
      <c r="F120" s="1132"/>
      <c r="G120" s="100"/>
      <c r="H120" s="1126"/>
      <c r="I120" s="1126"/>
      <c r="J120" s="1135"/>
      <c r="K120" s="1135"/>
      <c r="L120" s="916"/>
      <c r="P120"/>
      <c r="Q120"/>
      <c r="R120"/>
      <c r="S120"/>
      <c r="T120"/>
      <c r="U120"/>
      <c r="V120"/>
      <c r="W120"/>
      <c r="X120"/>
    </row>
    <row r="121" spans="1:24" s="103" customFormat="1" ht="15.75" hidden="1" customHeight="1" outlineLevel="1">
      <c r="A121" s="916"/>
      <c r="B121" s="1123">
        <v>37</v>
      </c>
      <c r="C121" s="1127"/>
      <c r="D121" s="1125"/>
      <c r="E121" s="1125" t="s">
        <v>18</v>
      </c>
      <c r="F121" s="1130" t="str">
        <f>VLOOKUP(E121,$N$13:$O$17,2,0)</f>
        <v>-</v>
      </c>
      <c r="G121" s="92"/>
      <c r="H121" s="1125"/>
      <c r="I121" s="1125"/>
      <c r="J121" s="1133"/>
      <c r="K121" s="1133"/>
      <c r="L121" s="916"/>
      <c r="P121"/>
      <c r="Q121"/>
      <c r="R121"/>
      <c r="S121"/>
      <c r="T121"/>
      <c r="U121"/>
      <c r="V121"/>
      <c r="W121"/>
      <c r="X121"/>
    </row>
    <row r="122" spans="1:24" s="103" customFormat="1" ht="15.75" hidden="1" customHeight="1" outlineLevel="1">
      <c r="A122" s="916"/>
      <c r="B122" s="1123"/>
      <c r="C122" s="1127"/>
      <c r="D122" s="1125"/>
      <c r="E122" s="1125"/>
      <c r="F122" s="1130"/>
      <c r="G122" s="95"/>
      <c r="H122" s="1125"/>
      <c r="I122" s="1125"/>
      <c r="J122" s="1134"/>
      <c r="K122" s="1134"/>
      <c r="L122" s="916"/>
      <c r="P122"/>
      <c r="Q122"/>
      <c r="R122"/>
      <c r="S122"/>
      <c r="T122"/>
      <c r="U122"/>
      <c r="V122"/>
      <c r="W122"/>
      <c r="X122"/>
    </row>
    <row r="123" spans="1:24" s="103" customFormat="1" ht="15.75" hidden="1" customHeight="1" outlineLevel="1">
      <c r="A123" s="916"/>
      <c r="B123" s="1124"/>
      <c r="C123" s="1128"/>
      <c r="D123" s="1126"/>
      <c r="E123" s="1126"/>
      <c r="F123" s="1132"/>
      <c r="G123" s="100"/>
      <c r="H123" s="1126"/>
      <c r="I123" s="1126"/>
      <c r="J123" s="1135"/>
      <c r="K123" s="1135"/>
      <c r="L123" s="916"/>
      <c r="P123"/>
      <c r="Q123"/>
      <c r="R123"/>
      <c r="S123"/>
      <c r="T123"/>
      <c r="U123"/>
      <c r="V123"/>
      <c r="W123"/>
      <c r="X123"/>
    </row>
    <row r="124" spans="1:24" s="103" customFormat="1" ht="15.75" hidden="1" customHeight="1" outlineLevel="1">
      <c r="A124" s="916"/>
      <c r="B124" s="1123">
        <v>38</v>
      </c>
      <c r="C124" s="1127"/>
      <c r="D124" s="1125"/>
      <c r="E124" s="1125" t="s">
        <v>18</v>
      </c>
      <c r="F124" s="1130" t="str">
        <f>VLOOKUP(E124,$N$13:$O$17,2,0)</f>
        <v>-</v>
      </c>
      <c r="G124" s="92"/>
      <c r="H124" s="1125"/>
      <c r="I124" s="1125"/>
      <c r="J124" s="1133"/>
      <c r="K124" s="1133"/>
      <c r="L124" s="916"/>
      <c r="P124"/>
      <c r="Q124"/>
      <c r="R124"/>
      <c r="S124"/>
      <c r="T124"/>
      <c r="U124"/>
      <c r="V124"/>
      <c r="W124"/>
      <c r="X124"/>
    </row>
    <row r="125" spans="1:24" s="103" customFormat="1" ht="15.75" hidden="1" customHeight="1" outlineLevel="1">
      <c r="A125" s="916"/>
      <c r="B125" s="1123"/>
      <c r="C125" s="1127"/>
      <c r="D125" s="1125"/>
      <c r="E125" s="1125"/>
      <c r="F125" s="1130"/>
      <c r="G125" s="95"/>
      <c r="H125" s="1125"/>
      <c r="I125" s="1125"/>
      <c r="J125" s="1134"/>
      <c r="K125" s="1134"/>
      <c r="L125" s="916"/>
      <c r="P125"/>
      <c r="Q125"/>
      <c r="R125"/>
      <c r="S125"/>
      <c r="T125"/>
      <c r="U125"/>
      <c r="V125"/>
      <c r="W125"/>
      <c r="X125"/>
    </row>
    <row r="126" spans="1:24" s="103" customFormat="1" ht="15.75" hidden="1" customHeight="1" outlineLevel="1">
      <c r="A126" s="916"/>
      <c r="B126" s="1124"/>
      <c r="C126" s="1128"/>
      <c r="D126" s="1126"/>
      <c r="E126" s="1126"/>
      <c r="F126" s="1132"/>
      <c r="G126" s="100"/>
      <c r="H126" s="1126"/>
      <c r="I126" s="1126"/>
      <c r="J126" s="1135"/>
      <c r="K126" s="1135"/>
      <c r="L126" s="916"/>
      <c r="P126"/>
      <c r="Q126"/>
      <c r="R126"/>
      <c r="S126"/>
      <c r="T126"/>
      <c r="U126"/>
      <c r="V126"/>
      <c r="W126"/>
      <c r="X126"/>
    </row>
    <row r="127" spans="1:24" s="103" customFormat="1" ht="15.75" hidden="1" customHeight="1" outlineLevel="1">
      <c r="A127" s="916"/>
      <c r="B127" s="1123">
        <v>39</v>
      </c>
      <c r="C127" s="1127"/>
      <c r="D127" s="1125"/>
      <c r="E127" s="1125" t="s">
        <v>18</v>
      </c>
      <c r="F127" s="1130" t="str">
        <f>VLOOKUP(E127,$N$13:$O$17,2,0)</f>
        <v>-</v>
      </c>
      <c r="G127" s="92"/>
      <c r="H127" s="1125"/>
      <c r="I127" s="1125"/>
      <c r="J127" s="1133"/>
      <c r="K127" s="1133"/>
      <c r="L127" s="916"/>
      <c r="P127"/>
      <c r="Q127"/>
      <c r="R127"/>
      <c r="S127"/>
      <c r="T127"/>
      <c r="U127"/>
      <c r="V127"/>
      <c r="W127"/>
      <c r="X127"/>
    </row>
    <row r="128" spans="1:24" s="103" customFormat="1" ht="15.75" hidden="1" customHeight="1" outlineLevel="1">
      <c r="A128" s="916"/>
      <c r="B128" s="1123"/>
      <c r="C128" s="1127"/>
      <c r="D128" s="1125"/>
      <c r="E128" s="1125"/>
      <c r="F128" s="1130"/>
      <c r="G128" s="95"/>
      <c r="H128" s="1125"/>
      <c r="I128" s="1125"/>
      <c r="J128" s="1134"/>
      <c r="K128" s="1134"/>
      <c r="L128" s="916"/>
      <c r="P128"/>
      <c r="Q128"/>
      <c r="R128"/>
      <c r="S128"/>
      <c r="T128"/>
      <c r="U128"/>
      <c r="V128"/>
      <c r="W128"/>
      <c r="X128"/>
    </row>
    <row r="129" spans="1:24" s="103" customFormat="1" ht="15.75" hidden="1" customHeight="1" outlineLevel="1">
      <c r="A129" s="916"/>
      <c r="B129" s="1124"/>
      <c r="C129" s="1128"/>
      <c r="D129" s="1126"/>
      <c r="E129" s="1126"/>
      <c r="F129" s="1132"/>
      <c r="G129" s="100"/>
      <c r="H129" s="1126"/>
      <c r="I129" s="1126"/>
      <c r="J129" s="1135"/>
      <c r="K129" s="1135"/>
      <c r="L129" s="916"/>
      <c r="P129"/>
      <c r="Q129"/>
      <c r="R129"/>
      <c r="S129"/>
      <c r="T129"/>
      <c r="U129"/>
      <c r="V129"/>
      <c r="W129"/>
      <c r="X129"/>
    </row>
    <row r="130" spans="1:24" s="103" customFormat="1" ht="15.75" hidden="1" customHeight="1" outlineLevel="1">
      <c r="A130" s="916"/>
      <c r="B130" s="1123">
        <v>40</v>
      </c>
      <c r="C130" s="1127"/>
      <c r="D130" s="1125"/>
      <c r="E130" s="1125" t="s">
        <v>18</v>
      </c>
      <c r="F130" s="1130" t="str">
        <f>VLOOKUP(E130,$N$13:$O$17,2,0)</f>
        <v>-</v>
      </c>
      <c r="G130" s="92"/>
      <c r="H130" s="1125"/>
      <c r="I130" s="1125"/>
      <c r="J130" s="1133"/>
      <c r="K130" s="1133"/>
      <c r="L130" s="916"/>
      <c r="P130"/>
      <c r="Q130"/>
      <c r="R130"/>
      <c r="S130"/>
      <c r="T130"/>
      <c r="U130"/>
      <c r="V130"/>
      <c r="W130"/>
      <c r="X130"/>
    </row>
    <row r="131" spans="1:24" s="103" customFormat="1" ht="15.75" hidden="1" customHeight="1" outlineLevel="1">
      <c r="A131" s="916"/>
      <c r="B131" s="1123"/>
      <c r="C131" s="1127"/>
      <c r="D131" s="1125"/>
      <c r="E131" s="1125"/>
      <c r="F131" s="1130"/>
      <c r="G131" s="95"/>
      <c r="H131" s="1125"/>
      <c r="I131" s="1125"/>
      <c r="J131" s="1134"/>
      <c r="K131" s="1134"/>
      <c r="L131" s="916"/>
      <c r="P131"/>
      <c r="Q131"/>
      <c r="R131"/>
      <c r="S131"/>
      <c r="T131"/>
      <c r="U131"/>
      <c r="V131"/>
      <c r="W131"/>
      <c r="X131"/>
    </row>
    <row r="132" spans="1:24" s="103" customFormat="1" ht="15.75" hidden="1" customHeight="1" outlineLevel="1">
      <c r="A132" s="916"/>
      <c r="B132" s="1124"/>
      <c r="C132" s="1128"/>
      <c r="D132" s="1126"/>
      <c r="E132" s="1126"/>
      <c r="F132" s="1132"/>
      <c r="G132" s="100"/>
      <c r="H132" s="1126"/>
      <c r="I132" s="1126"/>
      <c r="J132" s="1135"/>
      <c r="K132" s="1135"/>
      <c r="L132" s="916"/>
      <c r="P132"/>
      <c r="Q132"/>
      <c r="R132"/>
      <c r="S132"/>
      <c r="T132"/>
      <c r="U132"/>
      <c r="V132"/>
      <c r="W132"/>
      <c r="X132"/>
    </row>
    <row r="133" spans="1:24" s="103" customFormat="1" ht="15.75" hidden="1" customHeight="1" outlineLevel="1">
      <c r="A133" s="916"/>
      <c r="B133" s="1123">
        <v>41</v>
      </c>
      <c r="C133" s="1127"/>
      <c r="D133" s="1125"/>
      <c r="E133" s="1125" t="s">
        <v>18</v>
      </c>
      <c r="F133" s="1130" t="str">
        <f>VLOOKUP(E133,$N$13:$O$17,2,0)</f>
        <v>-</v>
      </c>
      <c r="G133" s="92"/>
      <c r="H133" s="1125"/>
      <c r="I133" s="1125"/>
      <c r="J133" s="1133"/>
      <c r="K133" s="1133"/>
      <c r="L133" s="916"/>
      <c r="P133"/>
      <c r="Q133"/>
      <c r="R133"/>
      <c r="S133"/>
      <c r="T133"/>
      <c r="U133"/>
      <c r="V133"/>
      <c r="W133"/>
      <c r="X133"/>
    </row>
    <row r="134" spans="1:24" s="103" customFormat="1" ht="15.75" hidden="1" customHeight="1" outlineLevel="1">
      <c r="A134" s="916"/>
      <c r="B134" s="1123"/>
      <c r="C134" s="1127"/>
      <c r="D134" s="1125"/>
      <c r="E134" s="1125"/>
      <c r="F134" s="1130"/>
      <c r="G134" s="95"/>
      <c r="H134" s="1125"/>
      <c r="I134" s="1125"/>
      <c r="J134" s="1134"/>
      <c r="K134" s="1134"/>
      <c r="L134" s="916"/>
      <c r="P134"/>
      <c r="Q134"/>
      <c r="R134"/>
      <c r="S134"/>
      <c r="T134"/>
      <c r="U134"/>
      <c r="V134"/>
      <c r="W134"/>
      <c r="X134"/>
    </row>
    <row r="135" spans="1:24" s="103" customFormat="1" ht="15.75" hidden="1" customHeight="1" outlineLevel="1">
      <c r="A135" s="916"/>
      <c r="B135" s="1124"/>
      <c r="C135" s="1128"/>
      <c r="D135" s="1126"/>
      <c r="E135" s="1126"/>
      <c r="F135" s="1132"/>
      <c r="G135" s="100"/>
      <c r="H135" s="1126"/>
      <c r="I135" s="1126"/>
      <c r="J135" s="1135"/>
      <c r="K135" s="1135"/>
      <c r="L135" s="916"/>
      <c r="P135"/>
      <c r="Q135"/>
      <c r="R135"/>
      <c r="S135"/>
      <c r="T135"/>
      <c r="U135"/>
      <c r="V135"/>
      <c r="W135"/>
      <c r="X135"/>
    </row>
    <row r="136" spans="1:24" s="103" customFormat="1" ht="15.75" hidden="1" customHeight="1" outlineLevel="1">
      <c r="A136" s="916"/>
      <c r="B136" s="1123">
        <v>42</v>
      </c>
      <c r="C136" s="1127"/>
      <c r="D136" s="1125"/>
      <c r="E136" s="1125" t="s">
        <v>18</v>
      </c>
      <c r="F136" s="1130" t="str">
        <f>VLOOKUP(E136,$N$13:$O$17,2,0)</f>
        <v>-</v>
      </c>
      <c r="G136" s="92"/>
      <c r="H136" s="1125"/>
      <c r="I136" s="1125"/>
      <c r="J136" s="1133"/>
      <c r="K136" s="1133"/>
      <c r="L136" s="916"/>
      <c r="P136"/>
      <c r="Q136"/>
      <c r="R136"/>
      <c r="S136"/>
      <c r="T136"/>
      <c r="U136"/>
      <c r="V136"/>
      <c r="W136"/>
      <c r="X136"/>
    </row>
    <row r="137" spans="1:24" s="103" customFormat="1" ht="15.75" hidden="1" customHeight="1" outlineLevel="1">
      <c r="A137" s="916"/>
      <c r="B137" s="1123"/>
      <c r="C137" s="1127"/>
      <c r="D137" s="1125"/>
      <c r="E137" s="1125"/>
      <c r="F137" s="1130"/>
      <c r="G137" s="95"/>
      <c r="H137" s="1125"/>
      <c r="I137" s="1125"/>
      <c r="J137" s="1134"/>
      <c r="K137" s="1134"/>
      <c r="L137" s="916"/>
      <c r="P137"/>
      <c r="Q137"/>
      <c r="R137"/>
      <c r="S137"/>
      <c r="T137"/>
      <c r="U137"/>
      <c r="V137"/>
      <c r="W137"/>
      <c r="X137"/>
    </row>
    <row r="138" spans="1:24" s="103" customFormat="1" ht="15.75" hidden="1" customHeight="1" outlineLevel="1">
      <c r="A138" s="916"/>
      <c r="B138" s="1124"/>
      <c r="C138" s="1128"/>
      <c r="D138" s="1126"/>
      <c r="E138" s="1126"/>
      <c r="F138" s="1132"/>
      <c r="G138" s="100"/>
      <c r="H138" s="1126"/>
      <c r="I138" s="1126"/>
      <c r="J138" s="1135"/>
      <c r="K138" s="1135"/>
      <c r="L138" s="916"/>
      <c r="P138"/>
      <c r="Q138"/>
      <c r="R138"/>
      <c r="S138"/>
      <c r="T138"/>
      <c r="U138"/>
      <c r="V138"/>
      <c r="W138"/>
      <c r="X138"/>
    </row>
    <row r="139" spans="1:24" s="103" customFormat="1" ht="15.75" hidden="1" customHeight="1" outlineLevel="1">
      <c r="A139" s="916"/>
      <c r="B139" s="1123">
        <v>43</v>
      </c>
      <c r="C139" s="1127"/>
      <c r="D139" s="1125"/>
      <c r="E139" s="1125" t="s">
        <v>18</v>
      </c>
      <c r="F139" s="1130" t="str">
        <f>VLOOKUP(E139,$N$13:$O$17,2,0)</f>
        <v>-</v>
      </c>
      <c r="G139" s="92"/>
      <c r="H139" s="1125"/>
      <c r="I139" s="1125"/>
      <c r="J139" s="1133"/>
      <c r="K139" s="1133"/>
      <c r="L139" s="916"/>
      <c r="P139"/>
      <c r="Q139"/>
      <c r="R139"/>
      <c r="S139"/>
      <c r="T139"/>
      <c r="U139"/>
      <c r="V139"/>
      <c r="W139"/>
      <c r="X139"/>
    </row>
    <row r="140" spans="1:24" s="103" customFormat="1" ht="15.75" hidden="1" customHeight="1" outlineLevel="1">
      <c r="A140" s="916"/>
      <c r="B140" s="1123"/>
      <c r="C140" s="1127"/>
      <c r="D140" s="1125"/>
      <c r="E140" s="1125"/>
      <c r="F140" s="1130"/>
      <c r="G140" s="95"/>
      <c r="H140" s="1125"/>
      <c r="I140" s="1125"/>
      <c r="J140" s="1134"/>
      <c r="K140" s="1134"/>
      <c r="L140" s="916"/>
      <c r="P140"/>
      <c r="Q140"/>
      <c r="R140"/>
      <c r="S140"/>
      <c r="T140"/>
      <c r="U140"/>
      <c r="V140"/>
      <c r="W140"/>
      <c r="X140"/>
    </row>
    <row r="141" spans="1:24" s="103" customFormat="1" ht="15.75" hidden="1" customHeight="1" outlineLevel="1">
      <c r="A141" s="916"/>
      <c r="B141" s="1124"/>
      <c r="C141" s="1128"/>
      <c r="D141" s="1126"/>
      <c r="E141" s="1126"/>
      <c r="F141" s="1132"/>
      <c r="G141" s="100"/>
      <c r="H141" s="1126"/>
      <c r="I141" s="1126"/>
      <c r="J141" s="1135"/>
      <c r="K141" s="1135"/>
      <c r="L141" s="916"/>
      <c r="P141"/>
      <c r="Q141"/>
      <c r="R141"/>
      <c r="S141"/>
      <c r="T141"/>
      <c r="U141"/>
      <c r="V141"/>
      <c r="W141"/>
      <c r="X141"/>
    </row>
    <row r="142" spans="1:24" s="103" customFormat="1" ht="15.75" hidden="1" customHeight="1" outlineLevel="1">
      <c r="A142" s="916"/>
      <c r="B142" s="1123">
        <v>44</v>
      </c>
      <c r="C142" s="1127"/>
      <c r="D142" s="1125"/>
      <c r="E142" s="1125" t="s">
        <v>18</v>
      </c>
      <c r="F142" s="1130" t="str">
        <f>VLOOKUP(E142,$N$13:$O$17,2,0)</f>
        <v>-</v>
      </c>
      <c r="G142" s="92"/>
      <c r="H142" s="90"/>
      <c r="I142" s="1125"/>
      <c r="J142" s="1133"/>
      <c r="K142" s="1133"/>
      <c r="L142" s="916"/>
      <c r="P142"/>
      <c r="Q142"/>
      <c r="R142"/>
      <c r="S142"/>
      <c r="T142"/>
      <c r="U142"/>
      <c r="V142"/>
      <c r="W142"/>
      <c r="X142"/>
    </row>
    <row r="143" spans="1:24" s="103" customFormat="1" ht="15.75" hidden="1" customHeight="1" outlineLevel="1">
      <c r="A143" s="916"/>
      <c r="B143" s="1123"/>
      <c r="C143" s="1127"/>
      <c r="D143" s="1125"/>
      <c r="E143" s="1125"/>
      <c r="F143" s="1130"/>
      <c r="G143" s="95"/>
      <c r="H143" s="90"/>
      <c r="I143" s="1125"/>
      <c r="J143" s="1134"/>
      <c r="K143" s="1134"/>
      <c r="L143" s="916"/>
      <c r="P143"/>
      <c r="Q143"/>
      <c r="R143"/>
      <c r="S143"/>
      <c r="T143"/>
      <c r="U143"/>
      <c r="V143"/>
      <c r="W143"/>
      <c r="X143"/>
    </row>
    <row r="144" spans="1:24" s="103" customFormat="1" ht="15.75" hidden="1" customHeight="1" outlineLevel="1">
      <c r="A144" s="916"/>
      <c r="B144" s="1124"/>
      <c r="C144" s="1128"/>
      <c r="D144" s="1126"/>
      <c r="E144" s="1126"/>
      <c r="F144" s="1132"/>
      <c r="G144" s="100"/>
      <c r="H144" s="98"/>
      <c r="I144" s="1126"/>
      <c r="J144" s="1135"/>
      <c r="K144" s="1135"/>
      <c r="L144" s="916"/>
      <c r="P144"/>
      <c r="Q144"/>
      <c r="R144"/>
      <c r="S144"/>
      <c r="T144"/>
      <c r="U144"/>
      <c r="V144"/>
      <c r="W144"/>
      <c r="X144"/>
    </row>
    <row r="145" spans="1:24" s="103" customFormat="1" ht="15.75" hidden="1" customHeight="1" outlineLevel="1">
      <c r="A145" s="916"/>
      <c r="B145" s="1123">
        <v>45</v>
      </c>
      <c r="C145" s="1127"/>
      <c r="D145" s="1125"/>
      <c r="E145" s="1125" t="s">
        <v>18</v>
      </c>
      <c r="F145" s="1130" t="str">
        <f>VLOOKUP(E145,$N$13:$O$17,2,0)</f>
        <v>-</v>
      </c>
      <c r="G145" s="92"/>
      <c r="H145" s="90"/>
      <c r="I145" s="1125"/>
      <c r="J145" s="1133"/>
      <c r="K145" s="1133"/>
      <c r="L145" s="916"/>
      <c r="P145"/>
      <c r="Q145"/>
      <c r="R145"/>
      <c r="S145"/>
      <c r="T145"/>
      <c r="U145"/>
      <c r="V145"/>
      <c r="W145"/>
      <c r="X145"/>
    </row>
    <row r="146" spans="1:24" s="103" customFormat="1" ht="15.75" hidden="1" customHeight="1" outlineLevel="1">
      <c r="A146" s="916"/>
      <c r="B146" s="1123"/>
      <c r="C146" s="1127"/>
      <c r="D146" s="1125"/>
      <c r="E146" s="1125"/>
      <c r="F146" s="1130"/>
      <c r="G146" s="95"/>
      <c r="H146" s="90"/>
      <c r="I146" s="1125"/>
      <c r="J146" s="1134"/>
      <c r="K146" s="1134"/>
      <c r="L146" s="916"/>
      <c r="P146"/>
      <c r="Q146"/>
      <c r="R146"/>
      <c r="S146"/>
      <c r="T146"/>
      <c r="U146"/>
      <c r="V146"/>
      <c r="W146"/>
      <c r="X146"/>
    </row>
    <row r="147" spans="1:24" s="103" customFormat="1" ht="15.75" hidden="1" customHeight="1" outlineLevel="1">
      <c r="A147" s="916"/>
      <c r="B147" s="1124"/>
      <c r="C147" s="1128"/>
      <c r="D147" s="1126"/>
      <c r="E147" s="1126"/>
      <c r="F147" s="1132"/>
      <c r="G147" s="100"/>
      <c r="H147" s="98"/>
      <c r="I147" s="1126"/>
      <c r="J147" s="1135"/>
      <c r="K147" s="1135"/>
      <c r="L147" s="916"/>
      <c r="P147"/>
      <c r="Q147"/>
      <c r="R147"/>
      <c r="S147"/>
      <c r="T147"/>
      <c r="U147"/>
      <c r="V147"/>
      <c r="W147"/>
      <c r="X147"/>
    </row>
    <row r="148" spans="1:24" s="103" customFormat="1" ht="15.75" hidden="1" customHeight="1" outlineLevel="1">
      <c r="A148" s="916"/>
      <c r="B148" s="1123">
        <v>46</v>
      </c>
      <c r="C148" s="1127"/>
      <c r="D148" s="1125"/>
      <c r="E148" s="1125" t="s">
        <v>18</v>
      </c>
      <c r="F148" s="1130" t="str">
        <f>VLOOKUP(E148,$N$13:$O$17,2,0)</f>
        <v>-</v>
      </c>
      <c r="G148" s="92"/>
      <c r="H148" s="90"/>
      <c r="I148" s="1125"/>
      <c r="J148" s="1133"/>
      <c r="K148" s="1133"/>
      <c r="L148" s="916"/>
      <c r="P148"/>
      <c r="Q148"/>
      <c r="R148"/>
      <c r="S148"/>
      <c r="T148"/>
      <c r="U148"/>
      <c r="V148"/>
      <c r="W148"/>
      <c r="X148"/>
    </row>
    <row r="149" spans="1:24" s="103" customFormat="1" ht="15.75" hidden="1" customHeight="1" outlineLevel="1">
      <c r="A149" s="916"/>
      <c r="B149" s="1123"/>
      <c r="C149" s="1127"/>
      <c r="D149" s="1125"/>
      <c r="E149" s="1125"/>
      <c r="F149" s="1130"/>
      <c r="G149" s="95"/>
      <c r="H149" s="90"/>
      <c r="I149" s="1125"/>
      <c r="J149" s="1134"/>
      <c r="K149" s="1134"/>
      <c r="L149" s="916"/>
      <c r="P149"/>
      <c r="Q149"/>
      <c r="R149"/>
      <c r="S149"/>
      <c r="T149"/>
      <c r="U149"/>
      <c r="V149"/>
      <c r="W149"/>
      <c r="X149"/>
    </row>
    <row r="150" spans="1:24" s="103" customFormat="1" ht="15.75" hidden="1" customHeight="1" outlineLevel="1">
      <c r="A150" s="916"/>
      <c r="B150" s="1124"/>
      <c r="C150" s="1128"/>
      <c r="D150" s="1126"/>
      <c r="E150" s="1126"/>
      <c r="F150" s="1132"/>
      <c r="G150" s="100"/>
      <c r="H150" s="98"/>
      <c r="I150" s="1126"/>
      <c r="J150" s="1135"/>
      <c r="K150" s="1135"/>
      <c r="L150" s="916"/>
      <c r="P150"/>
      <c r="Q150"/>
      <c r="R150"/>
      <c r="S150"/>
      <c r="T150"/>
      <c r="U150"/>
      <c r="V150"/>
      <c r="W150"/>
      <c r="X150"/>
    </row>
    <row r="151" spans="1:24" s="103" customFormat="1" ht="15.75" hidden="1" customHeight="1" outlineLevel="1">
      <c r="A151" s="916"/>
      <c r="B151" s="1123">
        <v>47</v>
      </c>
      <c r="C151" s="1127"/>
      <c r="D151" s="1125"/>
      <c r="E151" s="1125" t="s">
        <v>18</v>
      </c>
      <c r="F151" s="1130" t="str">
        <f>VLOOKUP(E151,$N$13:$O$17,2,0)</f>
        <v>-</v>
      </c>
      <c r="G151" s="92"/>
      <c r="H151" s="90"/>
      <c r="I151" s="1125"/>
      <c r="J151" s="1133"/>
      <c r="K151" s="1133"/>
      <c r="L151" s="916"/>
      <c r="P151"/>
      <c r="Q151"/>
      <c r="R151"/>
      <c r="S151"/>
      <c r="T151"/>
      <c r="U151"/>
      <c r="V151"/>
      <c r="W151"/>
      <c r="X151"/>
    </row>
    <row r="152" spans="1:24" s="103" customFormat="1" ht="15.75" hidden="1" customHeight="1" outlineLevel="1">
      <c r="A152" s="916"/>
      <c r="B152" s="1123"/>
      <c r="C152" s="1127"/>
      <c r="D152" s="1125"/>
      <c r="E152" s="1125"/>
      <c r="F152" s="1130"/>
      <c r="G152" s="95"/>
      <c r="H152" s="90"/>
      <c r="I152" s="1125"/>
      <c r="J152" s="1134"/>
      <c r="K152" s="1134"/>
      <c r="L152" s="916"/>
      <c r="P152"/>
      <c r="Q152"/>
      <c r="R152"/>
      <c r="S152"/>
      <c r="T152"/>
      <c r="U152"/>
      <c r="V152"/>
      <c r="W152"/>
      <c r="X152"/>
    </row>
    <row r="153" spans="1:24" s="103" customFormat="1" ht="15.75" hidden="1" customHeight="1" outlineLevel="1">
      <c r="A153" s="916"/>
      <c r="B153" s="1124"/>
      <c r="C153" s="1128"/>
      <c r="D153" s="1126"/>
      <c r="E153" s="1126"/>
      <c r="F153" s="1132"/>
      <c r="G153" s="100"/>
      <c r="H153" s="98"/>
      <c r="I153" s="1126"/>
      <c r="J153" s="1135"/>
      <c r="K153" s="1135"/>
      <c r="L153" s="916"/>
      <c r="P153"/>
      <c r="Q153"/>
      <c r="R153"/>
      <c r="S153"/>
      <c r="T153"/>
      <c r="U153"/>
      <c r="V153"/>
      <c r="W153"/>
      <c r="X153"/>
    </row>
    <row r="154" spans="1:24" s="103" customFormat="1" ht="15.75" hidden="1" customHeight="1" outlineLevel="1">
      <c r="A154" s="916"/>
      <c r="B154" s="1123">
        <v>48</v>
      </c>
      <c r="C154" s="1127"/>
      <c r="D154" s="1125"/>
      <c r="E154" s="1125" t="s">
        <v>18</v>
      </c>
      <c r="F154" s="1130" t="str">
        <f>VLOOKUP(E154,$N$13:$O$17,2,0)</f>
        <v>-</v>
      </c>
      <c r="G154" s="92"/>
      <c r="H154" s="90"/>
      <c r="I154" s="1125"/>
      <c r="J154" s="1133"/>
      <c r="K154" s="1133"/>
      <c r="L154" s="916"/>
      <c r="P154"/>
      <c r="Q154"/>
      <c r="R154"/>
      <c r="S154"/>
      <c r="T154"/>
      <c r="U154"/>
      <c r="V154"/>
      <c r="W154"/>
      <c r="X154"/>
    </row>
    <row r="155" spans="1:24" s="103" customFormat="1" ht="15.75" hidden="1" customHeight="1" outlineLevel="1">
      <c r="A155" s="916"/>
      <c r="B155" s="1123"/>
      <c r="C155" s="1127"/>
      <c r="D155" s="1125"/>
      <c r="E155" s="1125"/>
      <c r="F155" s="1130"/>
      <c r="G155" s="95"/>
      <c r="H155" s="90"/>
      <c r="I155" s="1125"/>
      <c r="J155" s="1134"/>
      <c r="K155" s="1134"/>
      <c r="L155" s="916"/>
      <c r="P155"/>
      <c r="Q155"/>
      <c r="R155"/>
      <c r="S155"/>
      <c r="T155"/>
      <c r="U155"/>
      <c r="V155"/>
      <c r="W155"/>
      <c r="X155"/>
    </row>
    <row r="156" spans="1:24" s="103" customFormat="1" ht="15.75" hidden="1" customHeight="1" outlineLevel="1">
      <c r="A156" s="916"/>
      <c r="B156" s="1124"/>
      <c r="C156" s="1128"/>
      <c r="D156" s="1126"/>
      <c r="E156" s="1126"/>
      <c r="F156" s="1132"/>
      <c r="G156" s="100"/>
      <c r="H156" s="98"/>
      <c r="I156" s="1126"/>
      <c r="J156" s="1135"/>
      <c r="K156" s="1135"/>
      <c r="L156" s="916"/>
      <c r="P156"/>
      <c r="Q156"/>
      <c r="R156"/>
      <c r="S156"/>
      <c r="T156"/>
      <c r="U156"/>
      <c r="V156"/>
      <c r="W156"/>
      <c r="X156"/>
    </row>
    <row r="157" spans="1:24" s="103" customFormat="1" ht="15.75" hidden="1" customHeight="1" outlineLevel="1">
      <c r="A157" s="916"/>
      <c r="B157" s="1123">
        <v>49</v>
      </c>
      <c r="C157" s="1127"/>
      <c r="D157" s="1125"/>
      <c r="E157" s="1125" t="s">
        <v>18</v>
      </c>
      <c r="F157" s="1130" t="str">
        <f>VLOOKUP(E157,$N$13:$O$17,2,0)</f>
        <v>-</v>
      </c>
      <c r="G157" s="92"/>
      <c r="H157" s="90"/>
      <c r="I157" s="1125"/>
      <c r="J157" s="1133"/>
      <c r="K157" s="1133"/>
      <c r="L157" s="916"/>
      <c r="P157"/>
      <c r="Q157"/>
      <c r="R157"/>
      <c r="S157"/>
      <c r="T157"/>
      <c r="U157"/>
      <c r="V157"/>
      <c r="W157"/>
      <c r="X157"/>
    </row>
    <row r="158" spans="1:24" s="103" customFormat="1" ht="15.75" hidden="1" customHeight="1" outlineLevel="1">
      <c r="A158" s="916"/>
      <c r="B158" s="1123"/>
      <c r="C158" s="1127"/>
      <c r="D158" s="1125"/>
      <c r="E158" s="1125"/>
      <c r="F158" s="1130"/>
      <c r="G158" s="95"/>
      <c r="H158" s="90"/>
      <c r="I158" s="1125"/>
      <c r="J158" s="1134"/>
      <c r="K158" s="1134"/>
      <c r="L158" s="916"/>
      <c r="P158"/>
      <c r="Q158"/>
      <c r="R158"/>
      <c r="S158"/>
      <c r="T158"/>
      <c r="U158"/>
      <c r="V158"/>
      <c r="W158"/>
      <c r="X158"/>
    </row>
    <row r="159" spans="1:24" s="103" customFormat="1" ht="15.75" hidden="1" customHeight="1" outlineLevel="1">
      <c r="A159" s="916"/>
      <c r="B159" s="1124"/>
      <c r="C159" s="1128"/>
      <c r="D159" s="1126"/>
      <c r="E159" s="1126"/>
      <c r="F159" s="1132"/>
      <c r="G159" s="100"/>
      <c r="H159" s="98"/>
      <c r="I159" s="1126"/>
      <c r="J159" s="1135"/>
      <c r="K159" s="1135"/>
      <c r="L159" s="916"/>
      <c r="P159"/>
      <c r="Q159"/>
      <c r="R159"/>
      <c r="S159"/>
      <c r="T159"/>
      <c r="U159"/>
      <c r="V159"/>
      <c r="W159"/>
      <c r="X159"/>
    </row>
    <row r="160" spans="1:24" s="103" customFormat="1" ht="15.75" hidden="1" customHeight="1" outlineLevel="1">
      <c r="A160" s="916"/>
      <c r="B160" s="1123">
        <v>50</v>
      </c>
      <c r="C160" s="1127"/>
      <c r="D160" s="1125"/>
      <c r="E160" s="1125" t="s">
        <v>18</v>
      </c>
      <c r="F160" s="1130" t="str">
        <f>VLOOKUP(E160,$N$13:$O$17,2,0)</f>
        <v>-</v>
      </c>
      <c r="G160" s="92"/>
      <c r="H160" s="90"/>
      <c r="I160" s="1125"/>
      <c r="J160" s="1133"/>
      <c r="K160" s="1133"/>
      <c r="L160" s="916"/>
      <c r="P160"/>
      <c r="Q160"/>
      <c r="R160"/>
      <c r="S160"/>
      <c r="T160"/>
      <c r="U160"/>
      <c r="V160"/>
      <c r="W160"/>
      <c r="X160"/>
    </row>
    <row r="161" spans="1:24" s="103" customFormat="1" ht="15.75" hidden="1" customHeight="1" outlineLevel="1">
      <c r="A161" s="916"/>
      <c r="B161" s="1123"/>
      <c r="C161" s="1127"/>
      <c r="D161" s="1125"/>
      <c r="E161" s="1125"/>
      <c r="F161" s="1130"/>
      <c r="G161" s="95"/>
      <c r="H161" s="90"/>
      <c r="I161" s="1125"/>
      <c r="J161" s="1134"/>
      <c r="K161" s="1134"/>
      <c r="L161" s="916"/>
      <c r="P161"/>
      <c r="Q161"/>
      <c r="R161"/>
      <c r="S161"/>
      <c r="T161"/>
      <c r="U161"/>
      <c r="V161"/>
      <c r="W161"/>
      <c r="X161"/>
    </row>
    <row r="162" spans="1:24" s="103" customFormat="1" ht="15.75" hidden="1" customHeight="1" outlineLevel="1">
      <c r="A162" s="916"/>
      <c r="B162" s="1124"/>
      <c r="C162" s="1128"/>
      <c r="D162" s="1126"/>
      <c r="E162" s="1126"/>
      <c r="F162" s="1132"/>
      <c r="G162" s="100"/>
      <c r="H162" s="98"/>
      <c r="I162" s="1126"/>
      <c r="J162" s="1135"/>
      <c r="K162" s="1135"/>
      <c r="L162" s="916"/>
      <c r="P162"/>
      <c r="Q162"/>
      <c r="R162"/>
      <c r="S162"/>
      <c r="T162"/>
      <c r="U162"/>
      <c r="V162"/>
      <c r="W162"/>
      <c r="X162"/>
    </row>
    <row r="163" spans="1:24" s="103" customFormat="1" ht="15.75" hidden="1" customHeight="1" outlineLevel="1">
      <c r="A163" s="916"/>
      <c r="B163" s="1123">
        <v>51</v>
      </c>
      <c r="C163" s="1127"/>
      <c r="D163" s="1125"/>
      <c r="E163" s="1125" t="s">
        <v>18</v>
      </c>
      <c r="F163" s="1130" t="str">
        <f>VLOOKUP(E163,$N$13:$O$17,2,0)</f>
        <v>-</v>
      </c>
      <c r="G163" s="92"/>
      <c r="H163" s="90"/>
      <c r="I163" s="1125"/>
      <c r="J163" s="1133"/>
      <c r="K163" s="1133"/>
      <c r="L163" s="916"/>
      <c r="P163"/>
      <c r="Q163"/>
      <c r="R163"/>
      <c r="S163"/>
      <c r="T163"/>
      <c r="U163"/>
      <c r="V163"/>
      <c r="W163"/>
      <c r="X163"/>
    </row>
    <row r="164" spans="1:24" s="103" customFormat="1" ht="15.75" hidden="1" customHeight="1" outlineLevel="1">
      <c r="A164" s="916"/>
      <c r="B164" s="1123"/>
      <c r="C164" s="1127"/>
      <c r="D164" s="1125"/>
      <c r="E164" s="1125"/>
      <c r="F164" s="1130"/>
      <c r="G164" s="95"/>
      <c r="H164" s="90"/>
      <c r="I164" s="1125"/>
      <c r="J164" s="1134"/>
      <c r="K164" s="1134"/>
      <c r="L164" s="916"/>
      <c r="P164"/>
      <c r="Q164"/>
      <c r="R164"/>
      <c r="S164"/>
      <c r="T164"/>
      <c r="U164"/>
      <c r="V164"/>
      <c r="W164"/>
      <c r="X164"/>
    </row>
    <row r="165" spans="1:24" s="103" customFormat="1" ht="15.75" hidden="1" customHeight="1" outlineLevel="1">
      <c r="A165" s="916"/>
      <c r="B165" s="1124"/>
      <c r="C165" s="1128"/>
      <c r="D165" s="1126"/>
      <c r="E165" s="1126"/>
      <c r="F165" s="1132"/>
      <c r="G165" s="100"/>
      <c r="H165" s="98"/>
      <c r="I165" s="1126"/>
      <c r="J165" s="1135"/>
      <c r="K165" s="1135"/>
      <c r="L165" s="916"/>
      <c r="P165"/>
      <c r="Q165"/>
      <c r="R165"/>
      <c r="S165"/>
      <c r="T165"/>
      <c r="U165"/>
      <c r="V165"/>
      <c r="W165"/>
      <c r="X165"/>
    </row>
    <row r="166" spans="1:24" s="103" customFormat="1" ht="15.75" hidden="1" customHeight="1" outlineLevel="1">
      <c r="A166" s="916"/>
      <c r="B166" s="1123">
        <v>52</v>
      </c>
      <c r="C166" s="1127"/>
      <c r="D166" s="1125"/>
      <c r="E166" s="1125" t="s">
        <v>18</v>
      </c>
      <c r="F166" s="1130" t="str">
        <f>VLOOKUP(E166,$N$13:$O$17,2,0)</f>
        <v>-</v>
      </c>
      <c r="G166" s="92"/>
      <c r="H166" s="90"/>
      <c r="I166" s="1125"/>
      <c r="J166" s="1133"/>
      <c r="K166" s="1133"/>
      <c r="L166" s="916"/>
      <c r="P166"/>
      <c r="Q166"/>
      <c r="R166"/>
      <c r="S166"/>
      <c r="T166"/>
      <c r="U166"/>
      <c r="V166"/>
      <c r="W166"/>
      <c r="X166"/>
    </row>
    <row r="167" spans="1:24" s="103" customFormat="1" ht="15.75" hidden="1" customHeight="1" outlineLevel="1">
      <c r="A167" s="916"/>
      <c r="B167" s="1123"/>
      <c r="C167" s="1127"/>
      <c r="D167" s="1125"/>
      <c r="E167" s="1125"/>
      <c r="F167" s="1130"/>
      <c r="G167" s="95"/>
      <c r="H167" s="90"/>
      <c r="I167" s="1125"/>
      <c r="J167" s="1134"/>
      <c r="K167" s="1134"/>
      <c r="L167" s="916"/>
      <c r="P167"/>
      <c r="Q167"/>
      <c r="R167"/>
      <c r="S167"/>
      <c r="T167"/>
      <c r="U167"/>
      <c r="V167"/>
      <c r="W167"/>
      <c r="X167"/>
    </row>
    <row r="168" spans="1:24" s="103" customFormat="1" ht="15.75" hidden="1" customHeight="1" outlineLevel="1">
      <c r="A168" s="916"/>
      <c r="B168" s="1124"/>
      <c r="C168" s="1128"/>
      <c r="D168" s="1126"/>
      <c r="E168" s="1126"/>
      <c r="F168" s="1132"/>
      <c r="G168" s="100"/>
      <c r="H168" s="98"/>
      <c r="I168" s="1126"/>
      <c r="J168" s="1135"/>
      <c r="K168" s="1135"/>
      <c r="L168" s="916"/>
      <c r="P168"/>
      <c r="Q168"/>
      <c r="R168"/>
      <c r="S168"/>
      <c r="T168"/>
      <c r="U168"/>
      <c r="V168"/>
      <c r="W168"/>
      <c r="X168"/>
    </row>
    <row r="169" spans="1:24" s="103" customFormat="1" ht="15.75" hidden="1" customHeight="1" outlineLevel="1">
      <c r="A169" s="916"/>
      <c r="B169" s="1123">
        <v>53</v>
      </c>
      <c r="C169" s="1127"/>
      <c r="D169" s="1125"/>
      <c r="E169" s="1125" t="s">
        <v>18</v>
      </c>
      <c r="F169" s="1130" t="str">
        <f>VLOOKUP(E169,$N$13:$O$17,2,0)</f>
        <v>-</v>
      </c>
      <c r="G169" s="92"/>
      <c r="H169" s="90"/>
      <c r="I169" s="1125"/>
      <c r="J169" s="1133"/>
      <c r="K169" s="1133"/>
      <c r="L169" s="916"/>
      <c r="P169"/>
      <c r="Q169"/>
      <c r="R169"/>
      <c r="S169"/>
      <c r="T169"/>
      <c r="U169"/>
      <c r="V169"/>
      <c r="W169"/>
      <c r="X169"/>
    </row>
    <row r="170" spans="1:24" s="103" customFormat="1" ht="15.75" hidden="1" customHeight="1" outlineLevel="1">
      <c r="A170" s="916"/>
      <c r="B170" s="1123"/>
      <c r="C170" s="1127"/>
      <c r="D170" s="1125"/>
      <c r="E170" s="1125"/>
      <c r="F170" s="1130"/>
      <c r="G170" s="95"/>
      <c r="H170" s="90"/>
      <c r="I170" s="1125"/>
      <c r="J170" s="1134"/>
      <c r="K170" s="1134"/>
      <c r="L170" s="916"/>
      <c r="P170"/>
      <c r="Q170"/>
      <c r="R170"/>
      <c r="S170"/>
      <c r="T170"/>
      <c r="U170"/>
      <c r="V170"/>
      <c r="W170"/>
      <c r="X170"/>
    </row>
    <row r="171" spans="1:24" s="103" customFormat="1" ht="15.75" hidden="1" customHeight="1" outlineLevel="1">
      <c r="A171" s="916"/>
      <c r="B171" s="1124"/>
      <c r="C171" s="1128"/>
      <c r="D171" s="1126"/>
      <c r="E171" s="1126"/>
      <c r="F171" s="1132"/>
      <c r="G171" s="100"/>
      <c r="H171" s="98"/>
      <c r="I171" s="1126"/>
      <c r="J171" s="1135"/>
      <c r="K171" s="1135"/>
      <c r="L171" s="916"/>
      <c r="P171"/>
      <c r="Q171"/>
      <c r="R171"/>
      <c r="S171"/>
      <c r="T171"/>
      <c r="U171"/>
      <c r="V171"/>
      <c r="W171"/>
      <c r="X171"/>
    </row>
    <row r="172" spans="1:24" s="103" customFormat="1" ht="15.75" hidden="1" customHeight="1" outlineLevel="1">
      <c r="A172" s="916"/>
      <c r="B172" s="1123">
        <v>54</v>
      </c>
      <c r="C172" s="1127"/>
      <c r="D172" s="1125"/>
      <c r="E172" s="1125" t="s">
        <v>18</v>
      </c>
      <c r="F172" s="1130" t="str">
        <f>VLOOKUP(E172,$N$13:$O$17,2,0)</f>
        <v>-</v>
      </c>
      <c r="G172" s="92"/>
      <c r="H172" s="90"/>
      <c r="I172" s="1125"/>
      <c r="J172" s="1133"/>
      <c r="K172" s="1133"/>
      <c r="L172" s="916"/>
      <c r="P172"/>
      <c r="Q172"/>
      <c r="R172"/>
      <c r="S172"/>
      <c r="T172"/>
      <c r="U172"/>
      <c r="V172"/>
      <c r="W172"/>
      <c r="X172"/>
    </row>
    <row r="173" spans="1:24" s="103" customFormat="1" ht="15.75" hidden="1" customHeight="1" outlineLevel="1">
      <c r="A173" s="916"/>
      <c r="B173" s="1123"/>
      <c r="C173" s="1127"/>
      <c r="D173" s="1125"/>
      <c r="E173" s="1125"/>
      <c r="F173" s="1130"/>
      <c r="G173" s="95"/>
      <c r="H173" s="90"/>
      <c r="I173" s="1125"/>
      <c r="J173" s="1134"/>
      <c r="K173" s="1134"/>
      <c r="L173" s="916"/>
      <c r="P173"/>
      <c r="Q173"/>
      <c r="R173"/>
      <c r="S173"/>
      <c r="T173"/>
      <c r="U173"/>
      <c r="V173"/>
      <c r="W173"/>
      <c r="X173"/>
    </row>
    <row r="174" spans="1:24" s="103" customFormat="1" ht="15.75" hidden="1" customHeight="1" outlineLevel="1">
      <c r="A174" s="916"/>
      <c r="B174" s="1124"/>
      <c r="C174" s="1128"/>
      <c r="D174" s="1126"/>
      <c r="E174" s="1126"/>
      <c r="F174" s="1132"/>
      <c r="G174" s="100"/>
      <c r="H174" s="98"/>
      <c r="I174" s="1126"/>
      <c r="J174" s="1135"/>
      <c r="K174" s="1135"/>
      <c r="L174" s="916"/>
      <c r="P174"/>
      <c r="Q174"/>
      <c r="R174"/>
      <c r="S174"/>
      <c r="T174"/>
      <c r="U174"/>
      <c r="V174"/>
      <c r="W174"/>
      <c r="X174"/>
    </row>
    <row r="175" spans="1:24" s="103" customFormat="1" ht="15.75" hidden="1" customHeight="1" outlineLevel="1">
      <c r="A175" s="916"/>
      <c r="B175" s="1123">
        <v>55</v>
      </c>
      <c r="C175" s="1127"/>
      <c r="D175" s="1125"/>
      <c r="E175" s="1125" t="s">
        <v>18</v>
      </c>
      <c r="F175" s="1130" t="str">
        <f>VLOOKUP(E175,$N$13:$O$17,2,0)</f>
        <v>-</v>
      </c>
      <c r="G175" s="92"/>
      <c r="H175" s="90"/>
      <c r="I175" s="1125"/>
      <c r="J175" s="1133"/>
      <c r="K175" s="1133"/>
      <c r="L175" s="916"/>
      <c r="P175"/>
      <c r="Q175"/>
      <c r="R175"/>
      <c r="S175"/>
      <c r="T175"/>
      <c r="U175"/>
      <c r="V175"/>
      <c r="W175"/>
      <c r="X175"/>
    </row>
    <row r="176" spans="1:24" s="103" customFormat="1" ht="15.75" hidden="1" customHeight="1" outlineLevel="1">
      <c r="A176" s="916"/>
      <c r="B176" s="1123"/>
      <c r="C176" s="1127"/>
      <c r="D176" s="1125"/>
      <c r="E176" s="1125"/>
      <c r="F176" s="1130"/>
      <c r="G176" s="95"/>
      <c r="H176" s="90"/>
      <c r="I176" s="1125"/>
      <c r="J176" s="1134"/>
      <c r="K176" s="1134"/>
      <c r="L176" s="916"/>
      <c r="P176"/>
      <c r="Q176"/>
      <c r="R176"/>
      <c r="S176"/>
      <c r="T176"/>
      <c r="U176"/>
      <c r="V176"/>
      <c r="W176"/>
      <c r="X176"/>
    </row>
    <row r="177" spans="1:24" s="103" customFormat="1" ht="15.75" hidden="1" customHeight="1" outlineLevel="1">
      <c r="A177" s="916"/>
      <c r="B177" s="1124"/>
      <c r="C177" s="1128"/>
      <c r="D177" s="1126"/>
      <c r="E177" s="1126"/>
      <c r="F177" s="1132"/>
      <c r="G177" s="100"/>
      <c r="H177" s="98"/>
      <c r="I177" s="1126"/>
      <c r="J177" s="1135"/>
      <c r="K177" s="1135"/>
      <c r="L177" s="916"/>
      <c r="P177"/>
      <c r="Q177"/>
      <c r="R177"/>
      <c r="S177"/>
      <c r="T177"/>
      <c r="U177"/>
      <c r="V177"/>
      <c r="W177"/>
      <c r="X177"/>
    </row>
    <row r="178" spans="1:24" s="103" customFormat="1" ht="15.75" hidden="1" customHeight="1" outlineLevel="1">
      <c r="A178" s="916"/>
      <c r="B178" s="1123">
        <v>56</v>
      </c>
      <c r="C178" s="1127"/>
      <c r="D178" s="1125"/>
      <c r="E178" s="1125" t="s">
        <v>18</v>
      </c>
      <c r="F178" s="1130" t="str">
        <f>VLOOKUP(E178,$N$13:$O$17,2,0)</f>
        <v>-</v>
      </c>
      <c r="G178" s="92"/>
      <c r="H178" s="90"/>
      <c r="I178" s="1125"/>
      <c r="J178" s="1133"/>
      <c r="K178" s="1133"/>
      <c r="L178" s="916"/>
      <c r="P178"/>
      <c r="Q178"/>
      <c r="R178"/>
      <c r="S178"/>
      <c r="T178"/>
      <c r="U178"/>
      <c r="V178"/>
      <c r="W178"/>
      <c r="X178"/>
    </row>
    <row r="179" spans="1:24" s="103" customFormat="1" ht="15.75" hidden="1" customHeight="1" outlineLevel="1">
      <c r="A179" s="916"/>
      <c r="B179" s="1123"/>
      <c r="C179" s="1127"/>
      <c r="D179" s="1125"/>
      <c r="E179" s="1125"/>
      <c r="F179" s="1130"/>
      <c r="G179" s="95"/>
      <c r="H179" s="90"/>
      <c r="I179" s="1125"/>
      <c r="J179" s="1134"/>
      <c r="K179" s="1134"/>
      <c r="L179" s="916"/>
      <c r="P179"/>
      <c r="Q179"/>
      <c r="R179"/>
      <c r="S179"/>
      <c r="T179"/>
      <c r="U179"/>
      <c r="V179"/>
      <c r="W179"/>
      <c r="X179"/>
    </row>
    <row r="180" spans="1:24" s="103" customFormat="1" ht="15.75" hidden="1" customHeight="1" outlineLevel="1">
      <c r="A180" s="916"/>
      <c r="B180" s="1124"/>
      <c r="C180" s="1128"/>
      <c r="D180" s="1126"/>
      <c r="E180" s="1126"/>
      <c r="F180" s="1132"/>
      <c r="G180" s="100"/>
      <c r="H180" s="98"/>
      <c r="I180" s="1126"/>
      <c r="J180" s="1135"/>
      <c r="K180" s="1135"/>
      <c r="L180" s="916"/>
      <c r="P180"/>
      <c r="Q180"/>
      <c r="R180"/>
      <c r="S180"/>
      <c r="T180"/>
      <c r="U180"/>
      <c r="V180"/>
      <c r="W180"/>
      <c r="X180"/>
    </row>
    <row r="181" spans="1:24" s="103" customFormat="1" ht="15.75" hidden="1" customHeight="1" outlineLevel="1">
      <c r="A181" s="916"/>
      <c r="B181" s="1123">
        <v>57</v>
      </c>
      <c r="C181" s="1127"/>
      <c r="D181" s="1125"/>
      <c r="E181" s="1125" t="s">
        <v>18</v>
      </c>
      <c r="F181" s="1130" t="str">
        <f>VLOOKUP(E181,$N$13:$O$17,2,0)</f>
        <v>-</v>
      </c>
      <c r="G181" s="92"/>
      <c r="H181" s="90"/>
      <c r="I181" s="1125"/>
      <c r="J181" s="1133"/>
      <c r="K181" s="1133"/>
      <c r="L181" s="916"/>
      <c r="P181"/>
      <c r="Q181"/>
      <c r="R181"/>
      <c r="S181"/>
      <c r="T181"/>
      <c r="U181"/>
      <c r="V181"/>
      <c r="W181"/>
      <c r="X181"/>
    </row>
    <row r="182" spans="1:24" s="103" customFormat="1" ht="15.75" hidden="1" customHeight="1" outlineLevel="1">
      <c r="A182" s="916"/>
      <c r="B182" s="1123"/>
      <c r="C182" s="1127"/>
      <c r="D182" s="1125"/>
      <c r="E182" s="1125"/>
      <c r="F182" s="1130"/>
      <c r="G182" s="95"/>
      <c r="H182" s="90"/>
      <c r="I182" s="1125"/>
      <c r="J182" s="1134"/>
      <c r="K182" s="1134"/>
      <c r="L182" s="916"/>
      <c r="P182"/>
      <c r="Q182"/>
      <c r="R182"/>
      <c r="S182"/>
      <c r="T182"/>
      <c r="U182"/>
      <c r="V182"/>
      <c r="W182"/>
      <c r="X182"/>
    </row>
    <row r="183" spans="1:24" s="103" customFormat="1" ht="15.75" hidden="1" customHeight="1" outlineLevel="1">
      <c r="A183" s="916"/>
      <c r="B183" s="1124"/>
      <c r="C183" s="1128"/>
      <c r="D183" s="1126"/>
      <c r="E183" s="1126"/>
      <c r="F183" s="1132"/>
      <c r="G183" s="100"/>
      <c r="H183" s="98"/>
      <c r="I183" s="1126"/>
      <c r="J183" s="1135"/>
      <c r="K183" s="1135"/>
      <c r="L183" s="916"/>
      <c r="P183"/>
      <c r="Q183"/>
      <c r="R183"/>
      <c r="S183"/>
      <c r="T183"/>
      <c r="U183"/>
      <c r="V183"/>
      <c r="W183"/>
      <c r="X183"/>
    </row>
    <row r="184" spans="1:24" s="103" customFormat="1" ht="15.75" hidden="1" customHeight="1" outlineLevel="1">
      <c r="A184" s="916"/>
      <c r="B184" s="1123">
        <v>58</v>
      </c>
      <c r="C184" s="1127"/>
      <c r="D184" s="1125"/>
      <c r="E184" s="1125" t="s">
        <v>18</v>
      </c>
      <c r="F184" s="1130" t="str">
        <f>VLOOKUP(E184,$N$13:$O$17,2,0)</f>
        <v>-</v>
      </c>
      <c r="G184" s="92"/>
      <c r="H184" s="90"/>
      <c r="I184" s="1125"/>
      <c r="J184" s="1133"/>
      <c r="K184" s="1133"/>
      <c r="L184" s="916"/>
      <c r="P184"/>
      <c r="Q184"/>
      <c r="R184"/>
      <c r="S184"/>
      <c r="T184"/>
      <c r="U184"/>
      <c r="V184"/>
      <c r="W184"/>
      <c r="X184"/>
    </row>
    <row r="185" spans="1:24" s="103" customFormat="1" ht="15.75" hidden="1" customHeight="1" outlineLevel="1">
      <c r="A185" s="916"/>
      <c r="B185" s="1123"/>
      <c r="C185" s="1127"/>
      <c r="D185" s="1125"/>
      <c r="E185" s="1125"/>
      <c r="F185" s="1130"/>
      <c r="G185" s="95"/>
      <c r="H185" s="90"/>
      <c r="I185" s="1125"/>
      <c r="J185" s="1134"/>
      <c r="K185" s="1134"/>
      <c r="L185" s="916"/>
      <c r="P185"/>
      <c r="Q185"/>
      <c r="R185"/>
      <c r="S185"/>
      <c r="T185"/>
      <c r="U185"/>
      <c r="V185"/>
      <c r="W185"/>
      <c r="X185"/>
    </row>
    <row r="186" spans="1:24" s="103" customFormat="1" ht="15.75" hidden="1" customHeight="1" outlineLevel="1">
      <c r="A186" s="916"/>
      <c r="B186" s="1124"/>
      <c r="C186" s="1128"/>
      <c r="D186" s="1126"/>
      <c r="E186" s="1126"/>
      <c r="F186" s="1132"/>
      <c r="G186" s="100"/>
      <c r="H186" s="98"/>
      <c r="I186" s="1126"/>
      <c r="J186" s="1135"/>
      <c r="K186" s="1135"/>
      <c r="L186" s="916"/>
      <c r="P186"/>
      <c r="Q186"/>
      <c r="R186"/>
      <c r="S186"/>
      <c r="T186"/>
      <c r="U186"/>
      <c r="V186"/>
      <c r="W186"/>
      <c r="X186"/>
    </row>
    <row r="187" spans="1:24" s="103" customFormat="1" ht="15.75" hidden="1" customHeight="1" outlineLevel="1">
      <c r="A187" s="916"/>
      <c r="B187" s="1123">
        <v>59</v>
      </c>
      <c r="C187" s="1127"/>
      <c r="D187" s="1125"/>
      <c r="E187" s="1125" t="s">
        <v>18</v>
      </c>
      <c r="F187" s="1130" t="str">
        <f>VLOOKUP(E187,$N$13:$O$17,2,0)</f>
        <v>-</v>
      </c>
      <c r="G187" s="92"/>
      <c r="H187" s="90"/>
      <c r="I187" s="1125"/>
      <c r="J187" s="1133"/>
      <c r="K187" s="1133"/>
      <c r="L187" s="916"/>
      <c r="P187"/>
      <c r="Q187"/>
      <c r="R187"/>
      <c r="S187"/>
      <c r="T187"/>
      <c r="U187"/>
      <c r="V187"/>
      <c r="W187"/>
      <c r="X187"/>
    </row>
    <row r="188" spans="1:24" s="103" customFormat="1" ht="15.75" hidden="1" customHeight="1" outlineLevel="1">
      <c r="A188" s="916"/>
      <c r="B188" s="1123"/>
      <c r="C188" s="1127"/>
      <c r="D188" s="1125"/>
      <c r="E188" s="1125"/>
      <c r="F188" s="1130"/>
      <c r="G188" s="95"/>
      <c r="H188" s="90"/>
      <c r="I188" s="1125"/>
      <c r="J188" s="1134"/>
      <c r="K188" s="1134"/>
      <c r="L188" s="916"/>
      <c r="P188"/>
      <c r="Q188"/>
      <c r="R188"/>
      <c r="S188"/>
      <c r="T188"/>
      <c r="U188"/>
      <c r="V188"/>
      <c r="W188"/>
      <c r="X188"/>
    </row>
    <row r="189" spans="1:24" s="103" customFormat="1" ht="15.75" hidden="1" customHeight="1" outlineLevel="1">
      <c r="A189" s="916"/>
      <c r="B189" s="1124"/>
      <c r="C189" s="1128"/>
      <c r="D189" s="1126"/>
      <c r="E189" s="1126"/>
      <c r="F189" s="1132"/>
      <c r="G189" s="100"/>
      <c r="H189" s="98"/>
      <c r="I189" s="1126"/>
      <c r="J189" s="1135"/>
      <c r="K189" s="1135"/>
      <c r="L189" s="916"/>
      <c r="P189"/>
      <c r="Q189"/>
      <c r="R189"/>
      <c r="S189"/>
      <c r="T189"/>
      <c r="U189"/>
      <c r="V189"/>
      <c r="W189"/>
      <c r="X189"/>
    </row>
    <row r="190" spans="1:24" s="103" customFormat="1" ht="15.75" hidden="1" customHeight="1" outlineLevel="1">
      <c r="A190" s="916"/>
      <c r="B190" s="1123">
        <v>60</v>
      </c>
      <c r="C190" s="1127"/>
      <c r="D190" s="1125"/>
      <c r="E190" s="1125" t="s">
        <v>18</v>
      </c>
      <c r="F190" s="1130" t="str">
        <f>VLOOKUP(E190,$N$13:$O$17,2,0)</f>
        <v>-</v>
      </c>
      <c r="G190" s="92"/>
      <c r="H190" s="90"/>
      <c r="I190" s="1125"/>
      <c r="J190" s="1133"/>
      <c r="K190" s="1133"/>
      <c r="L190" s="916"/>
      <c r="P190"/>
      <c r="Q190"/>
      <c r="R190"/>
      <c r="S190"/>
      <c r="T190"/>
      <c r="U190"/>
      <c r="V190"/>
      <c r="W190"/>
      <c r="X190"/>
    </row>
    <row r="191" spans="1:24" s="103" customFormat="1" ht="15.75" hidden="1" customHeight="1" outlineLevel="1">
      <c r="A191" s="916"/>
      <c r="B191" s="1123"/>
      <c r="C191" s="1127"/>
      <c r="D191" s="1125"/>
      <c r="E191" s="1125"/>
      <c r="F191" s="1130"/>
      <c r="G191" s="95"/>
      <c r="H191" s="90"/>
      <c r="I191" s="1125"/>
      <c r="J191" s="1134"/>
      <c r="K191" s="1134"/>
      <c r="L191" s="916"/>
      <c r="P191"/>
      <c r="Q191"/>
      <c r="R191"/>
      <c r="S191"/>
      <c r="T191"/>
      <c r="U191"/>
      <c r="V191"/>
      <c r="W191"/>
      <c r="X191"/>
    </row>
    <row r="192" spans="1:24" s="103" customFormat="1" ht="15.75" hidden="1" customHeight="1" outlineLevel="1">
      <c r="A192" s="916"/>
      <c r="B192" s="1124"/>
      <c r="C192" s="1128"/>
      <c r="D192" s="1126"/>
      <c r="E192" s="1126"/>
      <c r="F192" s="1132"/>
      <c r="G192" s="100"/>
      <c r="H192" s="98"/>
      <c r="I192" s="1126"/>
      <c r="J192" s="1135"/>
      <c r="K192" s="1135"/>
      <c r="L192" s="916"/>
      <c r="P192"/>
      <c r="Q192"/>
      <c r="R192"/>
      <c r="S192"/>
      <c r="T192"/>
      <c r="U192"/>
      <c r="V192"/>
      <c r="W192"/>
      <c r="X192"/>
    </row>
    <row r="193" spans="1:24" s="103" customFormat="1" ht="15.75" hidden="1" customHeight="1" outlineLevel="1">
      <c r="A193" s="916"/>
      <c r="B193" s="1123">
        <v>61</v>
      </c>
      <c r="C193" s="1127"/>
      <c r="D193" s="1125"/>
      <c r="E193" s="1125" t="s">
        <v>18</v>
      </c>
      <c r="F193" s="1130" t="str">
        <f>VLOOKUP(E193,$N$13:$O$17,2,0)</f>
        <v>-</v>
      </c>
      <c r="G193" s="92"/>
      <c r="H193" s="90"/>
      <c r="I193" s="1125"/>
      <c r="J193" s="1133"/>
      <c r="K193" s="1133"/>
      <c r="L193" s="916"/>
      <c r="P193"/>
      <c r="Q193"/>
      <c r="R193"/>
      <c r="S193"/>
      <c r="T193"/>
      <c r="U193"/>
      <c r="V193"/>
      <c r="W193"/>
      <c r="X193"/>
    </row>
    <row r="194" spans="1:24" s="103" customFormat="1" ht="15.75" hidden="1" customHeight="1" outlineLevel="1">
      <c r="A194" s="916"/>
      <c r="B194" s="1123"/>
      <c r="C194" s="1127"/>
      <c r="D194" s="1125"/>
      <c r="E194" s="1125"/>
      <c r="F194" s="1130"/>
      <c r="G194" s="95"/>
      <c r="H194" s="90"/>
      <c r="I194" s="1125"/>
      <c r="J194" s="1134"/>
      <c r="K194" s="1134"/>
      <c r="L194" s="916"/>
      <c r="P194"/>
      <c r="Q194"/>
      <c r="R194"/>
      <c r="S194"/>
      <c r="T194"/>
      <c r="U194"/>
      <c r="V194"/>
      <c r="W194"/>
      <c r="X194"/>
    </row>
    <row r="195" spans="1:24" s="103" customFormat="1" ht="15.75" hidden="1" customHeight="1" outlineLevel="1">
      <c r="A195" s="916"/>
      <c r="B195" s="1124"/>
      <c r="C195" s="1128"/>
      <c r="D195" s="1126"/>
      <c r="E195" s="1126"/>
      <c r="F195" s="1132"/>
      <c r="G195" s="100"/>
      <c r="H195" s="98"/>
      <c r="I195" s="1126"/>
      <c r="J195" s="1135"/>
      <c r="K195" s="1135"/>
      <c r="L195" s="916"/>
      <c r="P195"/>
      <c r="Q195"/>
      <c r="R195"/>
      <c r="S195"/>
      <c r="T195"/>
      <c r="U195"/>
      <c r="V195"/>
      <c r="W195"/>
      <c r="X195"/>
    </row>
    <row r="196" spans="1:24" s="103" customFormat="1" ht="15.75" hidden="1" customHeight="1" outlineLevel="1">
      <c r="A196" s="916"/>
      <c r="B196" s="1123">
        <v>62</v>
      </c>
      <c r="C196" s="1127"/>
      <c r="D196" s="1125"/>
      <c r="E196" s="1125" t="s">
        <v>18</v>
      </c>
      <c r="F196" s="1130" t="str">
        <f>VLOOKUP(E196,$N$13:$O$17,2,0)</f>
        <v>-</v>
      </c>
      <c r="G196" s="92"/>
      <c r="H196" s="90"/>
      <c r="I196" s="1125"/>
      <c r="J196" s="1133"/>
      <c r="K196" s="1133"/>
      <c r="L196" s="916"/>
      <c r="P196"/>
      <c r="Q196"/>
      <c r="R196"/>
      <c r="S196"/>
      <c r="T196"/>
      <c r="U196"/>
      <c r="V196"/>
      <c r="W196"/>
      <c r="X196"/>
    </row>
    <row r="197" spans="1:24" s="103" customFormat="1" ht="15.75" hidden="1" customHeight="1" outlineLevel="1">
      <c r="A197" s="916"/>
      <c r="B197" s="1123"/>
      <c r="C197" s="1127"/>
      <c r="D197" s="1125"/>
      <c r="E197" s="1125"/>
      <c r="F197" s="1130"/>
      <c r="G197" s="95"/>
      <c r="H197" s="90"/>
      <c r="I197" s="1125"/>
      <c r="J197" s="1134"/>
      <c r="K197" s="1134"/>
      <c r="L197" s="916"/>
      <c r="P197"/>
      <c r="Q197"/>
      <c r="R197"/>
      <c r="S197"/>
      <c r="T197"/>
      <c r="U197"/>
      <c r="V197"/>
      <c r="W197"/>
      <c r="X197"/>
    </row>
    <row r="198" spans="1:24" s="103" customFormat="1" ht="15.75" hidden="1" customHeight="1" outlineLevel="1">
      <c r="A198" s="916"/>
      <c r="B198" s="1124"/>
      <c r="C198" s="1128"/>
      <c r="D198" s="1126"/>
      <c r="E198" s="1126"/>
      <c r="F198" s="1132"/>
      <c r="G198" s="100"/>
      <c r="H198" s="98"/>
      <c r="I198" s="1126"/>
      <c r="J198" s="1135"/>
      <c r="K198" s="1135"/>
      <c r="L198" s="916"/>
      <c r="P198"/>
      <c r="Q198"/>
      <c r="R198"/>
      <c r="S198"/>
      <c r="T198"/>
      <c r="U198"/>
      <c r="V198"/>
      <c r="W198"/>
      <c r="X198"/>
    </row>
    <row r="199" spans="1:24" s="103" customFormat="1" ht="15.75" hidden="1" customHeight="1" outlineLevel="1">
      <c r="A199" s="916"/>
      <c r="B199" s="1123">
        <v>63</v>
      </c>
      <c r="C199" s="1127"/>
      <c r="D199" s="1125"/>
      <c r="E199" s="1125" t="s">
        <v>18</v>
      </c>
      <c r="F199" s="1130" t="str">
        <f>VLOOKUP(E199,$N$13:$O$17,2,0)</f>
        <v>-</v>
      </c>
      <c r="G199" s="92"/>
      <c r="H199" s="90"/>
      <c r="I199" s="1125"/>
      <c r="J199" s="1133"/>
      <c r="K199" s="1133"/>
      <c r="L199" s="916"/>
      <c r="P199"/>
      <c r="Q199"/>
      <c r="R199"/>
      <c r="S199"/>
      <c r="T199"/>
      <c r="U199"/>
      <c r="V199"/>
      <c r="W199"/>
      <c r="X199"/>
    </row>
    <row r="200" spans="1:24" s="103" customFormat="1" ht="15.75" hidden="1" customHeight="1" outlineLevel="1">
      <c r="A200" s="916"/>
      <c r="B200" s="1123"/>
      <c r="C200" s="1127"/>
      <c r="D200" s="1125"/>
      <c r="E200" s="1125"/>
      <c r="F200" s="1130"/>
      <c r="G200" s="95"/>
      <c r="H200" s="90"/>
      <c r="I200" s="1125"/>
      <c r="J200" s="1134"/>
      <c r="K200" s="1134"/>
      <c r="L200" s="916"/>
      <c r="P200"/>
      <c r="Q200"/>
      <c r="R200"/>
      <c r="S200"/>
      <c r="T200"/>
      <c r="U200"/>
      <c r="V200"/>
      <c r="W200"/>
      <c r="X200"/>
    </row>
    <row r="201" spans="1:24" s="103" customFormat="1" ht="15.75" hidden="1" customHeight="1" outlineLevel="1">
      <c r="A201" s="916"/>
      <c r="B201" s="1124"/>
      <c r="C201" s="1128"/>
      <c r="D201" s="1126"/>
      <c r="E201" s="1126"/>
      <c r="F201" s="1132"/>
      <c r="G201" s="100"/>
      <c r="H201" s="98"/>
      <c r="I201" s="1126"/>
      <c r="J201" s="1135"/>
      <c r="K201" s="1135"/>
      <c r="L201" s="916"/>
      <c r="P201"/>
      <c r="Q201"/>
      <c r="R201"/>
      <c r="S201"/>
      <c r="T201"/>
      <c r="U201"/>
      <c r="V201"/>
      <c r="W201"/>
      <c r="X201"/>
    </row>
    <row r="202" spans="1:24" s="103" customFormat="1" ht="15.75" hidden="1" customHeight="1" outlineLevel="1">
      <c r="A202" s="916"/>
      <c r="B202" s="1123">
        <v>64</v>
      </c>
      <c r="C202" s="1127"/>
      <c r="D202" s="1125"/>
      <c r="E202" s="1125" t="s">
        <v>18</v>
      </c>
      <c r="F202" s="1130" t="str">
        <f>VLOOKUP(E202,$N$13:$O$17,2,0)</f>
        <v>-</v>
      </c>
      <c r="G202" s="92"/>
      <c r="H202" s="90"/>
      <c r="I202" s="1125"/>
      <c r="J202" s="1133"/>
      <c r="K202" s="1133"/>
      <c r="L202" s="916"/>
      <c r="P202"/>
      <c r="Q202"/>
      <c r="R202"/>
      <c r="S202"/>
      <c r="T202"/>
      <c r="U202"/>
      <c r="V202"/>
      <c r="W202"/>
      <c r="X202"/>
    </row>
    <row r="203" spans="1:24" s="103" customFormat="1" ht="15.75" hidden="1" customHeight="1" outlineLevel="1">
      <c r="A203" s="916"/>
      <c r="B203" s="1123"/>
      <c r="C203" s="1127"/>
      <c r="D203" s="1125"/>
      <c r="E203" s="1125"/>
      <c r="F203" s="1130"/>
      <c r="G203" s="95"/>
      <c r="H203" s="90"/>
      <c r="I203" s="1125"/>
      <c r="J203" s="1134"/>
      <c r="K203" s="1134"/>
      <c r="L203" s="916"/>
      <c r="P203"/>
      <c r="Q203"/>
      <c r="R203"/>
      <c r="S203"/>
      <c r="T203"/>
      <c r="U203"/>
      <c r="V203"/>
      <c r="W203"/>
      <c r="X203"/>
    </row>
    <row r="204" spans="1:24" s="103" customFormat="1" ht="15.75" hidden="1" customHeight="1" outlineLevel="1">
      <c r="A204" s="916"/>
      <c r="B204" s="1124"/>
      <c r="C204" s="1128"/>
      <c r="D204" s="1126"/>
      <c r="E204" s="1126"/>
      <c r="F204" s="1132"/>
      <c r="G204" s="100"/>
      <c r="H204" s="98"/>
      <c r="I204" s="1126"/>
      <c r="J204" s="1135"/>
      <c r="K204" s="1135"/>
      <c r="L204" s="916"/>
      <c r="P204"/>
      <c r="Q204"/>
      <c r="R204"/>
      <c r="S204"/>
      <c r="T204"/>
      <c r="U204"/>
      <c r="V204"/>
      <c r="W204"/>
      <c r="X204"/>
    </row>
    <row r="205" spans="1:24" s="103" customFormat="1" ht="15.75" hidden="1" customHeight="1" outlineLevel="1">
      <c r="A205" s="916"/>
      <c r="B205" s="1123">
        <v>65</v>
      </c>
      <c r="C205" s="1127"/>
      <c r="D205" s="1125"/>
      <c r="E205" s="1125" t="s">
        <v>18</v>
      </c>
      <c r="F205" s="1130" t="str">
        <f>VLOOKUP(E205,$N$13:$O$17,2,0)</f>
        <v>-</v>
      </c>
      <c r="G205" s="92"/>
      <c r="H205" s="90"/>
      <c r="I205" s="1125"/>
      <c r="J205" s="1133"/>
      <c r="K205" s="1133"/>
      <c r="L205" s="916"/>
      <c r="P205"/>
      <c r="Q205"/>
      <c r="R205"/>
      <c r="S205"/>
      <c r="T205"/>
      <c r="U205"/>
      <c r="V205"/>
      <c r="W205"/>
      <c r="X205"/>
    </row>
    <row r="206" spans="1:24" s="103" customFormat="1" ht="15.75" hidden="1" customHeight="1" outlineLevel="1">
      <c r="A206" s="916"/>
      <c r="B206" s="1123"/>
      <c r="C206" s="1127"/>
      <c r="D206" s="1125"/>
      <c r="E206" s="1125"/>
      <c r="F206" s="1130"/>
      <c r="G206" s="95"/>
      <c r="H206" s="90"/>
      <c r="I206" s="1125"/>
      <c r="J206" s="1134"/>
      <c r="K206" s="1134"/>
      <c r="L206" s="916"/>
      <c r="P206"/>
      <c r="Q206"/>
      <c r="R206"/>
      <c r="S206"/>
      <c r="T206"/>
      <c r="U206"/>
      <c r="V206"/>
      <c r="W206"/>
      <c r="X206"/>
    </row>
    <row r="207" spans="1:24" s="103" customFormat="1" ht="15.75" hidden="1" customHeight="1" outlineLevel="1">
      <c r="A207" s="916"/>
      <c r="B207" s="1124"/>
      <c r="C207" s="1128"/>
      <c r="D207" s="1126"/>
      <c r="E207" s="1126"/>
      <c r="F207" s="1132"/>
      <c r="G207" s="100"/>
      <c r="H207" s="98"/>
      <c r="I207" s="1126"/>
      <c r="J207" s="1135"/>
      <c r="K207" s="1135"/>
      <c r="L207" s="916"/>
      <c r="P207"/>
      <c r="Q207"/>
      <c r="R207"/>
      <c r="S207"/>
      <c r="T207"/>
      <c r="U207"/>
      <c r="V207"/>
      <c r="W207"/>
      <c r="X207"/>
    </row>
    <row r="208" spans="1:24" s="103" customFormat="1" ht="15.75" hidden="1" customHeight="1" outlineLevel="1">
      <c r="A208" s="916"/>
      <c r="B208" s="1123">
        <v>66</v>
      </c>
      <c r="C208" s="1127"/>
      <c r="D208" s="1125"/>
      <c r="E208" s="1125" t="s">
        <v>18</v>
      </c>
      <c r="F208" s="1130" t="str">
        <f>VLOOKUP(E208,$N$13:$O$17,2,0)</f>
        <v>-</v>
      </c>
      <c r="G208" s="92"/>
      <c r="H208" s="90"/>
      <c r="I208" s="1125"/>
      <c r="J208" s="1133"/>
      <c r="K208" s="1133"/>
      <c r="L208" s="916"/>
      <c r="P208"/>
      <c r="Q208"/>
      <c r="R208"/>
      <c r="S208"/>
      <c r="T208"/>
      <c r="U208"/>
      <c r="V208"/>
      <c r="W208"/>
      <c r="X208"/>
    </row>
    <row r="209" spans="1:24" s="103" customFormat="1" ht="15.75" hidden="1" customHeight="1" outlineLevel="1">
      <c r="A209" s="916"/>
      <c r="B209" s="1123"/>
      <c r="C209" s="1127"/>
      <c r="D209" s="1125"/>
      <c r="E209" s="1125"/>
      <c r="F209" s="1130"/>
      <c r="G209" s="95"/>
      <c r="H209" s="90"/>
      <c r="I209" s="1125"/>
      <c r="J209" s="1134"/>
      <c r="K209" s="1134"/>
      <c r="L209" s="916"/>
      <c r="P209"/>
      <c r="Q209"/>
      <c r="R209"/>
      <c r="S209"/>
      <c r="T209"/>
      <c r="U209"/>
      <c r="V209"/>
      <c r="W209"/>
      <c r="X209"/>
    </row>
    <row r="210" spans="1:24" s="103" customFormat="1" ht="15.75" hidden="1" customHeight="1" outlineLevel="1">
      <c r="A210" s="916"/>
      <c r="B210" s="1124"/>
      <c r="C210" s="1128"/>
      <c r="D210" s="1126"/>
      <c r="E210" s="1126"/>
      <c r="F210" s="1132"/>
      <c r="G210" s="100"/>
      <c r="H210" s="98"/>
      <c r="I210" s="1126"/>
      <c r="J210" s="1135"/>
      <c r="K210" s="1135"/>
      <c r="L210" s="916"/>
      <c r="P210"/>
      <c r="Q210"/>
      <c r="R210"/>
      <c r="S210"/>
      <c r="T210"/>
      <c r="U210"/>
      <c r="V210"/>
      <c r="W210"/>
      <c r="X210"/>
    </row>
    <row r="211" spans="1:24" s="103" customFormat="1" ht="15.75" hidden="1" customHeight="1" outlineLevel="1">
      <c r="A211" s="916"/>
      <c r="B211" s="1123">
        <v>67</v>
      </c>
      <c r="C211" s="1127"/>
      <c r="D211" s="1125"/>
      <c r="E211" s="1125" t="s">
        <v>18</v>
      </c>
      <c r="F211" s="1130" t="str">
        <f>VLOOKUP(E211,$N$13:$O$17,2,0)</f>
        <v>-</v>
      </c>
      <c r="G211" s="92"/>
      <c r="H211" s="90"/>
      <c r="I211" s="1125"/>
      <c r="J211" s="1133"/>
      <c r="K211" s="1133"/>
      <c r="L211" s="916"/>
      <c r="P211"/>
      <c r="Q211"/>
      <c r="R211"/>
      <c r="S211"/>
      <c r="T211"/>
      <c r="U211"/>
      <c r="V211"/>
      <c r="W211"/>
      <c r="X211"/>
    </row>
    <row r="212" spans="1:24" s="103" customFormat="1" ht="15.75" hidden="1" customHeight="1" outlineLevel="1">
      <c r="A212" s="916"/>
      <c r="B212" s="1123"/>
      <c r="C212" s="1127"/>
      <c r="D212" s="1125"/>
      <c r="E212" s="1125"/>
      <c r="F212" s="1130"/>
      <c r="G212" s="95"/>
      <c r="H212" s="90"/>
      <c r="I212" s="1125"/>
      <c r="J212" s="1134"/>
      <c r="K212" s="1134"/>
      <c r="L212" s="916"/>
      <c r="P212"/>
      <c r="Q212"/>
      <c r="R212"/>
      <c r="S212"/>
      <c r="T212"/>
      <c r="U212"/>
      <c r="V212"/>
      <c r="W212"/>
      <c r="X212"/>
    </row>
    <row r="213" spans="1:24" s="103" customFormat="1" ht="15.75" hidden="1" customHeight="1" outlineLevel="1">
      <c r="A213" s="916"/>
      <c r="B213" s="1124"/>
      <c r="C213" s="1128"/>
      <c r="D213" s="1126"/>
      <c r="E213" s="1126"/>
      <c r="F213" s="1132"/>
      <c r="G213" s="100"/>
      <c r="H213" s="98"/>
      <c r="I213" s="1126"/>
      <c r="J213" s="1135"/>
      <c r="K213" s="1135"/>
      <c r="L213" s="916"/>
      <c r="P213"/>
      <c r="Q213"/>
      <c r="R213"/>
      <c r="S213"/>
      <c r="T213"/>
      <c r="U213"/>
      <c r="V213"/>
      <c r="W213"/>
      <c r="X213"/>
    </row>
    <row r="214" spans="1:24" s="103" customFormat="1" ht="15.75" hidden="1" customHeight="1" outlineLevel="1">
      <c r="A214" s="916"/>
      <c r="B214" s="1123">
        <v>68</v>
      </c>
      <c r="C214" s="1127"/>
      <c r="D214" s="1125"/>
      <c r="E214" s="1125" t="s">
        <v>18</v>
      </c>
      <c r="F214" s="1130" t="str">
        <f>VLOOKUP(E214,$N$13:$O$17,2,0)</f>
        <v>-</v>
      </c>
      <c r="G214" s="92"/>
      <c r="H214" s="90"/>
      <c r="I214" s="1125"/>
      <c r="J214" s="1133"/>
      <c r="K214" s="1133"/>
      <c r="L214" s="916"/>
      <c r="P214"/>
      <c r="Q214"/>
      <c r="R214"/>
      <c r="S214"/>
      <c r="T214"/>
      <c r="U214"/>
      <c r="V214"/>
      <c r="W214"/>
      <c r="X214"/>
    </row>
    <row r="215" spans="1:24" s="103" customFormat="1" ht="15.75" hidden="1" customHeight="1" outlineLevel="1">
      <c r="A215" s="916"/>
      <c r="B215" s="1123"/>
      <c r="C215" s="1127"/>
      <c r="D215" s="1125"/>
      <c r="E215" s="1125"/>
      <c r="F215" s="1130"/>
      <c r="G215" s="95"/>
      <c r="H215" s="90"/>
      <c r="I215" s="1125"/>
      <c r="J215" s="1134"/>
      <c r="K215" s="1134"/>
      <c r="L215" s="916"/>
      <c r="P215"/>
      <c r="Q215"/>
      <c r="R215"/>
      <c r="S215"/>
      <c r="T215"/>
      <c r="U215"/>
      <c r="V215"/>
      <c r="W215"/>
      <c r="X215"/>
    </row>
    <row r="216" spans="1:24" s="103" customFormat="1" ht="15.75" hidden="1" customHeight="1" outlineLevel="1">
      <c r="A216" s="916"/>
      <c r="B216" s="1124"/>
      <c r="C216" s="1128"/>
      <c r="D216" s="1126"/>
      <c r="E216" s="1126"/>
      <c r="F216" s="1132"/>
      <c r="G216" s="100"/>
      <c r="H216" s="98"/>
      <c r="I216" s="1126"/>
      <c r="J216" s="1135"/>
      <c r="K216" s="1135"/>
      <c r="L216" s="916"/>
      <c r="P216"/>
      <c r="Q216"/>
      <c r="R216"/>
      <c r="S216"/>
      <c r="T216"/>
      <c r="U216"/>
      <c r="V216"/>
      <c r="W216"/>
      <c r="X216"/>
    </row>
    <row r="217" spans="1:24" s="103" customFormat="1" ht="15.75" hidden="1" customHeight="1" outlineLevel="1">
      <c r="A217" s="916"/>
      <c r="B217" s="1123">
        <v>69</v>
      </c>
      <c r="C217" s="1127"/>
      <c r="D217" s="1125"/>
      <c r="E217" s="1125" t="s">
        <v>18</v>
      </c>
      <c r="F217" s="1130" t="str">
        <f>VLOOKUP(E217,$N$13:$O$17,2,0)</f>
        <v>-</v>
      </c>
      <c r="G217" s="92"/>
      <c r="H217" s="90"/>
      <c r="I217" s="1125"/>
      <c r="J217" s="1133"/>
      <c r="K217" s="1133"/>
      <c r="L217" s="916"/>
      <c r="P217"/>
      <c r="Q217"/>
      <c r="R217"/>
      <c r="S217"/>
      <c r="T217"/>
      <c r="U217"/>
      <c r="V217"/>
      <c r="W217"/>
      <c r="X217"/>
    </row>
    <row r="218" spans="1:24" s="103" customFormat="1" ht="15.75" hidden="1" customHeight="1" outlineLevel="1">
      <c r="A218" s="916"/>
      <c r="B218" s="1123"/>
      <c r="C218" s="1127"/>
      <c r="D218" s="1125"/>
      <c r="E218" s="1125"/>
      <c r="F218" s="1130"/>
      <c r="G218" s="95"/>
      <c r="H218" s="90"/>
      <c r="I218" s="1125"/>
      <c r="J218" s="1134"/>
      <c r="K218" s="1134"/>
      <c r="L218" s="916"/>
      <c r="P218"/>
      <c r="Q218"/>
      <c r="R218"/>
      <c r="S218"/>
      <c r="T218"/>
      <c r="U218"/>
      <c r="V218"/>
      <c r="W218"/>
      <c r="X218"/>
    </row>
    <row r="219" spans="1:24" s="103" customFormat="1" ht="15.75" hidden="1" customHeight="1" outlineLevel="1">
      <c r="A219" s="916"/>
      <c r="B219" s="1124"/>
      <c r="C219" s="1128"/>
      <c r="D219" s="1126"/>
      <c r="E219" s="1126"/>
      <c r="F219" s="1132"/>
      <c r="G219" s="100"/>
      <c r="H219" s="98"/>
      <c r="I219" s="1126"/>
      <c r="J219" s="1135"/>
      <c r="K219" s="1135"/>
      <c r="L219" s="916"/>
      <c r="P219"/>
      <c r="Q219"/>
      <c r="R219"/>
      <c r="S219"/>
      <c r="T219"/>
      <c r="U219"/>
      <c r="V219"/>
      <c r="W219"/>
      <c r="X219"/>
    </row>
    <row r="220" spans="1:24" s="103" customFormat="1" ht="15.75" hidden="1" customHeight="1" outlineLevel="1">
      <c r="A220" s="916"/>
      <c r="B220" s="1123">
        <v>70</v>
      </c>
      <c r="C220" s="1127"/>
      <c r="D220" s="1125"/>
      <c r="E220" s="1125" t="s">
        <v>18</v>
      </c>
      <c r="F220" s="1130" t="str">
        <f>VLOOKUP(E220,$N$13:$O$17,2,0)</f>
        <v>-</v>
      </c>
      <c r="G220" s="92"/>
      <c r="H220" s="90"/>
      <c r="I220" s="1125"/>
      <c r="J220" s="1133"/>
      <c r="K220" s="1133"/>
      <c r="L220" s="916"/>
      <c r="P220"/>
      <c r="Q220"/>
      <c r="R220"/>
      <c r="S220"/>
      <c r="T220"/>
      <c r="U220"/>
      <c r="V220"/>
      <c r="W220"/>
      <c r="X220"/>
    </row>
    <row r="221" spans="1:24" s="103" customFormat="1" ht="15.75" hidden="1" customHeight="1" outlineLevel="1">
      <c r="A221" s="916"/>
      <c r="B221" s="1123"/>
      <c r="C221" s="1127"/>
      <c r="D221" s="1125"/>
      <c r="E221" s="1125"/>
      <c r="F221" s="1130"/>
      <c r="G221" s="95"/>
      <c r="H221" s="90"/>
      <c r="I221" s="1125"/>
      <c r="J221" s="1134"/>
      <c r="K221" s="1134"/>
      <c r="L221" s="916"/>
      <c r="P221"/>
      <c r="Q221"/>
      <c r="R221"/>
      <c r="S221"/>
      <c r="T221"/>
      <c r="U221"/>
      <c r="V221"/>
      <c r="W221"/>
      <c r="X221"/>
    </row>
    <row r="222" spans="1:24" s="103" customFormat="1" ht="15.75" hidden="1" customHeight="1" outlineLevel="1">
      <c r="A222" s="916"/>
      <c r="B222" s="1124"/>
      <c r="C222" s="1128"/>
      <c r="D222" s="1126"/>
      <c r="E222" s="1126"/>
      <c r="F222" s="1132"/>
      <c r="G222" s="100"/>
      <c r="H222" s="98"/>
      <c r="I222" s="1126"/>
      <c r="J222" s="1135"/>
      <c r="K222" s="1135"/>
      <c r="L222" s="916"/>
      <c r="P222"/>
      <c r="Q222"/>
      <c r="R222"/>
      <c r="S222"/>
      <c r="T222"/>
      <c r="U222"/>
      <c r="V222"/>
      <c r="W222"/>
      <c r="X222"/>
    </row>
    <row r="223" spans="1:24" s="103" customFormat="1" ht="15.75" hidden="1" customHeight="1" outlineLevel="1">
      <c r="A223" s="916"/>
      <c r="B223" s="1123">
        <v>71</v>
      </c>
      <c r="C223" s="1127"/>
      <c r="D223" s="1125"/>
      <c r="E223" s="1125" t="s">
        <v>18</v>
      </c>
      <c r="F223" s="1130" t="str">
        <f>VLOOKUP(E223,$N$13:$O$17,2,0)</f>
        <v>-</v>
      </c>
      <c r="G223" s="92"/>
      <c r="H223" s="90"/>
      <c r="I223" s="1125"/>
      <c r="J223" s="1133"/>
      <c r="K223" s="1133"/>
      <c r="L223" s="916"/>
      <c r="P223"/>
      <c r="Q223"/>
      <c r="R223"/>
      <c r="S223"/>
      <c r="T223"/>
      <c r="U223"/>
      <c r="V223"/>
      <c r="W223"/>
      <c r="X223"/>
    </row>
    <row r="224" spans="1:24" s="103" customFormat="1" ht="15.75" hidden="1" customHeight="1" outlineLevel="1">
      <c r="A224" s="916"/>
      <c r="B224" s="1123"/>
      <c r="C224" s="1127"/>
      <c r="D224" s="1125"/>
      <c r="E224" s="1125"/>
      <c r="F224" s="1130"/>
      <c r="G224" s="95"/>
      <c r="H224" s="90"/>
      <c r="I224" s="1125"/>
      <c r="J224" s="1134"/>
      <c r="K224" s="1134"/>
      <c r="L224" s="916"/>
      <c r="P224"/>
      <c r="Q224"/>
      <c r="R224"/>
      <c r="S224"/>
      <c r="T224"/>
      <c r="U224"/>
      <c r="V224"/>
      <c r="W224"/>
      <c r="X224"/>
    </row>
    <row r="225" spans="1:24" s="103" customFormat="1" ht="15.75" hidden="1" customHeight="1" outlineLevel="1">
      <c r="A225" s="916"/>
      <c r="B225" s="1124"/>
      <c r="C225" s="1128"/>
      <c r="D225" s="1126"/>
      <c r="E225" s="1126"/>
      <c r="F225" s="1132"/>
      <c r="G225" s="100"/>
      <c r="H225" s="98"/>
      <c r="I225" s="1126"/>
      <c r="J225" s="1135"/>
      <c r="K225" s="1135"/>
      <c r="L225" s="916"/>
      <c r="P225"/>
      <c r="Q225"/>
      <c r="R225"/>
      <c r="S225"/>
      <c r="T225"/>
      <c r="U225"/>
      <c r="V225"/>
      <c r="W225"/>
      <c r="X225"/>
    </row>
    <row r="226" spans="1:24" s="103" customFormat="1" ht="15.75" hidden="1" customHeight="1" outlineLevel="1">
      <c r="A226" s="916"/>
      <c r="B226" s="1123">
        <v>72</v>
      </c>
      <c r="C226" s="1127"/>
      <c r="D226" s="1125"/>
      <c r="E226" s="1125" t="s">
        <v>18</v>
      </c>
      <c r="F226" s="1130" t="str">
        <f>VLOOKUP(E226,$N$13:$O$17,2,0)</f>
        <v>-</v>
      </c>
      <c r="G226" s="92"/>
      <c r="H226" s="90"/>
      <c r="I226" s="1125"/>
      <c r="J226" s="1133"/>
      <c r="K226" s="1133"/>
      <c r="L226" s="916"/>
      <c r="P226"/>
      <c r="Q226"/>
      <c r="R226"/>
      <c r="S226"/>
      <c r="T226"/>
      <c r="U226"/>
      <c r="V226"/>
      <c r="W226"/>
      <c r="X226"/>
    </row>
    <row r="227" spans="1:24" s="103" customFormat="1" ht="15.75" hidden="1" customHeight="1" outlineLevel="1">
      <c r="A227" s="916"/>
      <c r="B227" s="1123"/>
      <c r="C227" s="1127"/>
      <c r="D227" s="1125"/>
      <c r="E227" s="1125"/>
      <c r="F227" s="1130"/>
      <c r="G227" s="95"/>
      <c r="H227" s="90"/>
      <c r="I227" s="1125"/>
      <c r="J227" s="1134"/>
      <c r="K227" s="1134"/>
      <c r="L227" s="916"/>
      <c r="P227"/>
      <c r="Q227"/>
      <c r="R227"/>
      <c r="S227"/>
      <c r="T227"/>
      <c r="U227"/>
      <c r="V227"/>
      <c r="W227"/>
      <c r="X227"/>
    </row>
    <row r="228" spans="1:24" s="103" customFormat="1" ht="15.75" hidden="1" customHeight="1" outlineLevel="1">
      <c r="A228" s="916"/>
      <c r="B228" s="1124"/>
      <c r="C228" s="1128"/>
      <c r="D228" s="1126"/>
      <c r="E228" s="1126"/>
      <c r="F228" s="1132"/>
      <c r="G228" s="100"/>
      <c r="H228" s="98"/>
      <c r="I228" s="1126"/>
      <c r="J228" s="1135"/>
      <c r="K228" s="1135"/>
      <c r="L228" s="916"/>
      <c r="P228"/>
      <c r="Q228"/>
      <c r="R228"/>
      <c r="S228"/>
      <c r="T228"/>
      <c r="U228"/>
      <c r="V228"/>
      <c r="W228"/>
      <c r="X228"/>
    </row>
    <row r="229" spans="1:24" s="103" customFormat="1" ht="15.75" hidden="1" customHeight="1" outlineLevel="1">
      <c r="A229" s="916"/>
      <c r="B229" s="1123">
        <v>73</v>
      </c>
      <c r="C229" s="1127"/>
      <c r="D229" s="1125"/>
      <c r="E229" s="1125" t="s">
        <v>18</v>
      </c>
      <c r="F229" s="1130" t="str">
        <f>VLOOKUP(E229,$N$13:$O$17,2,0)</f>
        <v>-</v>
      </c>
      <c r="G229" s="92"/>
      <c r="H229" s="90"/>
      <c r="I229" s="1125"/>
      <c r="J229" s="1133"/>
      <c r="K229" s="1133"/>
      <c r="L229" s="916"/>
      <c r="P229"/>
      <c r="Q229"/>
      <c r="R229"/>
      <c r="S229"/>
      <c r="T229"/>
      <c r="U229"/>
      <c r="V229"/>
      <c r="W229"/>
      <c r="X229"/>
    </row>
    <row r="230" spans="1:24" s="103" customFormat="1" ht="15.75" hidden="1" customHeight="1" outlineLevel="1">
      <c r="A230" s="916"/>
      <c r="B230" s="1123"/>
      <c r="C230" s="1127"/>
      <c r="D230" s="1125"/>
      <c r="E230" s="1125"/>
      <c r="F230" s="1130"/>
      <c r="G230" s="95"/>
      <c r="H230" s="90"/>
      <c r="I230" s="1125"/>
      <c r="J230" s="1134"/>
      <c r="K230" s="1134"/>
      <c r="L230" s="916"/>
      <c r="P230"/>
      <c r="Q230"/>
      <c r="R230"/>
      <c r="S230"/>
      <c r="T230"/>
      <c r="U230"/>
      <c r="V230"/>
      <c r="W230"/>
      <c r="X230"/>
    </row>
    <row r="231" spans="1:24" s="103" customFormat="1" ht="15.75" hidden="1" customHeight="1" outlineLevel="1">
      <c r="A231" s="916"/>
      <c r="B231" s="1124"/>
      <c r="C231" s="1128"/>
      <c r="D231" s="1126"/>
      <c r="E231" s="1126"/>
      <c r="F231" s="1132"/>
      <c r="G231" s="100"/>
      <c r="H231" s="98"/>
      <c r="I231" s="1126"/>
      <c r="J231" s="1135"/>
      <c r="K231" s="1135"/>
      <c r="L231" s="916"/>
      <c r="P231"/>
      <c r="Q231"/>
      <c r="R231"/>
      <c r="S231"/>
      <c r="T231"/>
      <c r="U231"/>
      <c r="V231"/>
      <c r="W231"/>
      <c r="X231"/>
    </row>
    <row r="232" spans="1:24" s="103" customFormat="1" ht="15.75" hidden="1" customHeight="1" outlineLevel="1">
      <c r="A232" s="916"/>
      <c r="B232" s="1123">
        <v>74</v>
      </c>
      <c r="C232" s="1127"/>
      <c r="D232" s="1125"/>
      <c r="E232" s="1125" t="s">
        <v>18</v>
      </c>
      <c r="F232" s="1130" t="str">
        <f>VLOOKUP(E232,$N$13:$O$17,2,0)</f>
        <v>-</v>
      </c>
      <c r="G232" s="92"/>
      <c r="H232" s="90"/>
      <c r="I232" s="1125"/>
      <c r="J232" s="1133"/>
      <c r="K232" s="1133"/>
      <c r="L232" s="916"/>
      <c r="P232"/>
      <c r="Q232"/>
      <c r="R232"/>
      <c r="S232"/>
      <c r="T232"/>
      <c r="U232"/>
      <c r="V232"/>
      <c r="W232"/>
      <c r="X232"/>
    </row>
    <row r="233" spans="1:24" s="103" customFormat="1" ht="15.75" hidden="1" customHeight="1" outlineLevel="1">
      <c r="A233" s="916"/>
      <c r="B233" s="1123"/>
      <c r="C233" s="1127"/>
      <c r="D233" s="1125"/>
      <c r="E233" s="1125"/>
      <c r="F233" s="1130"/>
      <c r="G233" s="95"/>
      <c r="H233" s="90"/>
      <c r="I233" s="1125"/>
      <c r="J233" s="1134"/>
      <c r="K233" s="1134"/>
      <c r="L233" s="916"/>
      <c r="P233"/>
      <c r="Q233"/>
      <c r="R233"/>
      <c r="S233"/>
      <c r="T233"/>
      <c r="U233"/>
      <c r="V233"/>
      <c r="W233"/>
      <c r="X233"/>
    </row>
    <row r="234" spans="1:24" s="103" customFormat="1" ht="15.75" hidden="1" customHeight="1" outlineLevel="1">
      <c r="A234" s="916"/>
      <c r="B234" s="1124"/>
      <c r="C234" s="1128"/>
      <c r="D234" s="1126"/>
      <c r="E234" s="1126"/>
      <c r="F234" s="1132"/>
      <c r="G234" s="100"/>
      <c r="H234" s="98"/>
      <c r="I234" s="1126"/>
      <c r="J234" s="1135"/>
      <c r="K234" s="1135"/>
      <c r="L234" s="916"/>
      <c r="P234"/>
      <c r="Q234"/>
      <c r="R234"/>
      <c r="S234"/>
      <c r="T234"/>
      <c r="U234"/>
      <c r="V234"/>
      <c r="W234"/>
      <c r="X234"/>
    </row>
    <row r="235" spans="1:24" s="103" customFormat="1" ht="15.75" hidden="1" customHeight="1" outlineLevel="1">
      <c r="A235" s="916"/>
      <c r="B235" s="1123">
        <v>75</v>
      </c>
      <c r="C235" s="1127"/>
      <c r="D235" s="1125"/>
      <c r="E235" s="1125" t="s">
        <v>18</v>
      </c>
      <c r="F235" s="1130" t="str">
        <f>VLOOKUP(E235,$N$13:$O$17,2,0)</f>
        <v>-</v>
      </c>
      <c r="G235" s="92"/>
      <c r="H235" s="90"/>
      <c r="I235" s="1125"/>
      <c r="J235" s="1133"/>
      <c r="K235" s="1133"/>
      <c r="L235" s="916"/>
      <c r="P235"/>
      <c r="Q235"/>
      <c r="R235"/>
      <c r="S235"/>
      <c r="T235"/>
      <c r="U235"/>
      <c r="V235"/>
      <c r="W235"/>
      <c r="X235"/>
    </row>
    <row r="236" spans="1:24" s="103" customFormat="1" ht="15.75" hidden="1" customHeight="1" outlineLevel="1">
      <c r="A236" s="916"/>
      <c r="B236" s="1123"/>
      <c r="C236" s="1127"/>
      <c r="D236" s="1125"/>
      <c r="E236" s="1125"/>
      <c r="F236" s="1130"/>
      <c r="G236" s="95"/>
      <c r="H236" s="90"/>
      <c r="I236" s="1125"/>
      <c r="J236" s="1134"/>
      <c r="K236" s="1134"/>
      <c r="L236" s="916"/>
      <c r="P236"/>
      <c r="Q236"/>
      <c r="R236"/>
      <c r="S236"/>
      <c r="T236"/>
      <c r="U236"/>
      <c r="V236"/>
      <c r="W236"/>
      <c r="X236"/>
    </row>
    <row r="237" spans="1:24" s="103" customFormat="1" ht="15.75" hidden="1" customHeight="1" outlineLevel="1">
      <c r="A237" s="916"/>
      <c r="B237" s="1124"/>
      <c r="C237" s="1128"/>
      <c r="D237" s="1126"/>
      <c r="E237" s="1126"/>
      <c r="F237" s="1132"/>
      <c r="G237" s="100"/>
      <c r="H237" s="98"/>
      <c r="I237" s="1126"/>
      <c r="J237" s="1135"/>
      <c r="K237" s="1135"/>
      <c r="L237" s="916"/>
      <c r="P237"/>
      <c r="Q237"/>
      <c r="R237"/>
      <c r="S237"/>
      <c r="T237"/>
      <c r="U237"/>
      <c r="V237"/>
      <c r="W237"/>
      <c r="X237"/>
    </row>
    <row r="238" spans="1:24" s="103" customFormat="1" ht="15.75" hidden="1" customHeight="1" outlineLevel="1">
      <c r="A238" s="916"/>
      <c r="B238" s="1123">
        <v>76</v>
      </c>
      <c r="C238" s="1127"/>
      <c r="D238" s="1125"/>
      <c r="E238" s="1125" t="s">
        <v>18</v>
      </c>
      <c r="F238" s="1130" t="str">
        <f>VLOOKUP(E238,$N$13:$O$17,2,0)</f>
        <v>-</v>
      </c>
      <c r="G238" s="92"/>
      <c r="H238" s="90"/>
      <c r="I238" s="1125"/>
      <c r="J238" s="1133"/>
      <c r="K238" s="1133"/>
      <c r="L238" s="916"/>
      <c r="P238"/>
      <c r="Q238"/>
      <c r="R238"/>
      <c r="S238"/>
      <c r="T238"/>
      <c r="U238"/>
      <c r="V238"/>
      <c r="W238"/>
      <c r="X238"/>
    </row>
    <row r="239" spans="1:24" s="103" customFormat="1" ht="15.75" hidden="1" customHeight="1" outlineLevel="1">
      <c r="A239" s="916"/>
      <c r="B239" s="1123"/>
      <c r="C239" s="1127"/>
      <c r="D239" s="1125"/>
      <c r="E239" s="1125"/>
      <c r="F239" s="1130"/>
      <c r="G239" s="95"/>
      <c r="H239" s="90"/>
      <c r="I239" s="1125"/>
      <c r="J239" s="1134"/>
      <c r="K239" s="1134"/>
      <c r="L239" s="916"/>
      <c r="P239"/>
      <c r="Q239"/>
      <c r="R239"/>
      <c r="S239"/>
      <c r="T239"/>
      <c r="U239"/>
      <c r="V239"/>
      <c r="W239"/>
      <c r="X239"/>
    </row>
    <row r="240" spans="1:24" s="103" customFormat="1" ht="15.75" hidden="1" customHeight="1" outlineLevel="1">
      <c r="A240" s="916"/>
      <c r="B240" s="1124"/>
      <c r="C240" s="1128"/>
      <c r="D240" s="1126"/>
      <c r="E240" s="1126"/>
      <c r="F240" s="1132"/>
      <c r="G240" s="100"/>
      <c r="H240" s="98"/>
      <c r="I240" s="1126"/>
      <c r="J240" s="1135"/>
      <c r="K240" s="1135"/>
      <c r="L240" s="916"/>
      <c r="P240"/>
      <c r="Q240"/>
      <c r="R240"/>
      <c r="S240"/>
      <c r="T240"/>
      <c r="U240"/>
      <c r="V240"/>
      <c r="W240"/>
      <c r="X240"/>
    </row>
    <row r="241" spans="1:24" s="103" customFormat="1" ht="15.75" hidden="1" customHeight="1" outlineLevel="1">
      <c r="A241" s="916"/>
      <c r="B241" s="1123">
        <v>77</v>
      </c>
      <c r="C241" s="1127"/>
      <c r="D241" s="1125"/>
      <c r="E241" s="1125" t="s">
        <v>18</v>
      </c>
      <c r="F241" s="1130" t="str">
        <f>VLOOKUP(E241,$N$13:$O$17,2,0)</f>
        <v>-</v>
      </c>
      <c r="G241" s="92"/>
      <c r="H241" s="90"/>
      <c r="I241" s="1125"/>
      <c r="J241" s="1133"/>
      <c r="K241" s="1133"/>
      <c r="L241" s="916"/>
      <c r="P241"/>
      <c r="Q241"/>
      <c r="R241"/>
      <c r="S241"/>
      <c r="T241"/>
      <c r="U241"/>
      <c r="V241"/>
      <c r="W241"/>
      <c r="X241"/>
    </row>
    <row r="242" spans="1:24" s="103" customFormat="1" ht="15.75" hidden="1" customHeight="1" outlineLevel="1">
      <c r="A242" s="916"/>
      <c r="B242" s="1123"/>
      <c r="C242" s="1127"/>
      <c r="D242" s="1125"/>
      <c r="E242" s="1125"/>
      <c r="F242" s="1130"/>
      <c r="G242" s="95"/>
      <c r="H242" s="90"/>
      <c r="I242" s="1125"/>
      <c r="J242" s="1134"/>
      <c r="K242" s="1134"/>
      <c r="L242" s="916"/>
      <c r="P242"/>
      <c r="Q242"/>
      <c r="R242"/>
      <c r="S242"/>
      <c r="T242"/>
      <c r="U242"/>
      <c r="V242"/>
      <c r="W242"/>
      <c r="X242"/>
    </row>
    <row r="243" spans="1:24" s="103" customFormat="1" ht="15.75" hidden="1" customHeight="1" outlineLevel="1">
      <c r="A243" s="916"/>
      <c r="B243" s="1124"/>
      <c r="C243" s="1128"/>
      <c r="D243" s="1126"/>
      <c r="E243" s="1126"/>
      <c r="F243" s="1132"/>
      <c r="G243" s="100"/>
      <c r="H243" s="98"/>
      <c r="I243" s="1126"/>
      <c r="J243" s="1135"/>
      <c r="K243" s="1135"/>
      <c r="L243" s="916"/>
      <c r="P243"/>
      <c r="Q243"/>
      <c r="R243"/>
      <c r="S243"/>
      <c r="T243"/>
      <c r="U243"/>
      <c r="V243"/>
      <c r="W243"/>
      <c r="X243"/>
    </row>
    <row r="244" spans="1:24" s="103" customFormat="1" ht="15.75" hidden="1" customHeight="1" outlineLevel="1">
      <c r="A244" s="916"/>
      <c r="B244" s="1123">
        <v>78</v>
      </c>
      <c r="C244" s="1127"/>
      <c r="D244" s="1125"/>
      <c r="E244" s="1125" t="s">
        <v>18</v>
      </c>
      <c r="F244" s="1130" t="str">
        <f>VLOOKUP(E244,$N$13:$O$17,2,0)</f>
        <v>-</v>
      </c>
      <c r="G244" s="92"/>
      <c r="H244" s="90"/>
      <c r="I244" s="1125"/>
      <c r="J244" s="1133"/>
      <c r="K244" s="1133"/>
      <c r="L244" s="916"/>
      <c r="P244"/>
      <c r="Q244"/>
      <c r="R244"/>
      <c r="S244"/>
      <c r="T244"/>
      <c r="U244"/>
      <c r="V244"/>
      <c r="W244"/>
      <c r="X244"/>
    </row>
    <row r="245" spans="1:24" s="103" customFormat="1" ht="15.75" hidden="1" customHeight="1" outlineLevel="1">
      <c r="A245" s="916"/>
      <c r="B245" s="1123"/>
      <c r="C245" s="1127"/>
      <c r="D245" s="1125"/>
      <c r="E245" s="1125"/>
      <c r="F245" s="1130"/>
      <c r="G245" s="95"/>
      <c r="H245" s="90"/>
      <c r="I245" s="1125"/>
      <c r="J245" s="1134"/>
      <c r="K245" s="1134"/>
      <c r="L245" s="916"/>
      <c r="P245"/>
      <c r="Q245"/>
      <c r="R245"/>
      <c r="S245"/>
      <c r="T245"/>
      <c r="U245"/>
      <c r="V245"/>
      <c r="W245"/>
      <c r="X245"/>
    </row>
    <row r="246" spans="1:24" s="103" customFormat="1" ht="15.75" hidden="1" customHeight="1" outlineLevel="1">
      <c r="A246" s="916"/>
      <c r="B246" s="1124"/>
      <c r="C246" s="1128"/>
      <c r="D246" s="1126"/>
      <c r="E246" s="1126"/>
      <c r="F246" s="1132"/>
      <c r="G246" s="100"/>
      <c r="H246" s="98"/>
      <c r="I246" s="1126"/>
      <c r="J246" s="1135"/>
      <c r="K246" s="1135"/>
      <c r="L246" s="916"/>
      <c r="P246"/>
      <c r="Q246"/>
      <c r="R246"/>
      <c r="S246"/>
      <c r="T246"/>
      <c r="U246"/>
      <c r="V246"/>
      <c r="W246"/>
      <c r="X246"/>
    </row>
    <row r="247" spans="1:24" s="103" customFormat="1" ht="15.75" hidden="1" customHeight="1" outlineLevel="1">
      <c r="A247" s="916"/>
      <c r="B247" s="1123">
        <v>79</v>
      </c>
      <c r="C247" s="1127"/>
      <c r="D247" s="1125"/>
      <c r="E247" s="1125" t="s">
        <v>18</v>
      </c>
      <c r="F247" s="1130" t="str">
        <f>VLOOKUP(E247,$N$13:$O$17,2,0)</f>
        <v>-</v>
      </c>
      <c r="G247" s="92"/>
      <c r="H247" s="90"/>
      <c r="I247" s="1125"/>
      <c r="J247" s="1133"/>
      <c r="K247" s="1133"/>
      <c r="L247" s="916"/>
      <c r="P247"/>
      <c r="Q247"/>
      <c r="R247"/>
      <c r="S247"/>
      <c r="T247"/>
      <c r="U247"/>
      <c r="V247"/>
      <c r="W247"/>
      <c r="X247"/>
    </row>
    <row r="248" spans="1:24" s="103" customFormat="1" ht="15.75" hidden="1" customHeight="1" outlineLevel="1">
      <c r="A248" s="916"/>
      <c r="B248" s="1123"/>
      <c r="C248" s="1127"/>
      <c r="D248" s="1125"/>
      <c r="E248" s="1125"/>
      <c r="F248" s="1130"/>
      <c r="G248" s="95"/>
      <c r="H248" s="90"/>
      <c r="I248" s="1125"/>
      <c r="J248" s="1134"/>
      <c r="K248" s="1134"/>
      <c r="L248" s="916"/>
      <c r="P248"/>
      <c r="Q248"/>
      <c r="R248"/>
      <c r="S248"/>
      <c r="T248"/>
      <c r="U248"/>
      <c r="V248"/>
      <c r="W248"/>
      <c r="X248"/>
    </row>
    <row r="249" spans="1:24" s="103" customFormat="1" ht="15.75" hidden="1" customHeight="1" outlineLevel="1">
      <c r="A249" s="916"/>
      <c r="B249" s="1124"/>
      <c r="C249" s="1128"/>
      <c r="D249" s="1126"/>
      <c r="E249" s="1126"/>
      <c r="F249" s="1132"/>
      <c r="G249" s="100"/>
      <c r="H249" s="98"/>
      <c r="I249" s="1126"/>
      <c r="J249" s="1135"/>
      <c r="K249" s="1135"/>
      <c r="L249" s="916"/>
      <c r="P249"/>
      <c r="Q249"/>
      <c r="R249"/>
      <c r="S249"/>
      <c r="T249"/>
      <c r="U249"/>
      <c r="V249"/>
      <c r="W249"/>
      <c r="X249"/>
    </row>
    <row r="250" spans="1:24" s="103" customFormat="1" ht="15.75" hidden="1" customHeight="1" outlineLevel="1">
      <c r="A250" s="916"/>
      <c r="B250" s="1123">
        <v>80</v>
      </c>
      <c r="C250" s="1127"/>
      <c r="D250" s="1125"/>
      <c r="E250" s="1125" t="s">
        <v>18</v>
      </c>
      <c r="F250" s="1130" t="str">
        <f>VLOOKUP(E250,$N$13:$O$17,2,0)</f>
        <v>-</v>
      </c>
      <c r="G250" s="92"/>
      <c r="H250" s="90"/>
      <c r="I250" s="1125"/>
      <c r="J250" s="1133"/>
      <c r="K250" s="1133"/>
      <c r="L250" s="916"/>
      <c r="P250"/>
      <c r="Q250"/>
      <c r="R250"/>
      <c r="S250"/>
      <c r="T250"/>
      <c r="U250"/>
      <c r="V250"/>
      <c r="W250"/>
      <c r="X250"/>
    </row>
    <row r="251" spans="1:24" s="103" customFormat="1" ht="15.75" hidden="1" customHeight="1" outlineLevel="1">
      <c r="A251" s="916"/>
      <c r="B251" s="1123"/>
      <c r="C251" s="1127"/>
      <c r="D251" s="1125"/>
      <c r="E251" s="1125"/>
      <c r="F251" s="1130"/>
      <c r="G251" s="95"/>
      <c r="H251" s="90"/>
      <c r="I251" s="1125"/>
      <c r="J251" s="1134"/>
      <c r="K251" s="1134"/>
      <c r="L251" s="916"/>
      <c r="P251"/>
      <c r="Q251"/>
      <c r="R251"/>
      <c r="S251"/>
      <c r="T251"/>
      <c r="U251"/>
      <c r="V251"/>
      <c r="W251"/>
      <c r="X251"/>
    </row>
    <row r="252" spans="1:24" s="103" customFormat="1" ht="15.75" hidden="1" customHeight="1" outlineLevel="1">
      <c r="A252" s="916"/>
      <c r="B252" s="1124"/>
      <c r="C252" s="1128"/>
      <c r="D252" s="1126"/>
      <c r="E252" s="1126"/>
      <c r="F252" s="1132"/>
      <c r="G252" s="100"/>
      <c r="H252" s="98"/>
      <c r="I252" s="1126"/>
      <c r="J252" s="1135"/>
      <c r="K252" s="1135"/>
      <c r="L252" s="916"/>
      <c r="P252"/>
      <c r="Q252"/>
      <c r="R252"/>
      <c r="S252"/>
      <c r="T252"/>
      <c r="U252"/>
      <c r="V252"/>
      <c r="W252"/>
      <c r="X252"/>
    </row>
    <row r="253" spans="1:24" s="103" customFormat="1" ht="15.75" hidden="1" customHeight="1" outlineLevel="1">
      <c r="A253" s="916"/>
      <c r="B253" s="1123">
        <v>81</v>
      </c>
      <c r="C253" s="1127"/>
      <c r="D253" s="1125"/>
      <c r="E253" s="1125" t="s">
        <v>18</v>
      </c>
      <c r="F253" s="1130" t="str">
        <f>VLOOKUP(E253,$N$13:$O$17,2,0)</f>
        <v>-</v>
      </c>
      <c r="G253" s="92"/>
      <c r="H253" s="90"/>
      <c r="I253" s="1125"/>
      <c r="J253" s="1133"/>
      <c r="K253" s="1133"/>
      <c r="L253" s="916"/>
      <c r="P253"/>
      <c r="Q253"/>
      <c r="R253"/>
      <c r="S253"/>
      <c r="T253"/>
      <c r="U253"/>
      <c r="V253"/>
      <c r="W253"/>
      <c r="X253"/>
    </row>
    <row r="254" spans="1:24" s="103" customFormat="1" ht="15.75" hidden="1" customHeight="1" outlineLevel="1">
      <c r="A254" s="916"/>
      <c r="B254" s="1123"/>
      <c r="C254" s="1127"/>
      <c r="D254" s="1125"/>
      <c r="E254" s="1125"/>
      <c r="F254" s="1130"/>
      <c r="G254" s="95"/>
      <c r="H254" s="90"/>
      <c r="I254" s="1125"/>
      <c r="J254" s="1134"/>
      <c r="K254" s="1134"/>
      <c r="L254" s="916"/>
      <c r="P254"/>
      <c r="Q254"/>
      <c r="R254"/>
      <c r="S254"/>
      <c r="T254"/>
      <c r="U254"/>
      <c r="V254"/>
      <c r="W254"/>
      <c r="X254"/>
    </row>
    <row r="255" spans="1:24" s="103" customFormat="1" ht="15.75" hidden="1" customHeight="1" outlineLevel="1">
      <c r="A255" s="916"/>
      <c r="B255" s="1124"/>
      <c r="C255" s="1128"/>
      <c r="D255" s="1126"/>
      <c r="E255" s="1126"/>
      <c r="F255" s="1132"/>
      <c r="G255" s="100"/>
      <c r="H255" s="98"/>
      <c r="I255" s="1126"/>
      <c r="J255" s="1135"/>
      <c r="K255" s="1135"/>
      <c r="L255" s="916"/>
      <c r="P255"/>
      <c r="Q255"/>
      <c r="R255"/>
      <c r="S255"/>
      <c r="T255"/>
      <c r="U255"/>
      <c r="V255"/>
      <c r="W255"/>
      <c r="X255"/>
    </row>
    <row r="256" spans="1:24" s="103" customFormat="1" ht="15.75" hidden="1" customHeight="1" outlineLevel="1">
      <c r="A256" s="916"/>
      <c r="B256" s="1123">
        <v>82</v>
      </c>
      <c r="C256" s="1127"/>
      <c r="D256" s="1125"/>
      <c r="E256" s="1125" t="s">
        <v>18</v>
      </c>
      <c r="F256" s="1130" t="str">
        <f>VLOOKUP(E256,$N$13:$O$17,2,0)</f>
        <v>-</v>
      </c>
      <c r="G256" s="92"/>
      <c r="H256" s="90"/>
      <c r="I256" s="1125"/>
      <c r="J256" s="1133"/>
      <c r="K256" s="1133"/>
      <c r="L256" s="916"/>
      <c r="P256"/>
      <c r="Q256"/>
      <c r="R256"/>
      <c r="S256"/>
      <c r="T256"/>
      <c r="U256"/>
      <c r="V256"/>
      <c r="W256"/>
      <c r="X256"/>
    </row>
    <row r="257" spans="1:24" s="103" customFormat="1" ht="15.75" hidden="1" customHeight="1" outlineLevel="1">
      <c r="A257" s="916"/>
      <c r="B257" s="1123"/>
      <c r="C257" s="1127"/>
      <c r="D257" s="1125"/>
      <c r="E257" s="1125"/>
      <c r="F257" s="1130"/>
      <c r="G257" s="95"/>
      <c r="H257" s="90"/>
      <c r="I257" s="1125"/>
      <c r="J257" s="1134"/>
      <c r="K257" s="1134"/>
      <c r="L257" s="916"/>
      <c r="P257"/>
      <c r="Q257"/>
      <c r="R257"/>
      <c r="S257"/>
      <c r="T257"/>
      <c r="U257"/>
      <c r="V257"/>
      <c r="W257"/>
      <c r="X257"/>
    </row>
    <row r="258" spans="1:24" s="103" customFormat="1" ht="15.75" hidden="1" customHeight="1" outlineLevel="1">
      <c r="A258" s="916"/>
      <c r="B258" s="1124"/>
      <c r="C258" s="1128"/>
      <c r="D258" s="1126"/>
      <c r="E258" s="1126"/>
      <c r="F258" s="1132"/>
      <c r="G258" s="100"/>
      <c r="H258" s="98"/>
      <c r="I258" s="1126"/>
      <c r="J258" s="1135"/>
      <c r="K258" s="1135"/>
      <c r="L258" s="916"/>
      <c r="P258"/>
      <c r="Q258"/>
      <c r="R258"/>
      <c r="S258"/>
      <c r="T258"/>
      <c r="U258"/>
      <c r="V258"/>
      <c r="W258"/>
      <c r="X258"/>
    </row>
    <row r="259" spans="1:24" s="103" customFormat="1" ht="15.75" hidden="1" customHeight="1" outlineLevel="1">
      <c r="A259" s="916"/>
      <c r="B259" s="1123">
        <v>83</v>
      </c>
      <c r="C259" s="1127"/>
      <c r="D259" s="1125"/>
      <c r="E259" s="1125" t="s">
        <v>18</v>
      </c>
      <c r="F259" s="1130" t="str">
        <f>VLOOKUP(E259,$N$13:$O$17,2,0)</f>
        <v>-</v>
      </c>
      <c r="G259" s="92"/>
      <c r="H259" s="90"/>
      <c r="I259" s="1125"/>
      <c r="J259" s="1133"/>
      <c r="K259" s="1133"/>
      <c r="L259" s="916"/>
      <c r="P259"/>
      <c r="Q259"/>
      <c r="R259"/>
      <c r="S259"/>
      <c r="T259"/>
      <c r="U259"/>
      <c r="V259"/>
      <c r="W259"/>
      <c r="X259"/>
    </row>
    <row r="260" spans="1:24" s="103" customFormat="1" ht="15.75" hidden="1" customHeight="1" outlineLevel="1">
      <c r="A260" s="916"/>
      <c r="B260" s="1123"/>
      <c r="C260" s="1127"/>
      <c r="D260" s="1125"/>
      <c r="E260" s="1125"/>
      <c r="F260" s="1130"/>
      <c r="G260" s="95"/>
      <c r="H260" s="90"/>
      <c r="I260" s="1125"/>
      <c r="J260" s="1134"/>
      <c r="K260" s="1134"/>
      <c r="L260" s="916"/>
      <c r="P260"/>
      <c r="Q260"/>
      <c r="R260"/>
      <c r="S260"/>
      <c r="T260"/>
      <c r="U260"/>
      <c r="V260"/>
      <c r="W260"/>
      <c r="X260"/>
    </row>
    <row r="261" spans="1:24" s="103" customFormat="1" ht="15.75" hidden="1" customHeight="1" outlineLevel="1">
      <c r="A261" s="916"/>
      <c r="B261" s="1124"/>
      <c r="C261" s="1128"/>
      <c r="D261" s="1126"/>
      <c r="E261" s="1126"/>
      <c r="F261" s="1132"/>
      <c r="G261" s="100"/>
      <c r="H261" s="98"/>
      <c r="I261" s="1126"/>
      <c r="J261" s="1135"/>
      <c r="K261" s="1135"/>
      <c r="L261" s="916"/>
      <c r="P261"/>
      <c r="Q261"/>
      <c r="R261"/>
      <c r="S261"/>
      <c r="T261"/>
      <c r="U261"/>
      <c r="V261"/>
      <c r="W261"/>
      <c r="X261"/>
    </row>
    <row r="262" spans="1:24" s="103" customFormat="1" ht="15.75" hidden="1" customHeight="1" outlineLevel="1">
      <c r="A262" s="916"/>
      <c r="B262" s="1123">
        <v>84</v>
      </c>
      <c r="C262" s="1127"/>
      <c r="D262" s="1125"/>
      <c r="E262" s="1125" t="s">
        <v>18</v>
      </c>
      <c r="F262" s="1130" t="str">
        <f>VLOOKUP(E262,$N$13:$O$17,2,0)</f>
        <v>-</v>
      </c>
      <c r="G262" s="92"/>
      <c r="H262" s="90"/>
      <c r="I262" s="1125"/>
      <c r="J262" s="1133"/>
      <c r="K262" s="1133"/>
      <c r="L262" s="916"/>
      <c r="P262"/>
      <c r="Q262"/>
      <c r="R262"/>
      <c r="S262"/>
      <c r="T262"/>
      <c r="U262"/>
      <c r="V262"/>
      <c r="W262"/>
      <c r="X262"/>
    </row>
    <row r="263" spans="1:24" s="103" customFormat="1" ht="15.75" hidden="1" customHeight="1" outlineLevel="1">
      <c r="A263" s="916"/>
      <c r="B263" s="1123"/>
      <c r="C263" s="1127"/>
      <c r="D263" s="1125"/>
      <c r="E263" s="1125"/>
      <c r="F263" s="1130"/>
      <c r="G263" s="95"/>
      <c r="H263" s="90"/>
      <c r="I263" s="1125"/>
      <c r="J263" s="1134"/>
      <c r="K263" s="1134"/>
      <c r="L263" s="916"/>
      <c r="P263"/>
      <c r="Q263"/>
      <c r="R263"/>
      <c r="S263"/>
      <c r="T263"/>
      <c r="U263"/>
      <c r="V263"/>
      <c r="W263"/>
      <c r="X263"/>
    </row>
    <row r="264" spans="1:24" s="103" customFormat="1" ht="15.75" hidden="1" customHeight="1" outlineLevel="1">
      <c r="A264" s="916"/>
      <c r="B264" s="1124"/>
      <c r="C264" s="1128"/>
      <c r="D264" s="1126"/>
      <c r="E264" s="1126"/>
      <c r="F264" s="1132"/>
      <c r="G264" s="100"/>
      <c r="H264" s="98"/>
      <c r="I264" s="1126"/>
      <c r="J264" s="1135"/>
      <c r="K264" s="1135"/>
      <c r="L264" s="916"/>
      <c r="P264"/>
      <c r="Q264"/>
      <c r="R264"/>
      <c r="S264"/>
      <c r="T264"/>
      <c r="U264"/>
      <c r="V264"/>
      <c r="W264"/>
      <c r="X264"/>
    </row>
    <row r="265" spans="1:24" s="103" customFormat="1" ht="15.75" hidden="1" customHeight="1" outlineLevel="1">
      <c r="A265" s="916"/>
      <c r="B265" s="1123">
        <v>85</v>
      </c>
      <c r="C265" s="1127"/>
      <c r="D265" s="1125"/>
      <c r="E265" s="1125" t="s">
        <v>18</v>
      </c>
      <c r="F265" s="1130" t="str">
        <f>VLOOKUP(E265,$N$13:$O$17,2,0)</f>
        <v>-</v>
      </c>
      <c r="G265" s="92"/>
      <c r="H265" s="90"/>
      <c r="I265" s="1125"/>
      <c r="J265" s="1133"/>
      <c r="K265" s="1133"/>
      <c r="L265" s="916"/>
      <c r="P265"/>
      <c r="Q265"/>
      <c r="R265"/>
      <c r="S265"/>
      <c r="T265"/>
      <c r="U265"/>
      <c r="V265"/>
      <c r="W265"/>
      <c r="X265"/>
    </row>
    <row r="266" spans="1:24" s="103" customFormat="1" ht="15.75" hidden="1" customHeight="1" outlineLevel="1">
      <c r="A266" s="916"/>
      <c r="B266" s="1123"/>
      <c r="C266" s="1127"/>
      <c r="D266" s="1125"/>
      <c r="E266" s="1125"/>
      <c r="F266" s="1130"/>
      <c r="G266" s="95"/>
      <c r="H266" s="90"/>
      <c r="I266" s="1125"/>
      <c r="J266" s="1134"/>
      <c r="K266" s="1134"/>
      <c r="L266" s="916"/>
      <c r="P266"/>
      <c r="Q266"/>
      <c r="R266"/>
      <c r="S266"/>
      <c r="T266"/>
      <c r="U266"/>
      <c r="V266"/>
      <c r="W266"/>
      <c r="X266"/>
    </row>
    <row r="267" spans="1:24" s="103" customFormat="1" ht="15.75" hidden="1" customHeight="1" outlineLevel="1">
      <c r="A267" s="916"/>
      <c r="B267" s="1124"/>
      <c r="C267" s="1128"/>
      <c r="D267" s="1126"/>
      <c r="E267" s="1126"/>
      <c r="F267" s="1132"/>
      <c r="G267" s="100"/>
      <c r="H267" s="98"/>
      <c r="I267" s="1126"/>
      <c r="J267" s="1135"/>
      <c r="K267" s="1135"/>
      <c r="L267" s="916"/>
      <c r="P267"/>
      <c r="Q267"/>
      <c r="R267"/>
      <c r="S267"/>
      <c r="T267"/>
      <c r="U267"/>
      <c r="V267"/>
      <c r="W267"/>
      <c r="X267"/>
    </row>
    <row r="268" spans="1:24" s="103" customFormat="1" ht="15.75" hidden="1" customHeight="1" outlineLevel="1">
      <c r="A268" s="916"/>
      <c r="B268" s="1123">
        <v>86</v>
      </c>
      <c r="C268" s="1127"/>
      <c r="D268" s="1125"/>
      <c r="E268" s="1125" t="s">
        <v>18</v>
      </c>
      <c r="F268" s="1130" t="str">
        <f>VLOOKUP(E268,$N$13:$O$17,2,0)</f>
        <v>-</v>
      </c>
      <c r="G268" s="92"/>
      <c r="H268" s="90"/>
      <c r="I268" s="1125"/>
      <c r="J268" s="1133"/>
      <c r="K268" s="1133"/>
      <c r="L268" s="916"/>
      <c r="P268"/>
      <c r="Q268"/>
      <c r="R268"/>
      <c r="S268"/>
      <c r="T268"/>
      <c r="U268"/>
      <c r="V268"/>
      <c r="W268"/>
      <c r="X268"/>
    </row>
    <row r="269" spans="1:24" s="103" customFormat="1" ht="15.75" hidden="1" customHeight="1" outlineLevel="1">
      <c r="A269" s="916"/>
      <c r="B269" s="1123"/>
      <c r="C269" s="1127"/>
      <c r="D269" s="1125"/>
      <c r="E269" s="1125"/>
      <c r="F269" s="1130"/>
      <c r="G269" s="95"/>
      <c r="H269" s="90"/>
      <c r="I269" s="1125"/>
      <c r="J269" s="1134"/>
      <c r="K269" s="1134"/>
      <c r="L269" s="916"/>
      <c r="P269"/>
      <c r="Q269"/>
      <c r="R269"/>
      <c r="S269"/>
      <c r="T269"/>
      <c r="U269"/>
      <c r="V269"/>
      <c r="W269"/>
      <c r="X269"/>
    </row>
    <row r="270" spans="1:24" s="103" customFormat="1" ht="15.75" hidden="1" customHeight="1" outlineLevel="1">
      <c r="A270" s="916"/>
      <c r="B270" s="1124"/>
      <c r="C270" s="1128"/>
      <c r="D270" s="1126"/>
      <c r="E270" s="1126"/>
      <c r="F270" s="1132"/>
      <c r="G270" s="100"/>
      <c r="H270" s="98"/>
      <c r="I270" s="1126"/>
      <c r="J270" s="1135"/>
      <c r="K270" s="1135"/>
      <c r="L270" s="916"/>
      <c r="P270"/>
      <c r="Q270"/>
      <c r="R270"/>
      <c r="S270"/>
      <c r="T270"/>
      <c r="U270"/>
      <c r="V270"/>
      <c r="W270"/>
      <c r="X270"/>
    </row>
    <row r="271" spans="1:24" s="103" customFormat="1" ht="15.75" hidden="1" customHeight="1" outlineLevel="1">
      <c r="A271" s="916"/>
      <c r="B271" s="1123">
        <v>87</v>
      </c>
      <c r="C271" s="1127"/>
      <c r="D271" s="1125"/>
      <c r="E271" s="1125" t="s">
        <v>18</v>
      </c>
      <c r="F271" s="1130" t="str">
        <f>VLOOKUP(E271,$N$13:$O$17,2,0)</f>
        <v>-</v>
      </c>
      <c r="G271" s="92"/>
      <c r="H271" s="90"/>
      <c r="I271" s="1125"/>
      <c r="J271" s="1133"/>
      <c r="K271" s="1133"/>
      <c r="L271" s="916"/>
      <c r="P271"/>
      <c r="Q271"/>
      <c r="R271"/>
      <c r="S271"/>
      <c r="T271"/>
      <c r="U271"/>
      <c r="V271"/>
      <c r="W271"/>
      <c r="X271"/>
    </row>
    <row r="272" spans="1:24" s="103" customFormat="1" ht="15.75" hidden="1" customHeight="1" outlineLevel="1">
      <c r="A272" s="916"/>
      <c r="B272" s="1123"/>
      <c r="C272" s="1127"/>
      <c r="D272" s="1125"/>
      <c r="E272" s="1125"/>
      <c r="F272" s="1130"/>
      <c r="G272" s="95"/>
      <c r="H272" s="90"/>
      <c r="I272" s="1125"/>
      <c r="J272" s="1134"/>
      <c r="K272" s="1134"/>
      <c r="L272" s="916"/>
      <c r="P272"/>
      <c r="Q272"/>
      <c r="R272"/>
      <c r="S272"/>
      <c r="T272"/>
      <c r="U272"/>
      <c r="V272"/>
      <c r="W272"/>
      <c r="X272"/>
    </row>
    <row r="273" spans="1:24" s="103" customFormat="1" ht="15.75" hidden="1" customHeight="1" outlineLevel="1">
      <c r="A273" s="916"/>
      <c r="B273" s="1124"/>
      <c r="C273" s="1128"/>
      <c r="D273" s="1126"/>
      <c r="E273" s="1126"/>
      <c r="F273" s="1132"/>
      <c r="G273" s="100"/>
      <c r="H273" s="98"/>
      <c r="I273" s="1126"/>
      <c r="J273" s="1135"/>
      <c r="K273" s="1135"/>
      <c r="L273" s="916"/>
      <c r="P273"/>
      <c r="Q273"/>
      <c r="R273"/>
      <c r="S273"/>
      <c r="T273"/>
      <c r="U273"/>
      <c r="V273"/>
      <c r="W273"/>
      <c r="X273"/>
    </row>
    <row r="274" spans="1:24" s="103" customFormat="1" ht="15.75" hidden="1" customHeight="1" outlineLevel="1">
      <c r="A274" s="916"/>
      <c r="B274" s="1123">
        <v>88</v>
      </c>
      <c r="C274" s="1127"/>
      <c r="D274" s="1125"/>
      <c r="E274" s="1125" t="s">
        <v>18</v>
      </c>
      <c r="F274" s="1130" t="str">
        <f>VLOOKUP(E274,$N$13:$O$17,2,0)</f>
        <v>-</v>
      </c>
      <c r="G274" s="92"/>
      <c r="H274" s="90"/>
      <c r="I274" s="1125"/>
      <c r="J274" s="1133"/>
      <c r="K274" s="1133"/>
      <c r="L274" s="916"/>
      <c r="P274"/>
      <c r="Q274"/>
      <c r="R274"/>
      <c r="S274"/>
      <c r="T274"/>
      <c r="U274"/>
      <c r="V274"/>
      <c r="W274"/>
      <c r="X274"/>
    </row>
    <row r="275" spans="1:24" s="103" customFormat="1" ht="15.75" hidden="1" customHeight="1" outlineLevel="1">
      <c r="A275" s="916"/>
      <c r="B275" s="1123"/>
      <c r="C275" s="1127"/>
      <c r="D275" s="1125"/>
      <c r="E275" s="1125"/>
      <c r="F275" s="1130"/>
      <c r="G275" s="95"/>
      <c r="H275" s="90"/>
      <c r="I275" s="1125"/>
      <c r="J275" s="1134"/>
      <c r="K275" s="1134"/>
      <c r="L275" s="916"/>
      <c r="P275"/>
      <c r="Q275"/>
      <c r="R275"/>
      <c r="S275"/>
      <c r="T275"/>
      <c r="U275"/>
      <c r="V275"/>
      <c r="W275"/>
      <c r="X275"/>
    </row>
    <row r="276" spans="1:24" s="103" customFormat="1" ht="15.75" hidden="1" customHeight="1" outlineLevel="1">
      <c r="A276" s="916"/>
      <c r="B276" s="1124"/>
      <c r="C276" s="1128"/>
      <c r="D276" s="1126"/>
      <c r="E276" s="1126"/>
      <c r="F276" s="1132"/>
      <c r="G276" s="100"/>
      <c r="H276" s="98"/>
      <c r="I276" s="1126"/>
      <c r="J276" s="1135"/>
      <c r="K276" s="1135"/>
      <c r="L276" s="916"/>
      <c r="P276"/>
      <c r="Q276"/>
      <c r="R276"/>
      <c r="S276"/>
      <c r="T276"/>
      <c r="U276"/>
      <c r="V276"/>
      <c r="W276"/>
      <c r="X276"/>
    </row>
    <row r="277" spans="1:24" s="103" customFormat="1" ht="15.75" hidden="1" customHeight="1" outlineLevel="1">
      <c r="A277" s="916"/>
      <c r="B277" s="1123">
        <v>89</v>
      </c>
      <c r="C277" s="1127"/>
      <c r="D277" s="1125"/>
      <c r="E277" s="1125" t="s">
        <v>18</v>
      </c>
      <c r="F277" s="1130" t="str">
        <f>VLOOKUP(E277,$N$13:$O$17,2,0)</f>
        <v>-</v>
      </c>
      <c r="G277" s="92"/>
      <c r="H277" s="90"/>
      <c r="I277" s="1125"/>
      <c r="J277" s="1133"/>
      <c r="K277" s="1133"/>
      <c r="L277" s="916"/>
      <c r="P277"/>
      <c r="Q277"/>
      <c r="R277"/>
      <c r="S277"/>
      <c r="T277"/>
      <c r="U277"/>
      <c r="V277"/>
      <c r="W277"/>
      <c r="X277"/>
    </row>
    <row r="278" spans="1:24" s="103" customFormat="1" ht="15.75" hidden="1" customHeight="1" outlineLevel="1">
      <c r="A278" s="916"/>
      <c r="B278" s="1123"/>
      <c r="C278" s="1127"/>
      <c r="D278" s="1125"/>
      <c r="E278" s="1125"/>
      <c r="F278" s="1130"/>
      <c r="G278" s="95"/>
      <c r="H278" s="90"/>
      <c r="I278" s="1125"/>
      <c r="J278" s="1134"/>
      <c r="K278" s="1134"/>
      <c r="L278" s="916"/>
      <c r="P278"/>
      <c r="Q278"/>
      <c r="R278"/>
      <c r="S278"/>
      <c r="T278"/>
      <c r="U278"/>
      <c r="V278"/>
      <c r="W278"/>
      <c r="X278"/>
    </row>
    <row r="279" spans="1:24" s="103" customFormat="1" ht="15.75" hidden="1" customHeight="1" outlineLevel="1">
      <c r="A279" s="916"/>
      <c r="B279" s="1124"/>
      <c r="C279" s="1128"/>
      <c r="D279" s="1126"/>
      <c r="E279" s="1126"/>
      <c r="F279" s="1132"/>
      <c r="G279" s="100"/>
      <c r="H279" s="98"/>
      <c r="I279" s="1126"/>
      <c r="J279" s="1135"/>
      <c r="K279" s="1135"/>
      <c r="L279" s="916"/>
      <c r="P279"/>
      <c r="Q279"/>
      <c r="R279"/>
      <c r="S279"/>
      <c r="T279"/>
      <c r="U279"/>
      <c r="V279"/>
      <c r="W279"/>
      <c r="X279"/>
    </row>
    <row r="280" spans="1:24" s="103" customFormat="1" ht="15.75" hidden="1" customHeight="1" outlineLevel="1">
      <c r="A280" s="916"/>
      <c r="B280" s="1123">
        <v>90</v>
      </c>
      <c r="C280" s="1127"/>
      <c r="D280" s="1125"/>
      <c r="E280" s="1125" t="s">
        <v>18</v>
      </c>
      <c r="F280" s="1130" t="str">
        <f>VLOOKUP(E280,$N$13:$O$17,2,0)</f>
        <v>-</v>
      </c>
      <c r="G280" s="92"/>
      <c r="H280" s="90"/>
      <c r="I280" s="1125"/>
      <c r="J280" s="1133"/>
      <c r="K280" s="1133"/>
      <c r="L280" s="916"/>
      <c r="P280"/>
      <c r="Q280"/>
      <c r="R280"/>
      <c r="S280"/>
      <c r="T280"/>
      <c r="U280"/>
      <c r="V280"/>
      <c r="W280"/>
      <c r="X280"/>
    </row>
    <row r="281" spans="1:24" s="103" customFormat="1" ht="15.75" hidden="1" customHeight="1" outlineLevel="1">
      <c r="A281" s="916"/>
      <c r="B281" s="1123"/>
      <c r="C281" s="1127"/>
      <c r="D281" s="1125"/>
      <c r="E281" s="1125"/>
      <c r="F281" s="1130"/>
      <c r="G281" s="95"/>
      <c r="H281" s="90"/>
      <c r="I281" s="1125"/>
      <c r="J281" s="1134"/>
      <c r="K281" s="1134"/>
      <c r="L281" s="916"/>
      <c r="P281"/>
      <c r="Q281"/>
      <c r="R281"/>
      <c r="S281"/>
      <c r="T281"/>
      <c r="U281"/>
      <c r="V281"/>
      <c r="W281"/>
      <c r="X281"/>
    </row>
    <row r="282" spans="1:24" s="103" customFormat="1" ht="15.75" hidden="1" customHeight="1" outlineLevel="1">
      <c r="A282" s="916"/>
      <c r="B282" s="1124"/>
      <c r="C282" s="1128"/>
      <c r="D282" s="1126"/>
      <c r="E282" s="1126"/>
      <c r="F282" s="1132"/>
      <c r="G282" s="100"/>
      <c r="H282" s="98"/>
      <c r="I282" s="1126"/>
      <c r="J282" s="1135"/>
      <c r="K282" s="1135"/>
      <c r="L282" s="916"/>
      <c r="P282"/>
      <c r="Q282"/>
      <c r="R282"/>
      <c r="S282"/>
      <c r="T282"/>
      <c r="U282"/>
      <c r="V282"/>
      <c r="W282"/>
      <c r="X282"/>
    </row>
    <row r="283" spans="1:24" s="103" customFormat="1" ht="15.75" hidden="1" customHeight="1" outlineLevel="1">
      <c r="A283" s="916"/>
      <c r="B283" s="1123">
        <v>91</v>
      </c>
      <c r="C283" s="1127"/>
      <c r="D283" s="1125"/>
      <c r="E283" s="1125" t="s">
        <v>18</v>
      </c>
      <c r="F283" s="1130" t="str">
        <f>VLOOKUP(E283,$N$13:$O$17,2,0)</f>
        <v>-</v>
      </c>
      <c r="G283" s="92"/>
      <c r="H283" s="90"/>
      <c r="I283" s="1125"/>
      <c r="J283" s="1133"/>
      <c r="K283" s="1133"/>
      <c r="L283" s="916"/>
      <c r="P283"/>
      <c r="Q283"/>
      <c r="R283"/>
      <c r="S283"/>
      <c r="T283"/>
      <c r="U283"/>
      <c r="V283"/>
      <c r="W283"/>
      <c r="X283"/>
    </row>
    <row r="284" spans="1:24" s="103" customFormat="1" ht="15.75" hidden="1" customHeight="1" outlineLevel="1">
      <c r="A284" s="916"/>
      <c r="B284" s="1123"/>
      <c r="C284" s="1127"/>
      <c r="D284" s="1125"/>
      <c r="E284" s="1125"/>
      <c r="F284" s="1130"/>
      <c r="G284" s="95"/>
      <c r="H284" s="90"/>
      <c r="I284" s="1125"/>
      <c r="J284" s="1134"/>
      <c r="K284" s="1134"/>
      <c r="L284" s="916"/>
      <c r="P284"/>
      <c r="Q284"/>
      <c r="R284"/>
      <c r="S284"/>
      <c r="T284"/>
      <c r="U284"/>
      <c r="V284"/>
      <c r="W284"/>
      <c r="X284"/>
    </row>
    <row r="285" spans="1:24" s="103" customFormat="1" ht="15.75" hidden="1" customHeight="1" outlineLevel="1">
      <c r="A285" s="916"/>
      <c r="B285" s="1124"/>
      <c r="C285" s="1128"/>
      <c r="D285" s="1126"/>
      <c r="E285" s="1126"/>
      <c r="F285" s="1132"/>
      <c r="G285" s="100"/>
      <c r="H285" s="98"/>
      <c r="I285" s="1126"/>
      <c r="J285" s="1135"/>
      <c r="K285" s="1135"/>
      <c r="L285" s="916"/>
      <c r="P285"/>
      <c r="Q285"/>
      <c r="R285"/>
      <c r="S285"/>
      <c r="T285"/>
      <c r="U285"/>
      <c r="V285"/>
      <c r="W285"/>
      <c r="X285"/>
    </row>
    <row r="286" spans="1:24" s="103" customFormat="1" ht="15.75" hidden="1" customHeight="1" outlineLevel="1">
      <c r="A286" s="916"/>
      <c r="B286" s="1123">
        <v>92</v>
      </c>
      <c r="C286" s="1127"/>
      <c r="D286" s="1125"/>
      <c r="E286" s="1125" t="s">
        <v>18</v>
      </c>
      <c r="F286" s="1130" t="str">
        <f>VLOOKUP(E286,$N$13:$O$17,2,0)</f>
        <v>-</v>
      </c>
      <c r="G286" s="92"/>
      <c r="H286" s="90"/>
      <c r="I286" s="1125"/>
      <c r="J286" s="1133"/>
      <c r="K286" s="1133"/>
      <c r="L286" s="916"/>
      <c r="P286"/>
      <c r="Q286"/>
      <c r="R286"/>
      <c r="S286"/>
      <c r="T286"/>
      <c r="U286"/>
      <c r="V286"/>
      <c r="W286"/>
      <c r="X286"/>
    </row>
    <row r="287" spans="1:24" s="103" customFormat="1" ht="15.75" hidden="1" customHeight="1" outlineLevel="1">
      <c r="A287" s="916"/>
      <c r="B287" s="1123"/>
      <c r="C287" s="1127"/>
      <c r="D287" s="1125"/>
      <c r="E287" s="1125"/>
      <c r="F287" s="1130"/>
      <c r="G287" s="95"/>
      <c r="H287" s="90"/>
      <c r="I287" s="1125"/>
      <c r="J287" s="1134"/>
      <c r="K287" s="1134"/>
      <c r="L287" s="916"/>
      <c r="P287"/>
      <c r="Q287"/>
      <c r="R287"/>
      <c r="S287"/>
      <c r="T287"/>
      <c r="U287"/>
      <c r="V287"/>
      <c r="W287"/>
      <c r="X287"/>
    </row>
    <row r="288" spans="1:24" s="103" customFormat="1" ht="15.75" hidden="1" customHeight="1" outlineLevel="1">
      <c r="A288" s="916"/>
      <c r="B288" s="1124"/>
      <c r="C288" s="1128"/>
      <c r="D288" s="1126"/>
      <c r="E288" s="1126"/>
      <c r="F288" s="1132"/>
      <c r="G288" s="100"/>
      <c r="H288" s="98"/>
      <c r="I288" s="1126"/>
      <c r="J288" s="1135"/>
      <c r="K288" s="1135"/>
      <c r="L288" s="916"/>
      <c r="P288"/>
      <c r="Q288"/>
      <c r="R288"/>
      <c r="S288"/>
      <c r="T288"/>
      <c r="U288"/>
      <c r="V288"/>
      <c r="W288"/>
      <c r="X288"/>
    </row>
    <row r="289" spans="1:24" s="103" customFormat="1" ht="15.75" hidden="1" customHeight="1" outlineLevel="1">
      <c r="A289" s="916"/>
      <c r="B289" s="1123">
        <v>93</v>
      </c>
      <c r="C289" s="1127"/>
      <c r="D289" s="1125"/>
      <c r="E289" s="1125" t="s">
        <v>18</v>
      </c>
      <c r="F289" s="1130" t="str">
        <f>VLOOKUP(E289,$N$13:$O$17,2,0)</f>
        <v>-</v>
      </c>
      <c r="G289" s="92"/>
      <c r="H289" s="90"/>
      <c r="I289" s="1125"/>
      <c r="J289" s="1133"/>
      <c r="K289" s="1133"/>
      <c r="L289" s="916"/>
      <c r="P289"/>
      <c r="Q289"/>
      <c r="R289"/>
      <c r="S289"/>
      <c r="T289"/>
      <c r="U289"/>
      <c r="V289"/>
      <c r="W289"/>
      <c r="X289"/>
    </row>
    <row r="290" spans="1:24" s="103" customFormat="1" ht="15.75" hidden="1" customHeight="1" outlineLevel="1">
      <c r="A290" s="916"/>
      <c r="B290" s="1123"/>
      <c r="C290" s="1127"/>
      <c r="D290" s="1125"/>
      <c r="E290" s="1125"/>
      <c r="F290" s="1130"/>
      <c r="G290" s="95"/>
      <c r="H290" s="90"/>
      <c r="I290" s="1125"/>
      <c r="J290" s="1134"/>
      <c r="K290" s="1134"/>
      <c r="L290" s="916"/>
      <c r="P290"/>
      <c r="Q290"/>
      <c r="R290"/>
      <c r="S290"/>
      <c r="T290"/>
      <c r="U290"/>
      <c r="V290"/>
      <c r="W290"/>
      <c r="X290"/>
    </row>
    <row r="291" spans="1:24" s="103" customFormat="1" ht="15.75" hidden="1" customHeight="1" outlineLevel="1">
      <c r="A291" s="916"/>
      <c r="B291" s="1124"/>
      <c r="C291" s="1128"/>
      <c r="D291" s="1126"/>
      <c r="E291" s="1126"/>
      <c r="F291" s="1132"/>
      <c r="G291" s="100"/>
      <c r="H291" s="98"/>
      <c r="I291" s="1126"/>
      <c r="J291" s="1135"/>
      <c r="K291" s="1135"/>
      <c r="L291" s="916"/>
      <c r="P291"/>
      <c r="Q291"/>
      <c r="R291"/>
      <c r="S291"/>
      <c r="T291"/>
      <c r="U291"/>
      <c r="V291"/>
      <c r="W291"/>
      <c r="X291"/>
    </row>
    <row r="292" spans="1:24" s="103" customFormat="1" ht="15.75" hidden="1" customHeight="1" outlineLevel="1">
      <c r="A292" s="916"/>
      <c r="B292" s="1123">
        <v>94</v>
      </c>
      <c r="C292" s="1127"/>
      <c r="D292" s="1125"/>
      <c r="E292" s="1125" t="s">
        <v>18</v>
      </c>
      <c r="F292" s="1130" t="str">
        <f>VLOOKUP(E292,$N$13:$O$17,2,0)</f>
        <v>-</v>
      </c>
      <c r="G292" s="92"/>
      <c r="H292" s="90"/>
      <c r="I292" s="1125"/>
      <c r="J292" s="1133"/>
      <c r="K292" s="1133"/>
      <c r="L292" s="916"/>
      <c r="P292"/>
      <c r="Q292"/>
      <c r="R292"/>
      <c r="S292"/>
      <c r="T292"/>
      <c r="U292"/>
      <c r="V292"/>
      <c r="W292"/>
      <c r="X292"/>
    </row>
    <row r="293" spans="1:24" s="103" customFormat="1" ht="15.75" hidden="1" customHeight="1" outlineLevel="1">
      <c r="A293" s="916"/>
      <c r="B293" s="1123"/>
      <c r="C293" s="1127"/>
      <c r="D293" s="1125"/>
      <c r="E293" s="1125"/>
      <c r="F293" s="1130"/>
      <c r="G293" s="95"/>
      <c r="H293" s="90"/>
      <c r="I293" s="1125"/>
      <c r="J293" s="1134"/>
      <c r="K293" s="1134"/>
      <c r="L293" s="916"/>
      <c r="P293"/>
      <c r="Q293"/>
      <c r="R293"/>
      <c r="S293"/>
      <c r="T293"/>
      <c r="U293"/>
      <c r="V293"/>
      <c r="W293"/>
      <c r="X293"/>
    </row>
    <row r="294" spans="1:24" s="103" customFormat="1" ht="15.75" hidden="1" customHeight="1" outlineLevel="1">
      <c r="A294" s="916"/>
      <c r="B294" s="1124"/>
      <c r="C294" s="1128"/>
      <c r="D294" s="1126"/>
      <c r="E294" s="1126"/>
      <c r="F294" s="1132"/>
      <c r="G294" s="100"/>
      <c r="H294" s="98"/>
      <c r="I294" s="1126"/>
      <c r="J294" s="1135"/>
      <c r="K294" s="1135"/>
      <c r="L294" s="916"/>
      <c r="P294"/>
      <c r="Q294"/>
      <c r="R294"/>
      <c r="S294"/>
      <c r="T294"/>
      <c r="U294"/>
      <c r="V294"/>
      <c r="W294"/>
      <c r="X294"/>
    </row>
    <row r="295" spans="1:24" s="103" customFormat="1" ht="15.75" hidden="1" customHeight="1" outlineLevel="1">
      <c r="A295" s="916"/>
      <c r="B295" s="1123">
        <v>95</v>
      </c>
      <c r="C295" s="1127"/>
      <c r="D295" s="1125"/>
      <c r="E295" s="1125" t="s">
        <v>18</v>
      </c>
      <c r="F295" s="1130" t="str">
        <f>VLOOKUP(E295,$N$13:$O$17,2,0)</f>
        <v>-</v>
      </c>
      <c r="G295" s="92"/>
      <c r="H295" s="90"/>
      <c r="I295" s="1125"/>
      <c r="J295" s="1133"/>
      <c r="K295" s="1133"/>
      <c r="L295" s="916"/>
      <c r="P295"/>
      <c r="Q295"/>
      <c r="R295"/>
      <c r="S295"/>
      <c r="T295"/>
      <c r="U295"/>
      <c r="V295"/>
      <c r="W295"/>
      <c r="X295"/>
    </row>
    <row r="296" spans="1:24" s="103" customFormat="1" ht="15.75" hidden="1" customHeight="1" outlineLevel="1">
      <c r="A296" s="916"/>
      <c r="B296" s="1123"/>
      <c r="C296" s="1127"/>
      <c r="D296" s="1125"/>
      <c r="E296" s="1125"/>
      <c r="F296" s="1130"/>
      <c r="G296" s="95"/>
      <c r="H296" s="90"/>
      <c r="I296" s="1125"/>
      <c r="J296" s="1134"/>
      <c r="K296" s="1134"/>
      <c r="L296" s="916"/>
      <c r="P296"/>
      <c r="Q296"/>
      <c r="R296"/>
      <c r="S296"/>
      <c r="T296"/>
      <c r="U296"/>
      <c r="V296"/>
      <c r="W296"/>
      <c r="X296"/>
    </row>
    <row r="297" spans="1:24" s="103" customFormat="1" ht="15.75" hidden="1" customHeight="1" outlineLevel="1">
      <c r="A297" s="916"/>
      <c r="B297" s="1124"/>
      <c r="C297" s="1128"/>
      <c r="D297" s="1126"/>
      <c r="E297" s="1126"/>
      <c r="F297" s="1132"/>
      <c r="G297" s="100"/>
      <c r="H297" s="98"/>
      <c r="I297" s="1126"/>
      <c r="J297" s="1135"/>
      <c r="K297" s="1135"/>
      <c r="L297" s="916"/>
      <c r="P297"/>
      <c r="Q297"/>
      <c r="R297"/>
      <c r="S297"/>
      <c r="T297"/>
      <c r="U297"/>
      <c r="V297"/>
      <c r="W297"/>
      <c r="X297"/>
    </row>
    <row r="298" spans="1:24" s="103" customFormat="1" ht="15.75" hidden="1" customHeight="1" outlineLevel="1">
      <c r="A298" s="916"/>
      <c r="B298" s="1123">
        <v>96</v>
      </c>
      <c r="C298" s="1127"/>
      <c r="D298" s="1125"/>
      <c r="E298" s="1125" t="s">
        <v>18</v>
      </c>
      <c r="F298" s="1130" t="str">
        <f>VLOOKUP(E298,$N$13:$O$17,2,0)</f>
        <v>-</v>
      </c>
      <c r="G298" s="92"/>
      <c r="H298" s="90"/>
      <c r="I298" s="1125"/>
      <c r="J298" s="1133"/>
      <c r="K298" s="1133"/>
      <c r="L298" s="916"/>
      <c r="P298"/>
      <c r="Q298"/>
      <c r="R298"/>
      <c r="S298"/>
      <c r="T298"/>
      <c r="U298"/>
      <c r="V298"/>
      <c r="W298"/>
      <c r="X298"/>
    </row>
    <row r="299" spans="1:24" s="103" customFormat="1" ht="15.75" hidden="1" customHeight="1" outlineLevel="1">
      <c r="A299" s="916"/>
      <c r="B299" s="1123"/>
      <c r="C299" s="1127"/>
      <c r="D299" s="1125"/>
      <c r="E299" s="1125"/>
      <c r="F299" s="1130"/>
      <c r="G299" s="95"/>
      <c r="H299" s="90"/>
      <c r="I299" s="1125"/>
      <c r="J299" s="1134"/>
      <c r="K299" s="1134"/>
      <c r="L299" s="916"/>
      <c r="P299"/>
      <c r="Q299"/>
      <c r="R299"/>
      <c r="S299"/>
      <c r="T299"/>
      <c r="U299"/>
      <c r="V299"/>
      <c r="W299"/>
      <c r="X299"/>
    </row>
    <row r="300" spans="1:24" s="103" customFormat="1" ht="15.75" hidden="1" customHeight="1" outlineLevel="1">
      <c r="A300" s="916"/>
      <c r="B300" s="1124"/>
      <c r="C300" s="1128"/>
      <c r="D300" s="1126"/>
      <c r="E300" s="1126"/>
      <c r="F300" s="1132"/>
      <c r="G300" s="100"/>
      <c r="H300" s="98"/>
      <c r="I300" s="1126"/>
      <c r="J300" s="1135"/>
      <c r="K300" s="1135"/>
      <c r="L300" s="916"/>
      <c r="P300"/>
      <c r="Q300"/>
      <c r="R300"/>
      <c r="S300"/>
      <c r="T300"/>
      <c r="U300"/>
      <c r="V300"/>
      <c r="W300"/>
      <c r="X300"/>
    </row>
    <row r="301" spans="1:24" s="103" customFormat="1" ht="15.75" hidden="1" customHeight="1" outlineLevel="1">
      <c r="A301" s="916"/>
      <c r="B301" s="1123">
        <v>97</v>
      </c>
      <c r="C301" s="1127"/>
      <c r="D301" s="1125"/>
      <c r="E301" s="1125" t="s">
        <v>18</v>
      </c>
      <c r="F301" s="1130" t="str">
        <f>VLOOKUP(E301,$N$13:$O$17,2,0)</f>
        <v>-</v>
      </c>
      <c r="G301" s="92"/>
      <c r="H301" s="90"/>
      <c r="I301" s="1125"/>
      <c r="J301" s="1133"/>
      <c r="K301" s="1133"/>
      <c r="L301" s="916"/>
      <c r="P301"/>
      <c r="Q301"/>
      <c r="R301"/>
      <c r="S301"/>
      <c r="T301"/>
      <c r="U301"/>
      <c r="V301"/>
      <c r="W301"/>
      <c r="X301"/>
    </row>
    <row r="302" spans="1:24" s="103" customFormat="1" ht="15.75" hidden="1" customHeight="1" outlineLevel="1">
      <c r="A302" s="916"/>
      <c r="B302" s="1123"/>
      <c r="C302" s="1127"/>
      <c r="D302" s="1125"/>
      <c r="E302" s="1125"/>
      <c r="F302" s="1130"/>
      <c r="G302" s="95"/>
      <c r="H302" s="90"/>
      <c r="I302" s="1125"/>
      <c r="J302" s="1134"/>
      <c r="K302" s="1134"/>
      <c r="L302" s="916"/>
      <c r="P302"/>
      <c r="Q302"/>
      <c r="R302"/>
      <c r="S302"/>
      <c r="T302"/>
      <c r="U302"/>
      <c r="V302"/>
      <c r="W302"/>
      <c r="X302"/>
    </row>
    <row r="303" spans="1:24" s="103" customFormat="1" ht="15.75" hidden="1" customHeight="1" outlineLevel="1">
      <c r="A303" s="916"/>
      <c r="B303" s="1124"/>
      <c r="C303" s="1128"/>
      <c r="D303" s="1126"/>
      <c r="E303" s="1126"/>
      <c r="F303" s="1132"/>
      <c r="G303" s="100"/>
      <c r="H303" s="98"/>
      <c r="I303" s="1126"/>
      <c r="J303" s="1135"/>
      <c r="K303" s="1135"/>
      <c r="L303" s="916"/>
      <c r="P303"/>
      <c r="Q303"/>
      <c r="R303"/>
      <c r="S303"/>
      <c r="T303"/>
      <c r="U303"/>
      <c r="V303"/>
      <c r="W303"/>
      <c r="X303"/>
    </row>
    <row r="304" spans="1:24" s="103" customFormat="1" ht="15.75" hidden="1" customHeight="1" outlineLevel="1">
      <c r="A304" s="916"/>
      <c r="B304" s="1123">
        <v>98</v>
      </c>
      <c r="C304" s="1127"/>
      <c r="D304" s="1125"/>
      <c r="E304" s="1125" t="s">
        <v>18</v>
      </c>
      <c r="F304" s="1130" t="str">
        <f>VLOOKUP(E304,$N$13:$O$17,2,0)</f>
        <v>-</v>
      </c>
      <c r="G304" s="92"/>
      <c r="H304" s="90"/>
      <c r="I304" s="1125"/>
      <c r="J304" s="1133"/>
      <c r="K304" s="1133"/>
      <c r="L304" s="916"/>
      <c r="P304"/>
      <c r="Q304"/>
      <c r="R304"/>
      <c r="S304"/>
      <c r="T304"/>
      <c r="U304"/>
      <c r="V304"/>
      <c r="W304"/>
      <c r="X304"/>
    </row>
    <row r="305" spans="1:24" s="103" customFormat="1" ht="15.75" hidden="1" customHeight="1" outlineLevel="1">
      <c r="A305" s="916"/>
      <c r="B305" s="1123"/>
      <c r="C305" s="1127"/>
      <c r="D305" s="1125"/>
      <c r="E305" s="1125"/>
      <c r="F305" s="1130"/>
      <c r="G305" s="95"/>
      <c r="H305" s="90"/>
      <c r="I305" s="1125"/>
      <c r="J305" s="1134"/>
      <c r="K305" s="1134"/>
      <c r="L305" s="916"/>
      <c r="P305"/>
      <c r="Q305"/>
      <c r="R305"/>
      <c r="S305"/>
      <c r="T305"/>
      <c r="U305"/>
      <c r="V305"/>
      <c r="W305"/>
      <c r="X305"/>
    </row>
    <row r="306" spans="1:24" s="103" customFormat="1" ht="15.75" hidden="1" customHeight="1" outlineLevel="1">
      <c r="A306" s="916"/>
      <c r="B306" s="1124"/>
      <c r="C306" s="1128"/>
      <c r="D306" s="1126"/>
      <c r="E306" s="1126"/>
      <c r="F306" s="1132"/>
      <c r="G306" s="100"/>
      <c r="H306" s="98"/>
      <c r="I306" s="1126"/>
      <c r="J306" s="1135"/>
      <c r="K306" s="1135"/>
      <c r="L306" s="916"/>
      <c r="P306"/>
      <c r="Q306"/>
      <c r="R306"/>
      <c r="S306"/>
      <c r="T306"/>
      <c r="U306"/>
      <c r="V306"/>
      <c r="W306"/>
      <c r="X306"/>
    </row>
    <row r="307" spans="1:24" s="103" customFormat="1" ht="15.75" hidden="1" customHeight="1" outlineLevel="1">
      <c r="A307" s="916"/>
      <c r="B307" s="1123">
        <v>99</v>
      </c>
      <c r="C307" s="1127"/>
      <c r="D307" s="1125"/>
      <c r="E307" s="1125" t="s">
        <v>18</v>
      </c>
      <c r="F307" s="1130" t="str">
        <f>VLOOKUP(E307,$N$13:$O$17,2,0)</f>
        <v>-</v>
      </c>
      <c r="G307" s="92"/>
      <c r="H307" s="90"/>
      <c r="I307" s="1125"/>
      <c r="J307" s="1133"/>
      <c r="K307" s="1133"/>
      <c r="L307" s="916"/>
      <c r="P307"/>
      <c r="Q307"/>
      <c r="R307"/>
      <c r="S307"/>
      <c r="T307"/>
      <c r="U307"/>
      <c r="V307"/>
      <c r="W307"/>
      <c r="X307"/>
    </row>
    <row r="308" spans="1:24" s="103" customFormat="1" ht="15.75" hidden="1" customHeight="1" outlineLevel="1">
      <c r="A308" s="916"/>
      <c r="B308" s="1123"/>
      <c r="C308" s="1127"/>
      <c r="D308" s="1125"/>
      <c r="E308" s="1125"/>
      <c r="F308" s="1130"/>
      <c r="G308" s="95"/>
      <c r="H308" s="90"/>
      <c r="I308" s="1125"/>
      <c r="J308" s="1134"/>
      <c r="K308" s="1134"/>
      <c r="L308" s="916"/>
      <c r="P308"/>
      <c r="Q308"/>
      <c r="R308"/>
      <c r="S308"/>
      <c r="T308"/>
      <c r="U308"/>
      <c r="V308"/>
      <c r="W308"/>
      <c r="X308"/>
    </row>
    <row r="309" spans="1:24" s="103" customFormat="1" ht="15.75" hidden="1" customHeight="1" outlineLevel="1">
      <c r="A309" s="916"/>
      <c r="B309" s="1124"/>
      <c r="C309" s="1128"/>
      <c r="D309" s="1126"/>
      <c r="E309" s="1126"/>
      <c r="F309" s="1132"/>
      <c r="G309" s="100"/>
      <c r="H309" s="98"/>
      <c r="I309" s="1126"/>
      <c r="J309" s="1135"/>
      <c r="K309" s="1135"/>
      <c r="L309" s="916"/>
      <c r="P309"/>
      <c r="Q309"/>
      <c r="R309"/>
      <c r="S309"/>
      <c r="T309"/>
      <c r="U309"/>
      <c r="V309"/>
      <c r="W309"/>
      <c r="X309"/>
    </row>
    <row r="310" spans="1:24" s="103" customFormat="1" ht="15.75" hidden="1" customHeight="1" outlineLevel="1">
      <c r="A310" s="916"/>
      <c r="B310" s="1123">
        <v>100</v>
      </c>
      <c r="C310" s="1127"/>
      <c r="D310" s="1125"/>
      <c r="E310" s="1125" t="s">
        <v>18</v>
      </c>
      <c r="F310" s="1130" t="str">
        <f>VLOOKUP(E310,$N$13:$O$17,2,0)</f>
        <v>-</v>
      </c>
      <c r="G310" s="92"/>
      <c r="H310" s="90"/>
      <c r="I310" s="1125"/>
      <c r="J310" s="1133"/>
      <c r="K310" s="1133"/>
      <c r="L310" s="916"/>
      <c r="P310"/>
      <c r="Q310"/>
      <c r="R310"/>
      <c r="S310"/>
      <c r="T310"/>
      <c r="U310"/>
      <c r="V310"/>
      <c r="W310"/>
      <c r="X310"/>
    </row>
    <row r="311" spans="1:24" s="103" customFormat="1" ht="15.75" hidden="1" customHeight="1" outlineLevel="1">
      <c r="A311" s="916"/>
      <c r="B311" s="1123"/>
      <c r="C311" s="1127"/>
      <c r="D311" s="1125"/>
      <c r="E311" s="1125"/>
      <c r="F311" s="1130"/>
      <c r="G311" s="95"/>
      <c r="H311" s="90"/>
      <c r="I311" s="1125"/>
      <c r="J311" s="1134"/>
      <c r="K311" s="1134"/>
      <c r="L311" s="916"/>
      <c r="P311"/>
      <c r="Q311"/>
      <c r="R311"/>
      <c r="S311"/>
      <c r="T311"/>
      <c r="U311"/>
      <c r="V311"/>
      <c r="W311"/>
      <c r="X311"/>
    </row>
    <row r="312" spans="1:24" s="103" customFormat="1" ht="15.75" hidden="1" customHeight="1" outlineLevel="1">
      <c r="A312" s="916"/>
      <c r="B312" s="1124"/>
      <c r="C312" s="1128"/>
      <c r="D312" s="1126"/>
      <c r="E312" s="1126"/>
      <c r="F312" s="1132"/>
      <c r="G312" s="100"/>
      <c r="H312" s="98"/>
      <c r="I312" s="1126"/>
      <c r="J312" s="1135"/>
      <c r="K312" s="1135"/>
      <c r="L312" s="916"/>
      <c r="P312"/>
      <c r="Q312"/>
      <c r="R312"/>
      <c r="S312"/>
      <c r="T312"/>
      <c r="U312"/>
      <c r="V312"/>
      <c r="W312"/>
      <c r="X312"/>
    </row>
    <row r="313" spans="1:24" s="103" customFormat="1" ht="15.75" hidden="1" customHeight="1" outlineLevel="1">
      <c r="A313" s="916"/>
      <c r="B313" s="1123">
        <v>101</v>
      </c>
      <c r="C313" s="1127"/>
      <c r="D313" s="1125"/>
      <c r="E313" s="1125" t="s">
        <v>18</v>
      </c>
      <c r="F313" s="1130" t="str">
        <f>VLOOKUP(E313,$N$13:$O$17,2,0)</f>
        <v>-</v>
      </c>
      <c r="G313" s="92"/>
      <c r="H313" s="90"/>
      <c r="I313" s="1125"/>
      <c r="J313" s="1133"/>
      <c r="K313" s="1133"/>
      <c r="L313" s="916"/>
      <c r="P313"/>
      <c r="Q313"/>
      <c r="R313"/>
      <c r="S313"/>
      <c r="T313"/>
      <c r="U313"/>
      <c r="V313"/>
      <c r="W313"/>
      <c r="X313"/>
    </row>
    <row r="314" spans="1:24" s="103" customFormat="1" ht="15.75" hidden="1" customHeight="1" outlineLevel="1">
      <c r="A314" s="916"/>
      <c r="B314" s="1123"/>
      <c r="C314" s="1127"/>
      <c r="D314" s="1125"/>
      <c r="E314" s="1125"/>
      <c r="F314" s="1130"/>
      <c r="G314" s="95"/>
      <c r="H314" s="90"/>
      <c r="I314" s="1125"/>
      <c r="J314" s="1134"/>
      <c r="K314" s="1134"/>
      <c r="L314" s="916"/>
      <c r="P314"/>
      <c r="Q314"/>
      <c r="R314"/>
      <c r="S314"/>
      <c r="T314"/>
      <c r="U314"/>
      <c r="V314"/>
      <c r="W314"/>
      <c r="X314"/>
    </row>
    <row r="315" spans="1:24" s="103" customFormat="1" ht="15.75" hidden="1" customHeight="1" outlineLevel="1">
      <c r="A315" s="916"/>
      <c r="B315" s="1124"/>
      <c r="C315" s="1128"/>
      <c r="D315" s="1126"/>
      <c r="E315" s="1126"/>
      <c r="F315" s="1132"/>
      <c r="G315" s="100"/>
      <c r="H315" s="98"/>
      <c r="I315" s="1126"/>
      <c r="J315" s="1135"/>
      <c r="K315" s="1135"/>
      <c r="L315" s="916"/>
      <c r="P315"/>
      <c r="Q315"/>
      <c r="R315"/>
      <c r="S315"/>
      <c r="T315"/>
      <c r="U315"/>
      <c r="V315"/>
      <c r="W315"/>
      <c r="X315"/>
    </row>
    <row r="316" spans="1:24" s="103" customFormat="1" ht="15.75" hidden="1" customHeight="1" outlineLevel="1">
      <c r="A316" s="916"/>
      <c r="B316" s="1123">
        <v>102</v>
      </c>
      <c r="C316" s="1127"/>
      <c r="D316" s="1125"/>
      <c r="E316" s="1125" t="s">
        <v>18</v>
      </c>
      <c r="F316" s="1130" t="str">
        <f>VLOOKUP(E316,$N$13:$O$17,2,0)</f>
        <v>-</v>
      </c>
      <c r="G316" s="92"/>
      <c r="H316" s="90"/>
      <c r="I316" s="1125"/>
      <c r="J316" s="1133"/>
      <c r="K316" s="1133"/>
      <c r="L316" s="916"/>
      <c r="P316"/>
      <c r="Q316"/>
      <c r="R316"/>
      <c r="S316"/>
      <c r="T316"/>
      <c r="U316"/>
      <c r="V316"/>
      <c r="W316"/>
      <c r="X316"/>
    </row>
    <row r="317" spans="1:24" s="103" customFormat="1" ht="15.75" hidden="1" customHeight="1" outlineLevel="1">
      <c r="A317" s="916"/>
      <c r="B317" s="1123"/>
      <c r="C317" s="1127"/>
      <c r="D317" s="1125"/>
      <c r="E317" s="1125"/>
      <c r="F317" s="1130"/>
      <c r="G317" s="95"/>
      <c r="H317" s="90"/>
      <c r="I317" s="1125"/>
      <c r="J317" s="1134"/>
      <c r="K317" s="1134"/>
      <c r="L317" s="916"/>
      <c r="P317"/>
      <c r="Q317"/>
      <c r="R317"/>
      <c r="S317"/>
      <c r="T317"/>
      <c r="U317"/>
      <c r="V317"/>
      <c r="W317"/>
      <c r="X317"/>
    </row>
    <row r="318" spans="1:24" s="103" customFormat="1" ht="15.75" hidden="1" customHeight="1" outlineLevel="1">
      <c r="A318" s="916"/>
      <c r="B318" s="1124"/>
      <c r="C318" s="1128"/>
      <c r="D318" s="1126"/>
      <c r="E318" s="1126"/>
      <c r="F318" s="1132"/>
      <c r="G318" s="100"/>
      <c r="H318" s="98"/>
      <c r="I318" s="1126"/>
      <c r="J318" s="1135"/>
      <c r="K318" s="1135"/>
      <c r="L318" s="916"/>
      <c r="P318"/>
      <c r="Q318"/>
      <c r="R318"/>
      <c r="S318"/>
      <c r="T318"/>
      <c r="U318"/>
      <c r="V318"/>
      <c r="W318"/>
      <c r="X318"/>
    </row>
    <row r="319" spans="1:24" s="103" customFormat="1" ht="15.75" hidden="1" customHeight="1" outlineLevel="1">
      <c r="A319" s="916"/>
      <c r="B319" s="1123">
        <v>103</v>
      </c>
      <c r="C319" s="1127"/>
      <c r="D319" s="1125"/>
      <c r="E319" s="1125" t="s">
        <v>18</v>
      </c>
      <c r="F319" s="1130" t="str">
        <f>VLOOKUP(E319,$N$13:$O$17,2,0)</f>
        <v>-</v>
      </c>
      <c r="G319" s="92"/>
      <c r="H319" s="90"/>
      <c r="I319" s="1125"/>
      <c r="J319" s="1133"/>
      <c r="K319" s="1133"/>
      <c r="L319" s="916"/>
      <c r="P319"/>
      <c r="Q319"/>
      <c r="R319"/>
      <c r="S319"/>
      <c r="T319"/>
      <c r="U319"/>
      <c r="V319"/>
      <c r="W319"/>
      <c r="X319"/>
    </row>
    <row r="320" spans="1:24" s="103" customFormat="1" ht="15.75" hidden="1" customHeight="1" outlineLevel="1">
      <c r="A320" s="916"/>
      <c r="B320" s="1123"/>
      <c r="C320" s="1127"/>
      <c r="D320" s="1125"/>
      <c r="E320" s="1125"/>
      <c r="F320" s="1130"/>
      <c r="G320" s="95"/>
      <c r="H320" s="90"/>
      <c r="I320" s="1125"/>
      <c r="J320" s="1134"/>
      <c r="K320" s="1134"/>
      <c r="L320" s="916"/>
      <c r="P320"/>
      <c r="Q320"/>
      <c r="R320"/>
      <c r="S320"/>
      <c r="T320"/>
      <c r="U320"/>
      <c r="V320"/>
      <c r="W320"/>
      <c r="X320"/>
    </row>
    <row r="321" spans="1:24" s="103" customFormat="1" ht="15.75" hidden="1" customHeight="1" outlineLevel="1">
      <c r="A321" s="916"/>
      <c r="B321" s="1124"/>
      <c r="C321" s="1128"/>
      <c r="D321" s="1126"/>
      <c r="E321" s="1126"/>
      <c r="F321" s="1132"/>
      <c r="G321" s="100"/>
      <c r="H321" s="98"/>
      <c r="I321" s="1126"/>
      <c r="J321" s="1135"/>
      <c r="K321" s="1135"/>
      <c r="L321" s="916"/>
      <c r="P321"/>
      <c r="Q321"/>
      <c r="R321"/>
      <c r="S321"/>
      <c r="T321"/>
      <c r="U321"/>
      <c r="V321"/>
      <c r="W321"/>
      <c r="X321"/>
    </row>
    <row r="322" spans="1:24" s="103" customFormat="1" ht="15.75" hidden="1" customHeight="1" outlineLevel="1">
      <c r="A322" s="916"/>
      <c r="B322" s="1123">
        <v>104</v>
      </c>
      <c r="C322" s="1127"/>
      <c r="D322" s="1125"/>
      <c r="E322" s="1125" t="s">
        <v>18</v>
      </c>
      <c r="F322" s="1130" t="str">
        <f>VLOOKUP(E322,$N$13:$O$17,2,0)</f>
        <v>-</v>
      </c>
      <c r="G322" s="92"/>
      <c r="H322" s="90"/>
      <c r="I322" s="1125"/>
      <c r="J322" s="1133"/>
      <c r="K322" s="1133"/>
      <c r="L322" s="916"/>
      <c r="P322"/>
      <c r="Q322"/>
      <c r="R322"/>
      <c r="S322"/>
      <c r="T322"/>
      <c r="U322"/>
      <c r="V322"/>
      <c r="W322"/>
      <c r="X322"/>
    </row>
    <row r="323" spans="1:24" s="103" customFormat="1" ht="15.75" hidden="1" customHeight="1" outlineLevel="1">
      <c r="A323" s="916"/>
      <c r="B323" s="1123"/>
      <c r="C323" s="1127"/>
      <c r="D323" s="1125"/>
      <c r="E323" s="1125"/>
      <c r="F323" s="1130"/>
      <c r="G323" s="95"/>
      <c r="H323" s="90"/>
      <c r="I323" s="1125"/>
      <c r="J323" s="1134"/>
      <c r="K323" s="1134"/>
      <c r="L323" s="916"/>
      <c r="P323"/>
      <c r="Q323"/>
      <c r="R323"/>
      <c r="S323"/>
      <c r="T323"/>
      <c r="U323"/>
      <c r="V323"/>
      <c r="W323"/>
      <c r="X323"/>
    </row>
    <row r="324" spans="1:24" s="103" customFormat="1" ht="15.75" hidden="1" customHeight="1" outlineLevel="1">
      <c r="A324" s="916"/>
      <c r="B324" s="1124"/>
      <c r="C324" s="1128"/>
      <c r="D324" s="1126"/>
      <c r="E324" s="1126"/>
      <c r="F324" s="1132"/>
      <c r="G324" s="100"/>
      <c r="H324" s="98"/>
      <c r="I324" s="1126"/>
      <c r="J324" s="1135"/>
      <c r="K324" s="1135"/>
      <c r="L324" s="916"/>
      <c r="P324"/>
      <c r="Q324"/>
      <c r="R324"/>
      <c r="S324"/>
      <c r="T324"/>
      <c r="U324"/>
      <c r="V324"/>
      <c r="W324"/>
      <c r="X324"/>
    </row>
    <row r="325" spans="1:24" s="103" customFormat="1" ht="15.75" hidden="1" customHeight="1" outlineLevel="1">
      <c r="A325" s="916"/>
      <c r="B325" s="1123">
        <v>105</v>
      </c>
      <c r="C325" s="1127"/>
      <c r="D325" s="1125"/>
      <c r="E325" s="1125" t="s">
        <v>18</v>
      </c>
      <c r="F325" s="1130" t="str">
        <f>VLOOKUP(E325,$N$13:$O$17,2,0)</f>
        <v>-</v>
      </c>
      <c r="G325" s="92"/>
      <c r="H325" s="90"/>
      <c r="I325" s="1125"/>
      <c r="J325" s="1133"/>
      <c r="K325" s="1133"/>
      <c r="L325" s="916"/>
      <c r="P325"/>
      <c r="Q325"/>
      <c r="R325"/>
      <c r="S325"/>
      <c r="T325"/>
      <c r="U325"/>
      <c r="V325"/>
      <c r="W325"/>
      <c r="X325"/>
    </row>
    <row r="326" spans="1:24" s="103" customFormat="1" ht="15.75" hidden="1" customHeight="1" outlineLevel="1">
      <c r="A326" s="916"/>
      <c r="B326" s="1123"/>
      <c r="C326" s="1127"/>
      <c r="D326" s="1125"/>
      <c r="E326" s="1125"/>
      <c r="F326" s="1130"/>
      <c r="G326" s="95"/>
      <c r="H326" s="90"/>
      <c r="I326" s="1125"/>
      <c r="J326" s="1134"/>
      <c r="K326" s="1134"/>
      <c r="L326" s="916"/>
      <c r="P326"/>
      <c r="Q326"/>
      <c r="R326"/>
      <c r="S326"/>
      <c r="T326"/>
      <c r="U326"/>
      <c r="V326"/>
      <c r="W326"/>
      <c r="X326"/>
    </row>
    <row r="327" spans="1:24" s="103" customFormat="1" ht="15.75" hidden="1" customHeight="1" outlineLevel="1">
      <c r="A327" s="916"/>
      <c r="B327" s="1124"/>
      <c r="C327" s="1128"/>
      <c r="D327" s="1126"/>
      <c r="E327" s="1126"/>
      <c r="F327" s="1132"/>
      <c r="G327" s="100"/>
      <c r="H327" s="98"/>
      <c r="I327" s="1126"/>
      <c r="J327" s="1135"/>
      <c r="K327" s="1135"/>
      <c r="L327" s="916"/>
      <c r="P327"/>
      <c r="Q327"/>
      <c r="R327"/>
      <c r="S327"/>
      <c r="T327"/>
      <c r="U327"/>
      <c r="V327"/>
      <c r="W327"/>
      <c r="X327"/>
    </row>
    <row r="328" spans="1:24" s="103" customFormat="1" ht="15.75" hidden="1" customHeight="1" outlineLevel="1">
      <c r="A328" s="916"/>
      <c r="B328" s="1123">
        <v>106</v>
      </c>
      <c r="C328" s="1127"/>
      <c r="D328" s="1125"/>
      <c r="E328" s="1125" t="s">
        <v>18</v>
      </c>
      <c r="F328" s="1130" t="str">
        <f>VLOOKUP(E328,$N$13:$O$17,2,0)</f>
        <v>-</v>
      </c>
      <c r="G328" s="92"/>
      <c r="H328" s="90"/>
      <c r="I328" s="1125"/>
      <c r="J328" s="1133"/>
      <c r="K328" s="1133"/>
      <c r="L328" s="916"/>
      <c r="P328"/>
      <c r="Q328"/>
      <c r="R328"/>
      <c r="S328"/>
      <c r="T328"/>
      <c r="U328"/>
      <c r="V328"/>
      <c r="W328"/>
      <c r="X328"/>
    </row>
    <row r="329" spans="1:24" s="103" customFormat="1" ht="15.75" hidden="1" customHeight="1" outlineLevel="1">
      <c r="A329" s="916"/>
      <c r="B329" s="1123"/>
      <c r="C329" s="1127"/>
      <c r="D329" s="1125"/>
      <c r="E329" s="1125"/>
      <c r="F329" s="1130"/>
      <c r="G329" s="95"/>
      <c r="H329" s="90"/>
      <c r="I329" s="1125"/>
      <c r="J329" s="1134"/>
      <c r="K329" s="1134"/>
      <c r="L329" s="916"/>
      <c r="P329"/>
      <c r="Q329"/>
      <c r="R329"/>
      <c r="S329"/>
      <c r="T329"/>
      <c r="U329"/>
      <c r="V329"/>
      <c r="W329"/>
      <c r="X329"/>
    </row>
    <row r="330" spans="1:24" s="103" customFormat="1" ht="15.75" hidden="1" customHeight="1" outlineLevel="1">
      <c r="A330" s="916"/>
      <c r="B330" s="1124"/>
      <c r="C330" s="1128"/>
      <c r="D330" s="1126"/>
      <c r="E330" s="1126"/>
      <c r="F330" s="1132"/>
      <c r="G330" s="100"/>
      <c r="H330" s="98"/>
      <c r="I330" s="1126"/>
      <c r="J330" s="1135"/>
      <c r="K330" s="1135"/>
      <c r="L330" s="916"/>
      <c r="P330"/>
      <c r="Q330"/>
      <c r="R330"/>
      <c r="S330"/>
      <c r="T330"/>
      <c r="U330"/>
      <c r="V330"/>
      <c r="W330"/>
      <c r="X330"/>
    </row>
    <row r="331" spans="1:24" s="103" customFormat="1" ht="15.75" hidden="1" customHeight="1" outlineLevel="1">
      <c r="A331" s="916"/>
      <c r="B331" s="1123">
        <v>107</v>
      </c>
      <c r="C331" s="1127"/>
      <c r="D331" s="1125"/>
      <c r="E331" s="1125" t="s">
        <v>18</v>
      </c>
      <c r="F331" s="1130" t="str">
        <f>VLOOKUP(E331,$N$13:$O$17,2,0)</f>
        <v>-</v>
      </c>
      <c r="G331" s="92"/>
      <c r="H331" s="90"/>
      <c r="I331" s="1125"/>
      <c r="J331" s="1133"/>
      <c r="K331" s="1133"/>
      <c r="L331" s="916"/>
      <c r="P331"/>
      <c r="Q331"/>
      <c r="R331"/>
      <c r="S331"/>
      <c r="T331"/>
      <c r="U331"/>
      <c r="V331"/>
      <c r="W331"/>
      <c r="X331"/>
    </row>
    <row r="332" spans="1:24" s="103" customFormat="1" ht="15.75" hidden="1" customHeight="1" outlineLevel="1">
      <c r="A332" s="916"/>
      <c r="B332" s="1123"/>
      <c r="C332" s="1127"/>
      <c r="D332" s="1125"/>
      <c r="E332" s="1125"/>
      <c r="F332" s="1130"/>
      <c r="G332" s="95"/>
      <c r="H332" s="90"/>
      <c r="I332" s="1125"/>
      <c r="J332" s="1134"/>
      <c r="K332" s="1134"/>
      <c r="L332" s="916"/>
      <c r="P332"/>
      <c r="Q332"/>
      <c r="R332"/>
      <c r="S332"/>
      <c r="T332"/>
      <c r="U332"/>
      <c r="V332"/>
      <c r="W332"/>
      <c r="X332"/>
    </row>
    <row r="333" spans="1:24" s="103" customFormat="1" ht="15.75" hidden="1" customHeight="1" outlineLevel="1">
      <c r="A333" s="916"/>
      <c r="B333" s="1124"/>
      <c r="C333" s="1128"/>
      <c r="D333" s="1126"/>
      <c r="E333" s="1126"/>
      <c r="F333" s="1132"/>
      <c r="G333" s="100"/>
      <c r="H333" s="98"/>
      <c r="I333" s="1126"/>
      <c r="J333" s="1135"/>
      <c r="K333" s="1135"/>
      <c r="L333" s="916"/>
      <c r="P333"/>
      <c r="Q333"/>
      <c r="R333"/>
      <c r="S333"/>
      <c r="T333"/>
      <c r="U333"/>
      <c r="V333"/>
      <c r="W333"/>
      <c r="X333"/>
    </row>
    <row r="334" spans="1:24" s="103" customFormat="1" ht="15.75" hidden="1" customHeight="1" outlineLevel="1">
      <c r="A334" s="916"/>
      <c r="B334" s="1123">
        <v>108</v>
      </c>
      <c r="C334" s="1127"/>
      <c r="D334" s="1125"/>
      <c r="E334" s="1125" t="s">
        <v>18</v>
      </c>
      <c r="F334" s="1130" t="str">
        <f>VLOOKUP(E334,$N$13:$O$17,2,0)</f>
        <v>-</v>
      </c>
      <c r="G334" s="92"/>
      <c r="H334" s="90"/>
      <c r="I334" s="1125"/>
      <c r="J334" s="1133"/>
      <c r="K334" s="1133"/>
      <c r="L334" s="916"/>
      <c r="P334"/>
      <c r="Q334"/>
      <c r="R334"/>
      <c r="S334"/>
      <c r="T334"/>
      <c r="U334"/>
      <c r="V334"/>
      <c r="W334"/>
      <c r="X334"/>
    </row>
    <row r="335" spans="1:24" s="103" customFormat="1" ht="15.75" hidden="1" customHeight="1" outlineLevel="1">
      <c r="A335" s="916"/>
      <c r="B335" s="1123"/>
      <c r="C335" s="1127"/>
      <c r="D335" s="1125"/>
      <c r="E335" s="1125"/>
      <c r="F335" s="1130"/>
      <c r="G335" s="95"/>
      <c r="H335" s="90"/>
      <c r="I335" s="1125"/>
      <c r="J335" s="1134"/>
      <c r="K335" s="1134"/>
      <c r="L335" s="916"/>
      <c r="P335"/>
      <c r="Q335"/>
      <c r="R335"/>
      <c r="S335"/>
      <c r="T335"/>
      <c r="U335"/>
      <c r="V335"/>
      <c r="W335"/>
      <c r="X335"/>
    </row>
    <row r="336" spans="1:24" s="103" customFormat="1" ht="15.75" hidden="1" customHeight="1" outlineLevel="1">
      <c r="A336" s="916"/>
      <c r="B336" s="1124"/>
      <c r="C336" s="1128"/>
      <c r="D336" s="1126"/>
      <c r="E336" s="1126"/>
      <c r="F336" s="1132"/>
      <c r="G336" s="100"/>
      <c r="H336" s="98"/>
      <c r="I336" s="1126"/>
      <c r="J336" s="1135"/>
      <c r="K336" s="1135"/>
      <c r="L336" s="916"/>
      <c r="P336"/>
      <c r="Q336"/>
      <c r="R336"/>
      <c r="S336"/>
      <c r="T336"/>
      <c r="U336"/>
      <c r="V336"/>
      <c r="W336"/>
      <c r="X336"/>
    </row>
    <row r="337" spans="1:24" s="103" customFormat="1" ht="15.75" hidden="1" customHeight="1" outlineLevel="1">
      <c r="A337" s="916"/>
      <c r="B337" s="1123">
        <v>109</v>
      </c>
      <c r="C337" s="1127"/>
      <c r="D337" s="1125"/>
      <c r="E337" s="1125" t="s">
        <v>18</v>
      </c>
      <c r="F337" s="1130" t="str">
        <f>VLOOKUP(E337,$N$13:$O$17,2,0)</f>
        <v>-</v>
      </c>
      <c r="G337" s="92"/>
      <c r="H337" s="90"/>
      <c r="I337" s="1125"/>
      <c r="J337" s="1133"/>
      <c r="K337" s="1133"/>
      <c r="L337" s="916"/>
      <c r="P337"/>
      <c r="Q337"/>
      <c r="R337"/>
      <c r="S337"/>
      <c r="T337"/>
      <c r="U337"/>
      <c r="V337"/>
      <c r="W337"/>
      <c r="X337"/>
    </row>
    <row r="338" spans="1:24" s="103" customFormat="1" ht="15.75" hidden="1" customHeight="1" outlineLevel="1">
      <c r="A338" s="916"/>
      <c r="B338" s="1123"/>
      <c r="C338" s="1127"/>
      <c r="D338" s="1125"/>
      <c r="E338" s="1125"/>
      <c r="F338" s="1130"/>
      <c r="G338" s="95"/>
      <c r="H338" s="90"/>
      <c r="I338" s="1125"/>
      <c r="J338" s="1134"/>
      <c r="K338" s="1134"/>
      <c r="L338" s="916"/>
      <c r="P338"/>
      <c r="Q338"/>
      <c r="R338"/>
      <c r="S338"/>
      <c r="T338"/>
      <c r="U338"/>
      <c r="V338"/>
      <c r="W338"/>
      <c r="X338"/>
    </row>
    <row r="339" spans="1:24" s="103" customFormat="1" ht="15.75" hidden="1" customHeight="1" outlineLevel="1">
      <c r="A339" s="916"/>
      <c r="B339" s="1124"/>
      <c r="C339" s="1128"/>
      <c r="D339" s="1126"/>
      <c r="E339" s="1126"/>
      <c r="F339" s="1132"/>
      <c r="G339" s="100"/>
      <c r="H339" s="98"/>
      <c r="I339" s="1126"/>
      <c r="J339" s="1135"/>
      <c r="K339" s="1135"/>
      <c r="L339" s="916"/>
      <c r="P339"/>
      <c r="Q339"/>
      <c r="R339"/>
      <c r="S339"/>
      <c r="T339"/>
      <c r="U339"/>
      <c r="V339"/>
      <c r="W339"/>
      <c r="X339"/>
    </row>
    <row r="340" spans="1:24" s="103" customFormat="1" ht="15.75" hidden="1" customHeight="1" outlineLevel="1">
      <c r="A340" s="916"/>
      <c r="B340" s="1123">
        <v>110</v>
      </c>
      <c r="C340" s="1127"/>
      <c r="D340" s="1125"/>
      <c r="E340" s="1125" t="s">
        <v>18</v>
      </c>
      <c r="F340" s="1130" t="str">
        <f>VLOOKUP(E340,$N$13:$O$17,2,0)</f>
        <v>-</v>
      </c>
      <c r="G340" s="92"/>
      <c r="H340" s="90"/>
      <c r="I340" s="1125"/>
      <c r="J340" s="1133"/>
      <c r="K340" s="1133"/>
      <c r="L340" s="916"/>
      <c r="P340"/>
      <c r="Q340"/>
      <c r="R340"/>
      <c r="S340"/>
      <c r="T340"/>
      <c r="U340"/>
      <c r="V340"/>
      <c r="W340"/>
      <c r="X340"/>
    </row>
    <row r="341" spans="1:24" s="103" customFormat="1" ht="15.75" hidden="1" customHeight="1" outlineLevel="1">
      <c r="A341" s="916"/>
      <c r="B341" s="1123"/>
      <c r="C341" s="1127"/>
      <c r="D341" s="1125"/>
      <c r="E341" s="1125"/>
      <c r="F341" s="1130"/>
      <c r="G341" s="95"/>
      <c r="H341" s="90"/>
      <c r="I341" s="1125"/>
      <c r="J341" s="1134"/>
      <c r="K341" s="1134"/>
      <c r="L341" s="916"/>
      <c r="P341"/>
      <c r="Q341"/>
      <c r="R341"/>
      <c r="S341"/>
      <c r="T341"/>
      <c r="U341"/>
      <c r="V341"/>
      <c r="W341"/>
      <c r="X341"/>
    </row>
    <row r="342" spans="1:24" s="103" customFormat="1" ht="15.75" hidden="1" customHeight="1" outlineLevel="1">
      <c r="A342" s="916"/>
      <c r="B342" s="1124"/>
      <c r="C342" s="1128"/>
      <c r="D342" s="1126"/>
      <c r="E342" s="1126"/>
      <c r="F342" s="1132"/>
      <c r="G342" s="100"/>
      <c r="H342" s="98"/>
      <c r="I342" s="1126"/>
      <c r="J342" s="1135"/>
      <c r="K342" s="1135"/>
      <c r="L342" s="916"/>
      <c r="P342"/>
      <c r="Q342"/>
      <c r="R342"/>
      <c r="S342"/>
      <c r="T342"/>
      <c r="U342"/>
      <c r="V342"/>
      <c r="W342"/>
      <c r="X342"/>
    </row>
    <row r="343" spans="1:24" s="103" customFormat="1" ht="15.75" hidden="1" customHeight="1" outlineLevel="1">
      <c r="A343" s="916"/>
      <c r="B343" s="1123">
        <v>111</v>
      </c>
      <c r="C343" s="1127"/>
      <c r="D343" s="1125"/>
      <c r="E343" s="1125" t="s">
        <v>18</v>
      </c>
      <c r="F343" s="1130" t="str">
        <f>VLOOKUP(E343,$N$13:$O$17,2,0)</f>
        <v>-</v>
      </c>
      <c r="G343" s="92"/>
      <c r="H343" s="90"/>
      <c r="I343" s="1125"/>
      <c r="J343" s="1133"/>
      <c r="K343" s="1133"/>
      <c r="L343" s="916"/>
      <c r="P343"/>
      <c r="Q343"/>
      <c r="R343"/>
      <c r="S343"/>
      <c r="T343"/>
      <c r="U343"/>
      <c r="V343"/>
      <c r="W343"/>
      <c r="X343"/>
    </row>
    <row r="344" spans="1:24" s="103" customFormat="1" ht="15.75" hidden="1" customHeight="1" outlineLevel="1">
      <c r="A344" s="916"/>
      <c r="B344" s="1123"/>
      <c r="C344" s="1127"/>
      <c r="D344" s="1125"/>
      <c r="E344" s="1125"/>
      <c r="F344" s="1130"/>
      <c r="G344" s="95"/>
      <c r="H344" s="90"/>
      <c r="I344" s="1125"/>
      <c r="J344" s="1134"/>
      <c r="K344" s="1134"/>
      <c r="L344" s="916"/>
      <c r="P344"/>
      <c r="Q344"/>
      <c r="R344"/>
      <c r="S344"/>
      <c r="T344"/>
      <c r="U344"/>
      <c r="V344"/>
      <c r="W344"/>
      <c r="X344"/>
    </row>
    <row r="345" spans="1:24" s="103" customFormat="1" ht="15.75" hidden="1" customHeight="1" outlineLevel="1">
      <c r="A345" s="916"/>
      <c r="B345" s="1124"/>
      <c r="C345" s="1128"/>
      <c r="D345" s="1126"/>
      <c r="E345" s="1126"/>
      <c r="F345" s="1132"/>
      <c r="G345" s="100"/>
      <c r="H345" s="98"/>
      <c r="I345" s="1126"/>
      <c r="J345" s="1135"/>
      <c r="K345" s="1135"/>
      <c r="L345" s="916"/>
      <c r="P345"/>
      <c r="Q345"/>
      <c r="R345"/>
      <c r="S345"/>
      <c r="T345"/>
      <c r="U345"/>
      <c r="V345"/>
      <c r="W345"/>
      <c r="X345"/>
    </row>
    <row r="346" spans="1:24" s="103" customFormat="1" ht="15.75" hidden="1" customHeight="1" outlineLevel="1">
      <c r="A346" s="916"/>
      <c r="B346" s="1123">
        <v>112</v>
      </c>
      <c r="C346" s="1127"/>
      <c r="D346" s="1125"/>
      <c r="E346" s="1125" t="s">
        <v>18</v>
      </c>
      <c r="F346" s="1130" t="str">
        <f>VLOOKUP(E346,$N$13:$O$17,2,0)</f>
        <v>-</v>
      </c>
      <c r="G346" s="92"/>
      <c r="H346" s="90"/>
      <c r="I346" s="1125"/>
      <c r="J346" s="1133"/>
      <c r="K346" s="1133"/>
      <c r="L346" s="916"/>
      <c r="P346"/>
      <c r="Q346"/>
      <c r="R346"/>
      <c r="S346"/>
      <c r="T346"/>
      <c r="U346"/>
      <c r="V346"/>
      <c r="W346"/>
      <c r="X346"/>
    </row>
    <row r="347" spans="1:24" s="103" customFormat="1" ht="15.75" hidden="1" customHeight="1" outlineLevel="1">
      <c r="A347" s="916"/>
      <c r="B347" s="1123"/>
      <c r="C347" s="1127"/>
      <c r="D347" s="1125"/>
      <c r="E347" s="1125"/>
      <c r="F347" s="1130"/>
      <c r="G347" s="95"/>
      <c r="H347" s="90"/>
      <c r="I347" s="1125"/>
      <c r="J347" s="1134"/>
      <c r="K347" s="1134"/>
      <c r="L347" s="916"/>
      <c r="P347"/>
      <c r="Q347"/>
      <c r="R347"/>
      <c r="S347"/>
      <c r="T347"/>
      <c r="U347"/>
      <c r="V347"/>
      <c r="W347"/>
      <c r="X347"/>
    </row>
    <row r="348" spans="1:24" s="103" customFormat="1" ht="15.75" hidden="1" customHeight="1" outlineLevel="1">
      <c r="A348" s="916"/>
      <c r="B348" s="1124"/>
      <c r="C348" s="1128"/>
      <c r="D348" s="1126"/>
      <c r="E348" s="1126"/>
      <c r="F348" s="1132"/>
      <c r="G348" s="100"/>
      <c r="H348" s="98"/>
      <c r="I348" s="1126"/>
      <c r="J348" s="1135"/>
      <c r="K348" s="1135"/>
      <c r="L348" s="916"/>
      <c r="P348"/>
      <c r="Q348"/>
      <c r="R348"/>
      <c r="S348"/>
      <c r="T348"/>
      <c r="U348"/>
      <c r="V348"/>
      <c r="W348"/>
      <c r="X348"/>
    </row>
    <row r="349" spans="1:24" s="103" customFormat="1" ht="15.75" hidden="1" customHeight="1" outlineLevel="1">
      <c r="A349" s="916"/>
      <c r="B349" s="1123">
        <v>113</v>
      </c>
      <c r="C349" s="1127"/>
      <c r="D349" s="1125"/>
      <c r="E349" s="1125" t="s">
        <v>18</v>
      </c>
      <c r="F349" s="1130" t="str">
        <f>VLOOKUP(E349,$N$13:$O$17,2,0)</f>
        <v>-</v>
      </c>
      <c r="G349" s="92"/>
      <c r="H349" s="90"/>
      <c r="I349" s="1125"/>
      <c r="J349" s="1133"/>
      <c r="K349" s="1133"/>
      <c r="L349" s="916"/>
      <c r="P349"/>
      <c r="Q349"/>
      <c r="R349"/>
      <c r="S349"/>
      <c r="T349"/>
      <c r="U349"/>
      <c r="V349"/>
      <c r="W349"/>
      <c r="X349"/>
    </row>
    <row r="350" spans="1:24" s="103" customFormat="1" ht="15.75" hidden="1" customHeight="1" outlineLevel="1">
      <c r="A350" s="916"/>
      <c r="B350" s="1123"/>
      <c r="C350" s="1127"/>
      <c r="D350" s="1125"/>
      <c r="E350" s="1125"/>
      <c r="F350" s="1130"/>
      <c r="G350" s="95"/>
      <c r="H350" s="90"/>
      <c r="I350" s="1125"/>
      <c r="J350" s="1134"/>
      <c r="K350" s="1134"/>
      <c r="L350" s="916"/>
      <c r="P350"/>
      <c r="Q350"/>
      <c r="R350"/>
      <c r="S350"/>
      <c r="T350"/>
      <c r="U350"/>
      <c r="V350"/>
      <c r="W350"/>
      <c r="X350"/>
    </row>
    <row r="351" spans="1:24" s="103" customFormat="1" ht="15.75" hidden="1" customHeight="1" outlineLevel="1">
      <c r="A351" s="916"/>
      <c r="B351" s="1124"/>
      <c r="C351" s="1128"/>
      <c r="D351" s="1126"/>
      <c r="E351" s="1126"/>
      <c r="F351" s="1132"/>
      <c r="G351" s="100"/>
      <c r="H351" s="98"/>
      <c r="I351" s="1126"/>
      <c r="J351" s="1135"/>
      <c r="K351" s="1135"/>
      <c r="L351" s="916"/>
      <c r="P351"/>
      <c r="Q351"/>
      <c r="R351"/>
      <c r="S351"/>
      <c r="T351"/>
      <c r="U351"/>
      <c r="V351"/>
      <c r="W351"/>
      <c r="X351"/>
    </row>
    <row r="352" spans="1:24" s="103" customFormat="1" ht="15.75" hidden="1" customHeight="1" outlineLevel="1">
      <c r="A352" s="916"/>
      <c r="B352" s="1123">
        <v>114</v>
      </c>
      <c r="C352" s="1127"/>
      <c r="D352" s="1125"/>
      <c r="E352" s="1125" t="s">
        <v>18</v>
      </c>
      <c r="F352" s="1130" t="str">
        <f>VLOOKUP(E352,$N$13:$O$17,2,0)</f>
        <v>-</v>
      </c>
      <c r="G352" s="92"/>
      <c r="H352" s="90"/>
      <c r="I352" s="1125"/>
      <c r="J352" s="1133"/>
      <c r="K352" s="1133"/>
      <c r="L352" s="916"/>
      <c r="P352"/>
      <c r="Q352"/>
      <c r="R352"/>
      <c r="S352"/>
      <c r="T352"/>
      <c r="U352"/>
      <c r="V352"/>
      <c r="W352"/>
      <c r="X352"/>
    </row>
    <row r="353" spans="1:24" s="103" customFormat="1" ht="15.75" hidden="1" customHeight="1" outlineLevel="1">
      <c r="A353" s="916"/>
      <c r="B353" s="1123"/>
      <c r="C353" s="1127"/>
      <c r="D353" s="1125"/>
      <c r="E353" s="1125"/>
      <c r="F353" s="1130"/>
      <c r="G353" s="95"/>
      <c r="H353" s="90"/>
      <c r="I353" s="1125"/>
      <c r="J353" s="1134"/>
      <c r="K353" s="1134"/>
      <c r="L353" s="916"/>
      <c r="P353"/>
      <c r="Q353"/>
      <c r="R353"/>
      <c r="S353"/>
      <c r="T353"/>
      <c r="U353"/>
      <c r="V353"/>
      <c r="W353"/>
      <c r="X353"/>
    </row>
    <row r="354" spans="1:24" s="103" customFormat="1" ht="15.75" hidden="1" customHeight="1" outlineLevel="1">
      <c r="A354" s="916"/>
      <c r="B354" s="1124"/>
      <c r="C354" s="1128"/>
      <c r="D354" s="1126"/>
      <c r="E354" s="1126"/>
      <c r="F354" s="1132"/>
      <c r="G354" s="100"/>
      <c r="H354" s="98"/>
      <c r="I354" s="1126"/>
      <c r="J354" s="1135"/>
      <c r="K354" s="1135"/>
      <c r="L354" s="916"/>
      <c r="P354"/>
      <c r="Q354"/>
      <c r="R354"/>
      <c r="S354"/>
      <c r="T354"/>
      <c r="U354"/>
      <c r="V354"/>
      <c r="W354"/>
      <c r="X354"/>
    </row>
    <row r="355" spans="1:24" s="103" customFormat="1" ht="15.75" hidden="1" customHeight="1" outlineLevel="1">
      <c r="A355" s="916"/>
      <c r="B355" s="1123">
        <v>115</v>
      </c>
      <c r="C355" s="1127"/>
      <c r="D355" s="1125"/>
      <c r="E355" s="1125" t="s">
        <v>18</v>
      </c>
      <c r="F355" s="1130" t="str">
        <f>VLOOKUP(E355,$N$13:$O$17,2,0)</f>
        <v>-</v>
      </c>
      <c r="G355" s="92"/>
      <c r="H355" s="90"/>
      <c r="I355" s="1125"/>
      <c r="J355" s="1133"/>
      <c r="K355" s="1133"/>
      <c r="L355" s="916"/>
      <c r="P355"/>
      <c r="Q355"/>
      <c r="R355"/>
      <c r="S355"/>
      <c r="T355"/>
      <c r="U355"/>
      <c r="V355"/>
      <c r="W355"/>
      <c r="X355"/>
    </row>
    <row r="356" spans="1:24" s="103" customFormat="1" ht="15.75" hidden="1" customHeight="1" outlineLevel="1">
      <c r="A356" s="916"/>
      <c r="B356" s="1123"/>
      <c r="C356" s="1127"/>
      <c r="D356" s="1125"/>
      <c r="E356" s="1125"/>
      <c r="F356" s="1130"/>
      <c r="G356" s="95"/>
      <c r="H356" s="90"/>
      <c r="I356" s="1125"/>
      <c r="J356" s="1134"/>
      <c r="K356" s="1134"/>
      <c r="L356" s="916"/>
      <c r="P356"/>
      <c r="Q356"/>
      <c r="R356"/>
      <c r="S356"/>
      <c r="T356"/>
      <c r="U356"/>
      <c r="V356"/>
      <c r="W356"/>
      <c r="X356"/>
    </row>
    <row r="357" spans="1:24" s="103" customFormat="1" ht="15.75" hidden="1" customHeight="1" outlineLevel="1">
      <c r="A357" s="916"/>
      <c r="B357" s="1124"/>
      <c r="C357" s="1128"/>
      <c r="D357" s="1126"/>
      <c r="E357" s="1126"/>
      <c r="F357" s="1132"/>
      <c r="G357" s="100"/>
      <c r="H357" s="98"/>
      <c r="I357" s="1126"/>
      <c r="J357" s="1135"/>
      <c r="K357" s="1135"/>
      <c r="L357" s="916"/>
      <c r="P357"/>
      <c r="Q357"/>
      <c r="R357"/>
      <c r="S357"/>
      <c r="T357"/>
      <c r="U357"/>
      <c r="V357"/>
      <c r="W357"/>
      <c r="X357"/>
    </row>
    <row r="358" spans="1:24" s="103" customFormat="1" ht="15.75" hidden="1" customHeight="1" outlineLevel="1">
      <c r="A358" s="916"/>
      <c r="B358" s="1123">
        <v>116</v>
      </c>
      <c r="C358" s="1127"/>
      <c r="D358" s="1125"/>
      <c r="E358" s="1125" t="s">
        <v>18</v>
      </c>
      <c r="F358" s="1130" t="str">
        <f>VLOOKUP(E358,$N$13:$O$17,2,0)</f>
        <v>-</v>
      </c>
      <c r="G358" s="92"/>
      <c r="H358" s="90"/>
      <c r="I358" s="1125"/>
      <c r="J358" s="1133"/>
      <c r="K358" s="1133"/>
      <c r="L358" s="916"/>
      <c r="P358"/>
      <c r="Q358"/>
      <c r="R358"/>
      <c r="S358"/>
      <c r="T358"/>
      <c r="U358"/>
      <c r="V358"/>
      <c r="W358"/>
      <c r="X358"/>
    </row>
    <row r="359" spans="1:24" s="103" customFormat="1" ht="15.75" hidden="1" customHeight="1" outlineLevel="1">
      <c r="A359" s="916"/>
      <c r="B359" s="1123"/>
      <c r="C359" s="1127"/>
      <c r="D359" s="1125"/>
      <c r="E359" s="1125"/>
      <c r="F359" s="1130"/>
      <c r="G359" s="95"/>
      <c r="H359" s="90"/>
      <c r="I359" s="1125"/>
      <c r="J359" s="1134"/>
      <c r="K359" s="1134"/>
      <c r="L359" s="916"/>
      <c r="P359"/>
      <c r="Q359"/>
      <c r="R359"/>
      <c r="S359"/>
      <c r="T359"/>
      <c r="U359"/>
      <c r="V359"/>
      <c r="W359"/>
      <c r="X359"/>
    </row>
    <row r="360" spans="1:24" s="103" customFormat="1" ht="15.75" hidden="1" customHeight="1" outlineLevel="1">
      <c r="A360" s="916"/>
      <c r="B360" s="1124"/>
      <c r="C360" s="1128"/>
      <c r="D360" s="1126"/>
      <c r="E360" s="1126"/>
      <c r="F360" s="1132"/>
      <c r="G360" s="100"/>
      <c r="H360" s="98"/>
      <c r="I360" s="1126"/>
      <c r="J360" s="1135"/>
      <c r="K360" s="1135"/>
      <c r="L360" s="916"/>
      <c r="P360"/>
      <c r="Q360"/>
      <c r="R360"/>
      <c r="S360"/>
      <c r="T360"/>
      <c r="U360"/>
      <c r="V360"/>
      <c r="W360"/>
      <c r="X360"/>
    </row>
    <row r="361" spans="1:24" s="103" customFormat="1" ht="15.75" hidden="1" customHeight="1" outlineLevel="1">
      <c r="A361" s="916"/>
      <c r="B361" s="1123">
        <v>117</v>
      </c>
      <c r="C361" s="1127"/>
      <c r="D361" s="1125"/>
      <c r="E361" s="1125" t="s">
        <v>18</v>
      </c>
      <c r="F361" s="1130" t="str">
        <f>VLOOKUP(E361,$N$13:$O$17,2,0)</f>
        <v>-</v>
      </c>
      <c r="G361" s="92"/>
      <c r="H361" s="90"/>
      <c r="I361" s="1125"/>
      <c r="J361" s="1133"/>
      <c r="K361" s="1133"/>
      <c r="L361" s="916"/>
      <c r="P361"/>
      <c r="Q361"/>
      <c r="R361"/>
      <c r="S361"/>
      <c r="T361"/>
      <c r="U361"/>
      <c r="V361"/>
      <c r="W361"/>
      <c r="X361"/>
    </row>
    <row r="362" spans="1:24" s="103" customFormat="1" ht="15.75" hidden="1" customHeight="1" outlineLevel="1">
      <c r="A362" s="916"/>
      <c r="B362" s="1123"/>
      <c r="C362" s="1127"/>
      <c r="D362" s="1125"/>
      <c r="E362" s="1125"/>
      <c r="F362" s="1130"/>
      <c r="G362" s="95"/>
      <c r="H362" s="90"/>
      <c r="I362" s="1125"/>
      <c r="J362" s="1134"/>
      <c r="K362" s="1134"/>
      <c r="L362" s="916"/>
      <c r="P362"/>
      <c r="Q362"/>
      <c r="R362"/>
      <c r="S362"/>
      <c r="T362"/>
      <c r="U362"/>
      <c r="V362"/>
      <c r="W362"/>
      <c r="X362"/>
    </row>
    <row r="363" spans="1:24" s="103" customFormat="1" ht="15.75" hidden="1" customHeight="1" outlineLevel="1">
      <c r="A363" s="916"/>
      <c r="B363" s="1124"/>
      <c r="C363" s="1128"/>
      <c r="D363" s="1126"/>
      <c r="E363" s="1126"/>
      <c r="F363" s="1132"/>
      <c r="G363" s="100"/>
      <c r="H363" s="98"/>
      <c r="I363" s="1126"/>
      <c r="J363" s="1135"/>
      <c r="K363" s="1135"/>
      <c r="L363" s="916"/>
      <c r="P363"/>
      <c r="Q363"/>
      <c r="R363"/>
      <c r="S363"/>
      <c r="T363"/>
      <c r="U363"/>
      <c r="V363"/>
      <c r="W363"/>
      <c r="X363"/>
    </row>
    <row r="364" spans="1:24" s="103" customFormat="1" ht="15.75" hidden="1" customHeight="1" outlineLevel="1">
      <c r="A364" s="916"/>
      <c r="B364" s="1123">
        <v>118</v>
      </c>
      <c r="C364" s="1127"/>
      <c r="D364" s="1125"/>
      <c r="E364" s="1125" t="s">
        <v>18</v>
      </c>
      <c r="F364" s="1130" t="str">
        <f>VLOOKUP(E364,$N$13:$O$17,2,0)</f>
        <v>-</v>
      </c>
      <c r="G364" s="92"/>
      <c r="H364" s="90"/>
      <c r="I364" s="1125"/>
      <c r="J364" s="1133"/>
      <c r="K364" s="1133"/>
      <c r="L364" s="916"/>
      <c r="P364"/>
      <c r="Q364"/>
      <c r="R364"/>
      <c r="S364"/>
      <c r="T364"/>
      <c r="U364"/>
      <c r="V364"/>
      <c r="W364"/>
      <c r="X364"/>
    </row>
    <row r="365" spans="1:24" s="103" customFormat="1" ht="15.75" hidden="1" customHeight="1" outlineLevel="1">
      <c r="A365" s="916"/>
      <c r="B365" s="1123"/>
      <c r="C365" s="1127"/>
      <c r="D365" s="1125"/>
      <c r="E365" s="1125"/>
      <c r="F365" s="1130"/>
      <c r="G365" s="95"/>
      <c r="H365" s="90"/>
      <c r="I365" s="1125"/>
      <c r="J365" s="1134"/>
      <c r="K365" s="1134"/>
      <c r="L365" s="916"/>
      <c r="P365"/>
      <c r="Q365"/>
      <c r="R365"/>
      <c r="S365"/>
      <c r="T365"/>
      <c r="U365"/>
      <c r="V365"/>
      <c r="W365"/>
      <c r="X365"/>
    </row>
    <row r="366" spans="1:24" s="103" customFormat="1" ht="15.75" hidden="1" customHeight="1" outlineLevel="1">
      <c r="A366" s="916"/>
      <c r="B366" s="1124"/>
      <c r="C366" s="1128"/>
      <c r="D366" s="1126"/>
      <c r="E366" s="1126"/>
      <c r="F366" s="1132"/>
      <c r="G366" s="100"/>
      <c r="H366" s="98"/>
      <c r="I366" s="1126"/>
      <c r="J366" s="1135"/>
      <c r="K366" s="1135"/>
      <c r="L366" s="916"/>
      <c r="P366"/>
      <c r="Q366"/>
      <c r="R366"/>
      <c r="S366"/>
      <c r="T366"/>
      <c r="U366"/>
      <c r="V366"/>
      <c r="W366"/>
      <c r="X366"/>
    </row>
    <row r="367" spans="1:24" s="103" customFormat="1" ht="15.75" hidden="1" customHeight="1" outlineLevel="1">
      <c r="A367" s="916"/>
      <c r="B367" s="1123">
        <v>119</v>
      </c>
      <c r="C367" s="1127"/>
      <c r="D367" s="1125"/>
      <c r="E367" s="1125" t="s">
        <v>18</v>
      </c>
      <c r="F367" s="1130" t="str">
        <f>VLOOKUP(E367,$N$13:$O$17,2,0)</f>
        <v>-</v>
      </c>
      <c r="G367" s="92"/>
      <c r="H367" s="90"/>
      <c r="I367" s="1125"/>
      <c r="J367" s="1133"/>
      <c r="K367" s="1133"/>
      <c r="L367" s="916"/>
      <c r="P367"/>
      <c r="Q367"/>
      <c r="R367"/>
      <c r="S367"/>
      <c r="T367"/>
      <c r="U367"/>
      <c r="V367"/>
      <c r="W367"/>
      <c r="X367"/>
    </row>
    <row r="368" spans="1:24" s="103" customFormat="1" ht="15.75" hidden="1" customHeight="1" outlineLevel="1">
      <c r="A368" s="916"/>
      <c r="B368" s="1123"/>
      <c r="C368" s="1127"/>
      <c r="D368" s="1125"/>
      <c r="E368" s="1125"/>
      <c r="F368" s="1130"/>
      <c r="G368" s="95"/>
      <c r="H368" s="90"/>
      <c r="I368" s="1125"/>
      <c r="J368" s="1134"/>
      <c r="K368" s="1134"/>
      <c r="L368" s="916"/>
      <c r="P368"/>
      <c r="Q368"/>
      <c r="R368"/>
      <c r="S368"/>
      <c r="T368"/>
      <c r="U368"/>
      <c r="V368"/>
      <c r="W368"/>
      <c r="X368"/>
    </row>
    <row r="369" spans="1:24" s="103" customFormat="1" ht="15.75" hidden="1" customHeight="1" outlineLevel="1">
      <c r="A369" s="916"/>
      <c r="B369" s="1124"/>
      <c r="C369" s="1128"/>
      <c r="D369" s="1126"/>
      <c r="E369" s="1126"/>
      <c r="F369" s="1132"/>
      <c r="G369" s="100"/>
      <c r="H369" s="98"/>
      <c r="I369" s="1126"/>
      <c r="J369" s="1135"/>
      <c r="K369" s="1135"/>
      <c r="L369" s="916"/>
      <c r="P369"/>
      <c r="Q369"/>
      <c r="R369"/>
      <c r="S369"/>
      <c r="T369"/>
      <c r="U369"/>
      <c r="V369"/>
      <c r="W369"/>
      <c r="X369"/>
    </row>
    <row r="370" spans="1:24" s="103" customFormat="1" ht="15.75" hidden="1" customHeight="1" outlineLevel="1">
      <c r="A370" s="916"/>
      <c r="B370" s="1123">
        <v>120</v>
      </c>
      <c r="C370" s="1127"/>
      <c r="D370" s="1125"/>
      <c r="E370" s="1125" t="s">
        <v>18</v>
      </c>
      <c r="F370" s="1130" t="str">
        <f>VLOOKUP(E370,$N$13:$O$17,2,0)</f>
        <v>-</v>
      </c>
      <c r="G370" s="92"/>
      <c r="H370" s="90"/>
      <c r="I370" s="1125"/>
      <c r="J370" s="1133"/>
      <c r="K370" s="1133"/>
      <c r="L370" s="916"/>
      <c r="P370"/>
      <c r="Q370"/>
      <c r="R370"/>
      <c r="S370"/>
      <c r="T370"/>
      <c r="U370"/>
      <c r="V370"/>
      <c r="W370"/>
      <c r="X370"/>
    </row>
    <row r="371" spans="1:24" s="103" customFormat="1" ht="15.75" hidden="1" customHeight="1" outlineLevel="1">
      <c r="A371" s="916"/>
      <c r="B371" s="1123"/>
      <c r="C371" s="1127"/>
      <c r="D371" s="1125"/>
      <c r="E371" s="1125"/>
      <c r="F371" s="1130"/>
      <c r="G371" s="95"/>
      <c r="H371" s="90"/>
      <c r="I371" s="1125"/>
      <c r="J371" s="1134"/>
      <c r="K371" s="1134"/>
      <c r="L371" s="916"/>
      <c r="P371"/>
      <c r="Q371"/>
      <c r="R371"/>
      <c r="S371"/>
      <c r="T371"/>
      <c r="U371"/>
      <c r="V371"/>
      <c r="W371"/>
      <c r="X371"/>
    </row>
    <row r="372" spans="1:24" s="103" customFormat="1" ht="15.75" hidden="1" customHeight="1" outlineLevel="1">
      <c r="A372" s="916"/>
      <c r="B372" s="1124"/>
      <c r="C372" s="1128"/>
      <c r="D372" s="1126"/>
      <c r="E372" s="1126"/>
      <c r="F372" s="1132"/>
      <c r="G372" s="100"/>
      <c r="H372" s="98"/>
      <c r="I372" s="1126"/>
      <c r="J372" s="1135"/>
      <c r="K372" s="1135"/>
      <c r="L372" s="916"/>
      <c r="P372"/>
      <c r="Q372"/>
      <c r="R372"/>
      <c r="S372"/>
      <c r="T372"/>
      <c r="U372"/>
      <c r="V372"/>
      <c r="W372"/>
      <c r="X372"/>
    </row>
    <row r="373" spans="1:24" s="103" customFormat="1" ht="15.75" hidden="1" customHeight="1" outlineLevel="1">
      <c r="A373" s="916"/>
      <c r="B373" s="1123">
        <v>121</v>
      </c>
      <c r="C373" s="1127"/>
      <c r="D373" s="1125"/>
      <c r="E373" s="1125" t="s">
        <v>18</v>
      </c>
      <c r="F373" s="1130" t="str">
        <f>VLOOKUP(E373,$N$13:$O$17,2,0)</f>
        <v>-</v>
      </c>
      <c r="G373" s="92"/>
      <c r="H373" s="90"/>
      <c r="I373" s="1125"/>
      <c r="J373" s="1133"/>
      <c r="K373" s="1133"/>
      <c r="L373" s="916"/>
      <c r="P373"/>
      <c r="Q373"/>
      <c r="R373"/>
      <c r="S373"/>
      <c r="T373"/>
      <c r="U373"/>
      <c r="V373"/>
      <c r="W373"/>
      <c r="X373"/>
    </row>
    <row r="374" spans="1:24" s="103" customFormat="1" ht="15.75" hidden="1" customHeight="1" outlineLevel="1">
      <c r="A374" s="916"/>
      <c r="B374" s="1123"/>
      <c r="C374" s="1127"/>
      <c r="D374" s="1125"/>
      <c r="E374" s="1125"/>
      <c r="F374" s="1130"/>
      <c r="G374" s="95"/>
      <c r="H374" s="90"/>
      <c r="I374" s="1125"/>
      <c r="J374" s="1134"/>
      <c r="K374" s="1134"/>
      <c r="L374" s="916"/>
      <c r="P374"/>
      <c r="Q374"/>
      <c r="R374"/>
      <c r="S374"/>
      <c r="T374"/>
      <c r="U374"/>
      <c r="V374"/>
      <c r="W374"/>
      <c r="X374"/>
    </row>
    <row r="375" spans="1:24" s="103" customFormat="1" ht="15.75" hidden="1" customHeight="1" outlineLevel="1">
      <c r="A375" s="916"/>
      <c r="B375" s="1124"/>
      <c r="C375" s="1128"/>
      <c r="D375" s="1126"/>
      <c r="E375" s="1126"/>
      <c r="F375" s="1132"/>
      <c r="G375" s="100"/>
      <c r="H375" s="98"/>
      <c r="I375" s="1126"/>
      <c r="J375" s="1135"/>
      <c r="K375" s="1135"/>
      <c r="L375" s="916"/>
      <c r="P375"/>
      <c r="Q375"/>
      <c r="R375"/>
      <c r="S375"/>
      <c r="T375"/>
      <c r="U375"/>
      <c r="V375"/>
      <c r="W375"/>
      <c r="X375"/>
    </row>
    <row r="376" spans="1:24" s="103" customFormat="1" ht="15.75" hidden="1" customHeight="1" outlineLevel="1">
      <c r="A376" s="916"/>
      <c r="B376" s="1123">
        <v>122</v>
      </c>
      <c r="C376" s="1127"/>
      <c r="D376" s="1125"/>
      <c r="E376" s="1125" t="s">
        <v>18</v>
      </c>
      <c r="F376" s="1130" t="str">
        <f>VLOOKUP(E376,$N$13:$O$17,2,0)</f>
        <v>-</v>
      </c>
      <c r="G376" s="92"/>
      <c r="H376" s="90"/>
      <c r="I376" s="1125"/>
      <c r="J376" s="1133"/>
      <c r="K376" s="1133"/>
      <c r="L376" s="916"/>
      <c r="P376"/>
      <c r="Q376"/>
      <c r="R376"/>
      <c r="S376"/>
      <c r="T376"/>
      <c r="U376"/>
      <c r="V376"/>
      <c r="W376"/>
      <c r="X376"/>
    </row>
    <row r="377" spans="1:24" s="103" customFormat="1" ht="15.75" hidden="1" customHeight="1" outlineLevel="1">
      <c r="A377" s="916"/>
      <c r="B377" s="1123"/>
      <c r="C377" s="1127"/>
      <c r="D377" s="1125"/>
      <c r="E377" s="1125"/>
      <c r="F377" s="1130"/>
      <c r="G377" s="95"/>
      <c r="H377" s="90"/>
      <c r="I377" s="1125"/>
      <c r="J377" s="1134"/>
      <c r="K377" s="1134"/>
      <c r="L377" s="916"/>
      <c r="P377"/>
      <c r="Q377"/>
      <c r="R377"/>
      <c r="S377"/>
      <c r="T377"/>
      <c r="U377"/>
      <c r="V377"/>
      <c r="W377"/>
      <c r="X377"/>
    </row>
    <row r="378" spans="1:24" s="103" customFormat="1" ht="15.75" hidden="1" customHeight="1" outlineLevel="1">
      <c r="A378" s="916"/>
      <c r="B378" s="1124"/>
      <c r="C378" s="1128"/>
      <c r="D378" s="1126"/>
      <c r="E378" s="1126"/>
      <c r="F378" s="1132"/>
      <c r="G378" s="100"/>
      <c r="H378" s="98"/>
      <c r="I378" s="1126"/>
      <c r="J378" s="1135"/>
      <c r="K378" s="1135"/>
      <c r="L378" s="916"/>
      <c r="P378"/>
      <c r="Q378"/>
      <c r="R378"/>
      <c r="S378"/>
      <c r="T378"/>
      <c r="U378"/>
      <c r="V378"/>
      <c r="W378"/>
      <c r="X378"/>
    </row>
    <row r="379" spans="1:24" s="103" customFormat="1" ht="15.75" hidden="1" customHeight="1" outlineLevel="1">
      <c r="A379" s="916"/>
      <c r="B379" s="1123">
        <v>123</v>
      </c>
      <c r="C379" s="1127"/>
      <c r="D379" s="1125"/>
      <c r="E379" s="1125" t="s">
        <v>18</v>
      </c>
      <c r="F379" s="1130" t="str">
        <f>VLOOKUP(E379,$N$13:$O$17,2,0)</f>
        <v>-</v>
      </c>
      <c r="G379" s="92"/>
      <c r="H379" s="90"/>
      <c r="I379" s="1125"/>
      <c r="J379" s="1133"/>
      <c r="K379" s="1133"/>
      <c r="L379" s="916"/>
      <c r="P379"/>
      <c r="Q379"/>
      <c r="R379"/>
      <c r="S379"/>
      <c r="T379"/>
      <c r="U379"/>
      <c r="V379"/>
      <c r="W379"/>
      <c r="X379"/>
    </row>
    <row r="380" spans="1:24" s="103" customFormat="1" ht="15.75" hidden="1" customHeight="1" outlineLevel="1">
      <c r="A380" s="916"/>
      <c r="B380" s="1123"/>
      <c r="C380" s="1127"/>
      <c r="D380" s="1125"/>
      <c r="E380" s="1125"/>
      <c r="F380" s="1130"/>
      <c r="G380" s="95"/>
      <c r="H380" s="90"/>
      <c r="I380" s="1125"/>
      <c r="J380" s="1134"/>
      <c r="K380" s="1134"/>
      <c r="L380" s="916"/>
      <c r="P380"/>
      <c r="Q380"/>
      <c r="R380"/>
      <c r="S380"/>
      <c r="T380"/>
      <c r="U380"/>
      <c r="V380"/>
      <c r="W380"/>
      <c r="X380"/>
    </row>
    <row r="381" spans="1:24" s="103" customFormat="1" ht="15.75" hidden="1" customHeight="1" outlineLevel="1">
      <c r="A381" s="916"/>
      <c r="B381" s="1124"/>
      <c r="C381" s="1128"/>
      <c r="D381" s="1126"/>
      <c r="E381" s="1126"/>
      <c r="F381" s="1132"/>
      <c r="G381" s="100"/>
      <c r="H381" s="98"/>
      <c r="I381" s="1126"/>
      <c r="J381" s="1135"/>
      <c r="K381" s="1135"/>
      <c r="L381" s="916"/>
      <c r="P381"/>
      <c r="Q381"/>
      <c r="R381"/>
      <c r="S381"/>
      <c r="T381"/>
      <c r="U381"/>
      <c r="V381"/>
      <c r="W381"/>
      <c r="X381"/>
    </row>
    <row r="382" spans="1:24" s="103" customFormat="1" ht="15.75" hidden="1" customHeight="1" outlineLevel="1">
      <c r="A382" s="916"/>
      <c r="B382" s="1123">
        <v>124</v>
      </c>
      <c r="C382" s="1127"/>
      <c r="D382" s="1125"/>
      <c r="E382" s="1125" t="s">
        <v>18</v>
      </c>
      <c r="F382" s="1130" t="str">
        <f>VLOOKUP(E382,$N$13:$O$17,2,0)</f>
        <v>-</v>
      </c>
      <c r="G382" s="92"/>
      <c r="H382" s="90"/>
      <c r="I382" s="1125"/>
      <c r="J382" s="1133"/>
      <c r="K382" s="1133"/>
      <c r="L382" s="916"/>
      <c r="P382"/>
      <c r="Q382"/>
      <c r="R382"/>
      <c r="S382"/>
      <c r="T382"/>
      <c r="U382"/>
      <c r="V382"/>
      <c r="W382"/>
      <c r="X382"/>
    </row>
    <row r="383" spans="1:24" s="103" customFormat="1" ht="15.75" hidden="1" customHeight="1" outlineLevel="1">
      <c r="A383" s="916"/>
      <c r="B383" s="1123"/>
      <c r="C383" s="1127"/>
      <c r="D383" s="1125"/>
      <c r="E383" s="1125"/>
      <c r="F383" s="1130"/>
      <c r="G383" s="95"/>
      <c r="H383" s="90"/>
      <c r="I383" s="1125"/>
      <c r="J383" s="1134"/>
      <c r="K383" s="1134"/>
      <c r="L383" s="916"/>
      <c r="P383"/>
      <c r="Q383"/>
      <c r="R383"/>
      <c r="S383"/>
      <c r="T383"/>
      <c r="U383"/>
      <c r="V383"/>
      <c r="W383"/>
      <c r="X383"/>
    </row>
    <row r="384" spans="1:24" s="103" customFormat="1" ht="15.75" hidden="1" customHeight="1" outlineLevel="1">
      <c r="A384" s="916"/>
      <c r="B384" s="1124"/>
      <c r="C384" s="1128"/>
      <c r="D384" s="1126"/>
      <c r="E384" s="1126"/>
      <c r="F384" s="1132"/>
      <c r="G384" s="100"/>
      <c r="H384" s="98"/>
      <c r="I384" s="1126"/>
      <c r="J384" s="1135"/>
      <c r="K384" s="1135"/>
      <c r="L384" s="916"/>
      <c r="P384"/>
      <c r="Q384"/>
      <c r="R384"/>
      <c r="S384"/>
      <c r="T384"/>
      <c r="U384"/>
      <c r="V384"/>
      <c r="W384"/>
      <c r="X384"/>
    </row>
    <row r="385" spans="1:24" s="103" customFormat="1" ht="15.75" hidden="1" customHeight="1" outlineLevel="1">
      <c r="A385" s="916"/>
      <c r="B385" s="1123">
        <v>125</v>
      </c>
      <c r="C385" s="1127"/>
      <c r="D385" s="1125"/>
      <c r="E385" s="1125" t="s">
        <v>18</v>
      </c>
      <c r="F385" s="1130" t="str">
        <f>VLOOKUP(E385,$N$13:$O$17,2,0)</f>
        <v>-</v>
      </c>
      <c r="G385" s="92"/>
      <c r="H385" s="90"/>
      <c r="I385" s="1125"/>
      <c r="J385" s="1133"/>
      <c r="K385" s="1133"/>
      <c r="L385" s="916"/>
      <c r="P385"/>
      <c r="Q385"/>
      <c r="R385"/>
      <c r="S385"/>
      <c r="T385"/>
      <c r="U385"/>
      <c r="V385"/>
      <c r="W385"/>
      <c r="X385"/>
    </row>
    <row r="386" spans="1:24" s="103" customFormat="1" ht="15.75" hidden="1" customHeight="1" outlineLevel="1">
      <c r="A386" s="916"/>
      <c r="B386" s="1123"/>
      <c r="C386" s="1127"/>
      <c r="D386" s="1125"/>
      <c r="E386" s="1125"/>
      <c r="F386" s="1130"/>
      <c r="G386" s="95"/>
      <c r="H386" s="90"/>
      <c r="I386" s="1125"/>
      <c r="J386" s="1134"/>
      <c r="K386" s="1134"/>
      <c r="L386" s="916"/>
      <c r="P386"/>
      <c r="Q386"/>
      <c r="R386"/>
      <c r="S386"/>
      <c r="T386"/>
      <c r="U386"/>
      <c r="V386"/>
      <c r="W386"/>
      <c r="X386"/>
    </row>
    <row r="387" spans="1:24" s="103" customFormat="1" ht="15.75" hidden="1" customHeight="1" outlineLevel="1">
      <c r="A387" s="916"/>
      <c r="B387" s="1124"/>
      <c r="C387" s="1128"/>
      <c r="D387" s="1126"/>
      <c r="E387" s="1126"/>
      <c r="F387" s="1132"/>
      <c r="G387" s="100"/>
      <c r="H387" s="98"/>
      <c r="I387" s="1126"/>
      <c r="J387" s="1135"/>
      <c r="K387" s="1135"/>
      <c r="L387" s="916"/>
      <c r="P387"/>
      <c r="Q387"/>
      <c r="R387"/>
      <c r="S387"/>
      <c r="T387"/>
      <c r="U387"/>
      <c r="V387"/>
      <c r="W387"/>
      <c r="X387"/>
    </row>
    <row r="388" spans="1:24" s="103" customFormat="1" ht="15.75" hidden="1" customHeight="1" outlineLevel="1">
      <c r="A388" s="916"/>
      <c r="B388" s="1123">
        <v>126</v>
      </c>
      <c r="C388" s="1127"/>
      <c r="D388" s="1125"/>
      <c r="E388" s="1125" t="s">
        <v>18</v>
      </c>
      <c r="F388" s="1130" t="str">
        <f>VLOOKUP(E388,$N$13:$O$17,2,0)</f>
        <v>-</v>
      </c>
      <c r="G388" s="92"/>
      <c r="H388" s="90"/>
      <c r="I388" s="1125"/>
      <c r="J388" s="1133"/>
      <c r="K388" s="1133"/>
      <c r="L388" s="916"/>
      <c r="P388"/>
      <c r="Q388"/>
      <c r="R388"/>
      <c r="S388"/>
      <c r="T388"/>
      <c r="U388"/>
      <c r="V388"/>
      <c r="W388"/>
      <c r="X388"/>
    </row>
    <row r="389" spans="1:24" s="103" customFormat="1" ht="15.75" hidden="1" customHeight="1" outlineLevel="1">
      <c r="A389" s="916"/>
      <c r="B389" s="1123"/>
      <c r="C389" s="1127"/>
      <c r="D389" s="1125"/>
      <c r="E389" s="1125"/>
      <c r="F389" s="1130"/>
      <c r="G389" s="95"/>
      <c r="H389" s="90"/>
      <c r="I389" s="1125"/>
      <c r="J389" s="1134"/>
      <c r="K389" s="1134"/>
      <c r="L389" s="916"/>
      <c r="P389"/>
      <c r="Q389"/>
      <c r="R389"/>
      <c r="S389"/>
      <c r="T389"/>
      <c r="U389"/>
      <c r="V389"/>
      <c r="W389"/>
      <c r="X389"/>
    </row>
    <row r="390" spans="1:24" s="103" customFormat="1" ht="15.75" hidden="1" customHeight="1" outlineLevel="1">
      <c r="A390" s="916"/>
      <c r="B390" s="1124"/>
      <c r="C390" s="1128"/>
      <c r="D390" s="1126"/>
      <c r="E390" s="1126"/>
      <c r="F390" s="1132"/>
      <c r="G390" s="100"/>
      <c r="H390" s="98"/>
      <c r="I390" s="1126"/>
      <c r="J390" s="1135"/>
      <c r="K390" s="1135"/>
      <c r="L390" s="916"/>
      <c r="P390"/>
      <c r="Q390"/>
      <c r="R390"/>
      <c r="S390"/>
      <c r="T390"/>
      <c r="U390"/>
      <c r="V390"/>
      <c r="W390"/>
      <c r="X390"/>
    </row>
    <row r="391" spans="1:24" s="103" customFormat="1" ht="15.75" hidden="1" customHeight="1" outlineLevel="1">
      <c r="A391" s="916"/>
      <c r="B391" s="1123">
        <v>127</v>
      </c>
      <c r="C391" s="1127"/>
      <c r="D391" s="1125"/>
      <c r="E391" s="1125" t="s">
        <v>18</v>
      </c>
      <c r="F391" s="1130" t="str">
        <f>VLOOKUP(E391,$N$13:$O$17,2,0)</f>
        <v>-</v>
      </c>
      <c r="G391" s="92"/>
      <c r="H391" s="90"/>
      <c r="I391" s="1125"/>
      <c r="J391" s="1133"/>
      <c r="K391" s="1133"/>
      <c r="L391" s="916"/>
      <c r="P391"/>
      <c r="Q391"/>
      <c r="R391"/>
      <c r="S391"/>
      <c r="T391"/>
      <c r="U391"/>
      <c r="V391"/>
      <c r="W391"/>
      <c r="X391"/>
    </row>
    <row r="392" spans="1:24" s="103" customFormat="1" ht="15.75" hidden="1" customHeight="1" outlineLevel="1">
      <c r="A392" s="916"/>
      <c r="B392" s="1123"/>
      <c r="C392" s="1127"/>
      <c r="D392" s="1125"/>
      <c r="E392" s="1125"/>
      <c r="F392" s="1130"/>
      <c r="G392" s="95"/>
      <c r="H392" s="90"/>
      <c r="I392" s="1125"/>
      <c r="J392" s="1134"/>
      <c r="K392" s="1134"/>
      <c r="L392" s="916"/>
      <c r="P392"/>
      <c r="Q392"/>
      <c r="R392"/>
      <c r="S392"/>
      <c r="T392"/>
      <c r="U392"/>
      <c r="V392"/>
      <c r="W392"/>
      <c r="X392"/>
    </row>
    <row r="393" spans="1:24" s="103" customFormat="1" ht="15.75" hidden="1" customHeight="1" outlineLevel="1">
      <c r="A393" s="916"/>
      <c r="B393" s="1124"/>
      <c r="C393" s="1128"/>
      <c r="D393" s="1126"/>
      <c r="E393" s="1126"/>
      <c r="F393" s="1132"/>
      <c r="G393" s="100"/>
      <c r="H393" s="98"/>
      <c r="I393" s="1126"/>
      <c r="J393" s="1135"/>
      <c r="K393" s="1135"/>
      <c r="L393" s="916"/>
      <c r="P393"/>
      <c r="Q393"/>
      <c r="R393"/>
      <c r="S393"/>
      <c r="T393"/>
      <c r="U393"/>
      <c r="V393"/>
      <c r="W393"/>
      <c r="X393"/>
    </row>
    <row r="394" spans="1:24" s="103" customFormat="1" ht="15.75" hidden="1" customHeight="1" outlineLevel="1">
      <c r="A394" s="916"/>
      <c r="B394" s="1123">
        <v>128</v>
      </c>
      <c r="C394" s="1127"/>
      <c r="D394" s="1125"/>
      <c r="E394" s="1125" t="s">
        <v>18</v>
      </c>
      <c r="F394" s="1130" t="str">
        <f>VLOOKUP(E394,$N$13:$O$17,2,0)</f>
        <v>-</v>
      </c>
      <c r="G394" s="92"/>
      <c r="H394" s="90"/>
      <c r="I394" s="1125"/>
      <c r="J394" s="1133"/>
      <c r="K394" s="1133"/>
      <c r="L394" s="916"/>
      <c r="P394"/>
      <c r="Q394"/>
      <c r="R394"/>
      <c r="S394"/>
      <c r="T394"/>
      <c r="U394"/>
      <c r="V394"/>
      <c r="W394"/>
      <c r="X394"/>
    </row>
    <row r="395" spans="1:24" s="103" customFormat="1" ht="15.75" hidden="1" customHeight="1" outlineLevel="1">
      <c r="A395" s="916"/>
      <c r="B395" s="1123"/>
      <c r="C395" s="1127"/>
      <c r="D395" s="1125"/>
      <c r="E395" s="1125"/>
      <c r="F395" s="1130"/>
      <c r="G395" s="95"/>
      <c r="H395" s="90"/>
      <c r="I395" s="1125"/>
      <c r="J395" s="1134"/>
      <c r="K395" s="1134"/>
      <c r="L395" s="916"/>
      <c r="P395"/>
      <c r="Q395"/>
      <c r="R395"/>
      <c r="S395"/>
      <c r="T395"/>
      <c r="U395"/>
      <c r="V395"/>
      <c r="W395"/>
      <c r="X395"/>
    </row>
    <row r="396" spans="1:24" s="103" customFormat="1" ht="15.75" hidden="1" customHeight="1" outlineLevel="1">
      <c r="A396" s="916"/>
      <c r="B396" s="1124"/>
      <c r="C396" s="1128"/>
      <c r="D396" s="1126"/>
      <c r="E396" s="1126"/>
      <c r="F396" s="1132"/>
      <c r="G396" s="100"/>
      <c r="H396" s="98"/>
      <c r="I396" s="1126"/>
      <c r="J396" s="1135"/>
      <c r="K396" s="1135"/>
      <c r="L396" s="916"/>
      <c r="P396"/>
      <c r="Q396"/>
      <c r="R396"/>
      <c r="S396"/>
      <c r="T396"/>
      <c r="U396"/>
      <c r="V396"/>
      <c r="W396"/>
      <c r="X396"/>
    </row>
    <row r="397" spans="1:24" s="103" customFormat="1" ht="15.75" hidden="1" customHeight="1" outlineLevel="1">
      <c r="A397" s="916"/>
      <c r="B397" s="1123">
        <v>129</v>
      </c>
      <c r="C397" s="1127"/>
      <c r="D397" s="1125"/>
      <c r="E397" s="1125" t="s">
        <v>18</v>
      </c>
      <c r="F397" s="1130" t="str">
        <f>VLOOKUP(E397,$N$13:$O$17,2,0)</f>
        <v>-</v>
      </c>
      <c r="G397" s="92"/>
      <c r="H397" s="90"/>
      <c r="I397" s="1125"/>
      <c r="J397" s="1133"/>
      <c r="K397" s="1133"/>
      <c r="L397" s="916"/>
      <c r="P397"/>
      <c r="Q397"/>
      <c r="R397"/>
      <c r="S397"/>
      <c r="T397"/>
      <c r="U397"/>
      <c r="V397"/>
      <c r="W397"/>
      <c r="X397"/>
    </row>
    <row r="398" spans="1:24" s="103" customFormat="1" ht="15.75" hidden="1" customHeight="1" outlineLevel="1">
      <c r="A398" s="916"/>
      <c r="B398" s="1123"/>
      <c r="C398" s="1127"/>
      <c r="D398" s="1125"/>
      <c r="E398" s="1125"/>
      <c r="F398" s="1130"/>
      <c r="G398" s="95"/>
      <c r="H398" s="90"/>
      <c r="I398" s="1125"/>
      <c r="J398" s="1134"/>
      <c r="K398" s="1134"/>
      <c r="L398" s="916"/>
      <c r="P398"/>
      <c r="Q398"/>
      <c r="R398"/>
      <c r="S398"/>
      <c r="T398"/>
      <c r="U398"/>
      <c r="V398"/>
      <c r="W398"/>
      <c r="X398"/>
    </row>
    <row r="399" spans="1:24" s="103" customFormat="1" ht="15.75" hidden="1" customHeight="1" outlineLevel="1">
      <c r="A399" s="916"/>
      <c r="B399" s="1124"/>
      <c r="C399" s="1128"/>
      <c r="D399" s="1126"/>
      <c r="E399" s="1126"/>
      <c r="F399" s="1132"/>
      <c r="G399" s="100"/>
      <c r="H399" s="98"/>
      <c r="I399" s="1126"/>
      <c r="J399" s="1135"/>
      <c r="K399" s="1135"/>
      <c r="L399" s="916"/>
      <c r="P399"/>
      <c r="Q399"/>
      <c r="R399"/>
      <c r="S399"/>
      <c r="T399"/>
      <c r="U399"/>
      <c r="V399"/>
      <c r="W399"/>
      <c r="X399"/>
    </row>
    <row r="400" spans="1:24" s="103" customFormat="1" ht="15.75" hidden="1" customHeight="1" outlineLevel="1">
      <c r="A400" s="916"/>
      <c r="B400" s="1123">
        <v>130</v>
      </c>
      <c r="C400" s="1127"/>
      <c r="D400" s="1125"/>
      <c r="E400" s="1125" t="s">
        <v>18</v>
      </c>
      <c r="F400" s="1130" t="str">
        <f>VLOOKUP(E400,$N$13:$O$17,2,0)</f>
        <v>-</v>
      </c>
      <c r="G400" s="92"/>
      <c r="H400" s="90"/>
      <c r="I400" s="1125"/>
      <c r="J400" s="1133"/>
      <c r="K400" s="1133"/>
      <c r="L400" s="916"/>
      <c r="P400"/>
      <c r="Q400"/>
      <c r="R400"/>
      <c r="S400"/>
      <c r="T400"/>
      <c r="U400"/>
      <c r="V400"/>
      <c r="W400"/>
      <c r="X400"/>
    </row>
    <row r="401" spans="1:24" s="103" customFormat="1" ht="15.75" hidden="1" customHeight="1" outlineLevel="1">
      <c r="A401" s="916"/>
      <c r="B401" s="1123"/>
      <c r="C401" s="1127"/>
      <c r="D401" s="1125"/>
      <c r="E401" s="1125"/>
      <c r="F401" s="1130"/>
      <c r="G401" s="95"/>
      <c r="H401" s="90"/>
      <c r="I401" s="1125"/>
      <c r="J401" s="1134"/>
      <c r="K401" s="1134"/>
      <c r="L401" s="916"/>
      <c r="P401"/>
      <c r="Q401"/>
      <c r="R401"/>
      <c r="S401"/>
      <c r="T401"/>
      <c r="U401"/>
      <c r="V401"/>
      <c r="W401"/>
      <c r="X401"/>
    </row>
    <row r="402" spans="1:24" s="103" customFormat="1" ht="15.75" hidden="1" customHeight="1" outlineLevel="1">
      <c r="A402" s="916"/>
      <c r="B402" s="1124"/>
      <c r="C402" s="1128"/>
      <c r="D402" s="1126"/>
      <c r="E402" s="1126"/>
      <c r="F402" s="1132"/>
      <c r="G402" s="100"/>
      <c r="H402" s="98"/>
      <c r="I402" s="1126"/>
      <c r="J402" s="1135"/>
      <c r="K402" s="1135"/>
      <c r="L402" s="916"/>
      <c r="P402"/>
      <c r="Q402"/>
      <c r="R402"/>
      <c r="S402"/>
      <c r="T402"/>
      <c r="U402"/>
      <c r="V402"/>
      <c r="W402"/>
      <c r="X402"/>
    </row>
    <row r="403" spans="1:24" s="103" customFormat="1" ht="15.75" hidden="1" customHeight="1" outlineLevel="1">
      <c r="A403" s="916"/>
      <c r="B403" s="1123">
        <v>131</v>
      </c>
      <c r="C403" s="1127"/>
      <c r="D403" s="1125"/>
      <c r="E403" s="1125" t="s">
        <v>18</v>
      </c>
      <c r="F403" s="1130" t="str">
        <f>VLOOKUP(E403,$N$13:$O$17,2,0)</f>
        <v>-</v>
      </c>
      <c r="G403" s="92"/>
      <c r="H403" s="90"/>
      <c r="I403" s="1125"/>
      <c r="J403" s="1133"/>
      <c r="K403" s="1133"/>
      <c r="L403" s="916"/>
      <c r="P403"/>
      <c r="Q403"/>
      <c r="R403"/>
      <c r="S403"/>
      <c r="T403"/>
      <c r="U403"/>
      <c r="V403"/>
      <c r="W403"/>
      <c r="X403"/>
    </row>
    <row r="404" spans="1:24" s="103" customFormat="1" ht="15.75" hidden="1" customHeight="1" outlineLevel="1">
      <c r="A404" s="916"/>
      <c r="B404" s="1123"/>
      <c r="C404" s="1127"/>
      <c r="D404" s="1125"/>
      <c r="E404" s="1125"/>
      <c r="F404" s="1130"/>
      <c r="G404" s="95"/>
      <c r="H404" s="90"/>
      <c r="I404" s="1125"/>
      <c r="J404" s="1134"/>
      <c r="K404" s="1134"/>
      <c r="L404" s="916"/>
      <c r="P404"/>
      <c r="Q404"/>
      <c r="R404"/>
      <c r="S404"/>
      <c r="T404"/>
      <c r="U404"/>
      <c r="V404"/>
      <c r="W404"/>
      <c r="X404"/>
    </row>
    <row r="405" spans="1:24" s="103" customFormat="1" ht="15.75" hidden="1" customHeight="1" outlineLevel="1">
      <c r="A405" s="916"/>
      <c r="B405" s="1124"/>
      <c r="C405" s="1128"/>
      <c r="D405" s="1126"/>
      <c r="E405" s="1126"/>
      <c r="F405" s="1132"/>
      <c r="G405" s="100"/>
      <c r="H405" s="98"/>
      <c r="I405" s="1126"/>
      <c r="J405" s="1135"/>
      <c r="K405" s="1135"/>
      <c r="L405" s="916"/>
      <c r="P405"/>
      <c r="Q405"/>
      <c r="R405"/>
      <c r="S405"/>
      <c r="T405"/>
      <c r="U405"/>
      <c r="V405"/>
      <c r="W405"/>
      <c r="X405"/>
    </row>
    <row r="406" spans="1:24" s="103" customFormat="1" ht="15.75" hidden="1" customHeight="1" outlineLevel="1">
      <c r="A406" s="916"/>
      <c r="B406" s="1123">
        <v>132</v>
      </c>
      <c r="C406" s="1127"/>
      <c r="D406" s="1125"/>
      <c r="E406" s="1125" t="s">
        <v>18</v>
      </c>
      <c r="F406" s="1130" t="str">
        <f>VLOOKUP(E406,$N$13:$O$17,2,0)</f>
        <v>-</v>
      </c>
      <c r="G406" s="92"/>
      <c r="H406" s="90"/>
      <c r="I406" s="1125"/>
      <c r="J406" s="1133"/>
      <c r="K406" s="1133"/>
      <c r="L406" s="916"/>
      <c r="P406"/>
      <c r="Q406"/>
      <c r="R406"/>
      <c r="S406"/>
      <c r="T406"/>
      <c r="U406"/>
      <c r="V406"/>
      <c r="W406"/>
      <c r="X406"/>
    </row>
    <row r="407" spans="1:24" s="103" customFormat="1" ht="15.75" hidden="1" customHeight="1" outlineLevel="1">
      <c r="A407" s="916"/>
      <c r="B407" s="1123"/>
      <c r="C407" s="1127"/>
      <c r="D407" s="1125"/>
      <c r="E407" s="1125"/>
      <c r="F407" s="1130"/>
      <c r="G407" s="95"/>
      <c r="H407" s="90"/>
      <c r="I407" s="1125"/>
      <c r="J407" s="1134"/>
      <c r="K407" s="1134"/>
      <c r="L407" s="916"/>
      <c r="P407"/>
      <c r="Q407"/>
      <c r="R407"/>
      <c r="S407"/>
      <c r="T407"/>
      <c r="U407"/>
      <c r="V407"/>
      <c r="W407"/>
      <c r="X407"/>
    </row>
    <row r="408" spans="1:24" s="103" customFormat="1" ht="15.75" hidden="1" customHeight="1" outlineLevel="1">
      <c r="A408" s="916"/>
      <c r="B408" s="1124"/>
      <c r="C408" s="1128"/>
      <c r="D408" s="1126"/>
      <c r="E408" s="1126"/>
      <c r="F408" s="1132"/>
      <c r="G408" s="100"/>
      <c r="H408" s="98"/>
      <c r="I408" s="1126"/>
      <c r="J408" s="1135"/>
      <c r="K408" s="1135"/>
      <c r="L408" s="916"/>
      <c r="P408"/>
      <c r="Q408"/>
      <c r="R408"/>
      <c r="S408"/>
      <c r="T408"/>
      <c r="U408"/>
      <c r="V408"/>
      <c r="W408"/>
      <c r="X408"/>
    </row>
    <row r="409" spans="1:24" s="103" customFormat="1" ht="15.75" hidden="1" customHeight="1" outlineLevel="1">
      <c r="A409" s="916"/>
      <c r="B409" s="1123">
        <v>133</v>
      </c>
      <c r="C409" s="1127"/>
      <c r="D409" s="1125"/>
      <c r="E409" s="1125" t="s">
        <v>18</v>
      </c>
      <c r="F409" s="1130" t="str">
        <f>VLOOKUP(E409,$N$13:$O$17,2,0)</f>
        <v>-</v>
      </c>
      <c r="G409" s="92"/>
      <c r="H409" s="90"/>
      <c r="I409" s="1125"/>
      <c r="J409" s="1133"/>
      <c r="K409" s="1133"/>
      <c r="L409" s="916"/>
      <c r="P409"/>
      <c r="Q409"/>
      <c r="R409"/>
      <c r="S409"/>
      <c r="T409"/>
      <c r="U409"/>
      <c r="V409"/>
      <c r="W409"/>
      <c r="X409"/>
    </row>
    <row r="410" spans="1:24" s="103" customFormat="1" ht="15.75" hidden="1" customHeight="1" outlineLevel="1">
      <c r="A410" s="916"/>
      <c r="B410" s="1123"/>
      <c r="C410" s="1127"/>
      <c r="D410" s="1125"/>
      <c r="E410" s="1125"/>
      <c r="F410" s="1130"/>
      <c r="G410" s="95"/>
      <c r="H410" s="90"/>
      <c r="I410" s="1125"/>
      <c r="J410" s="1134"/>
      <c r="K410" s="1134"/>
      <c r="L410" s="916"/>
      <c r="P410"/>
      <c r="Q410"/>
      <c r="R410"/>
      <c r="S410"/>
      <c r="T410"/>
      <c r="U410"/>
      <c r="V410"/>
      <c r="W410"/>
      <c r="X410"/>
    </row>
    <row r="411" spans="1:24" s="103" customFormat="1" ht="15.75" hidden="1" customHeight="1" outlineLevel="1">
      <c r="A411" s="916"/>
      <c r="B411" s="1124"/>
      <c r="C411" s="1128"/>
      <c r="D411" s="1126"/>
      <c r="E411" s="1126"/>
      <c r="F411" s="1132"/>
      <c r="G411" s="100"/>
      <c r="H411" s="98"/>
      <c r="I411" s="1126"/>
      <c r="J411" s="1135"/>
      <c r="K411" s="1135"/>
      <c r="L411" s="916"/>
      <c r="P411"/>
      <c r="Q411"/>
      <c r="R411"/>
      <c r="S411"/>
      <c r="T411"/>
      <c r="U411"/>
      <c r="V411"/>
      <c r="W411"/>
      <c r="X411"/>
    </row>
    <row r="412" spans="1:24" s="103" customFormat="1" ht="15.75" hidden="1" customHeight="1" outlineLevel="1">
      <c r="A412" s="916"/>
      <c r="B412" s="1123">
        <v>134</v>
      </c>
      <c r="C412" s="1127"/>
      <c r="D412" s="1125"/>
      <c r="E412" s="1125" t="s">
        <v>18</v>
      </c>
      <c r="F412" s="1130" t="str">
        <f>VLOOKUP(E412,$N$13:$O$17,2,0)</f>
        <v>-</v>
      </c>
      <c r="G412" s="92"/>
      <c r="H412" s="90"/>
      <c r="I412" s="1125"/>
      <c r="J412" s="1133"/>
      <c r="K412" s="1133"/>
      <c r="L412" s="916"/>
      <c r="P412"/>
      <c r="Q412"/>
      <c r="R412"/>
      <c r="S412"/>
      <c r="T412"/>
      <c r="U412"/>
      <c r="V412"/>
      <c r="W412"/>
      <c r="X412"/>
    </row>
    <row r="413" spans="1:24" s="103" customFormat="1" ht="15.75" hidden="1" customHeight="1" outlineLevel="1">
      <c r="A413" s="916"/>
      <c r="B413" s="1123"/>
      <c r="C413" s="1127"/>
      <c r="D413" s="1125"/>
      <c r="E413" s="1125"/>
      <c r="F413" s="1130"/>
      <c r="G413" s="95"/>
      <c r="H413" s="90"/>
      <c r="I413" s="1125"/>
      <c r="J413" s="1134"/>
      <c r="K413" s="1134"/>
      <c r="L413" s="916"/>
      <c r="P413"/>
      <c r="Q413"/>
      <c r="R413"/>
      <c r="S413"/>
      <c r="T413"/>
      <c r="U413"/>
      <c r="V413"/>
      <c r="W413"/>
      <c r="X413"/>
    </row>
    <row r="414" spans="1:24" s="103" customFormat="1" ht="15.75" hidden="1" customHeight="1" outlineLevel="1">
      <c r="A414" s="916"/>
      <c r="B414" s="1124"/>
      <c r="C414" s="1128"/>
      <c r="D414" s="1126"/>
      <c r="E414" s="1126"/>
      <c r="F414" s="1132"/>
      <c r="G414" s="100"/>
      <c r="H414" s="98"/>
      <c r="I414" s="1126"/>
      <c r="J414" s="1135"/>
      <c r="K414" s="1135"/>
      <c r="L414" s="916"/>
      <c r="P414"/>
      <c r="Q414"/>
      <c r="R414"/>
      <c r="S414"/>
      <c r="T414"/>
      <c r="U414"/>
      <c r="V414"/>
      <c r="W414"/>
      <c r="X414"/>
    </row>
    <row r="415" spans="1:24" s="103" customFormat="1" ht="15.75" hidden="1" customHeight="1" outlineLevel="1">
      <c r="A415" s="916"/>
      <c r="B415" s="1123">
        <v>135</v>
      </c>
      <c r="C415" s="1127"/>
      <c r="D415" s="1125"/>
      <c r="E415" s="1125" t="s">
        <v>18</v>
      </c>
      <c r="F415" s="1130" t="str">
        <f>VLOOKUP(E415,$N$13:$O$17,2,0)</f>
        <v>-</v>
      </c>
      <c r="G415" s="92"/>
      <c r="H415" s="90"/>
      <c r="I415" s="1125"/>
      <c r="J415" s="1133"/>
      <c r="K415" s="1133"/>
      <c r="L415" s="916"/>
      <c r="P415"/>
      <c r="Q415"/>
      <c r="R415"/>
      <c r="S415"/>
      <c r="T415"/>
      <c r="U415"/>
      <c r="V415"/>
      <c r="W415"/>
      <c r="X415"/>
    </row>
    <row r="416" spans="1:24" s="103" customFormat="1" ht="15.75" hidden="1" customHeight="1" outlineLevel="1">
      <c r="A416" s="916"/>
      <c r="B416" s="1123"/>
      <c r="C416" s="1127"/>
      <c r="D416" s="1125"/>
      <c r="E416" s="1125"/>
      <c r="F416" s="1130"/>
      <c r="G416" s="95"/>
      <c r="H416" s="90"/>
      <c r="I416" s="1125"/>
      <c r="J416" s="1134"/>
      <c r="K416" s="1134"/>
      <c r="L416" s="916"/>
      <c r="P416"/>
      <c r="Q416"/>
      <c r="R416"/>
      <c r="S416"/>
      <c r="T416"/>
      <c r="U416"/>
      <c r="V416"/>
      <c r="W416"/>
      <c r="X416"/>
    </row>
    <row r="417" spans="1:24" s="103" customFormat="1" ht="15.75" hidden="1" customHeight="1" outlineLevel="1">
      <c r="A417" s="916"/>
      <c r="B417" s="1124"/>
      <c r="C417" s="1128"/>
      <c r="D417" s="1126"/>
      <c r="E417" s="1126"/>
      <c r="F417" s="1132"/>
      <c r="G417" s="100"/>
      <c r="H417" s="98"/>
      <c r="I417" s="1126"/>
      <c r="J417" s="1135"/>
      <c r="K417" s="1135"/>
      <c r="L417" s="916"/>
      <c r="P417"/>
      <c r="Q417"/>
      <c r="R417"/>
      <c r="S417"/>
      <c r="T417"/>
      <c r="U417"/>
      <c r="V417"/>
      <c r="W417"/>
      <c r="X417"/>
    </row>
    <row r="418" spans="1:24" s="103" customFormat="1" ht="15.75" hidden="1" customHeight="1" outlineLevel="1">
      <c r="A418" s="916"/>
      <c r="B418" s="1123">
        <v>136</v>
      </c>
      <c r="C418" s="1127"/>
      <c r="D418" s="1125"/>
      <c r="E418" s="1125" t="s">
        <v>18</v>
      </c>
      <c r="F418" s="1130" t="str">
        <f>VLOOKUP(E418,$N$13:$O$17,2,0)</f>
        <v>-</v>
      </c>
      <c r="G418" s="92"/>
      <c r="H418" s="90"/>
      <c r="I418" s="1125"/>
      <c r="J418" s="1133"/>
      <c r="K418" s="1133"/>
      <c r="L418" s="916"/>
      <c r="P418"/>
      <c r="Q418"/>
      <c r="R418"/>
      <c r="S418"/>
      <c r="T418"/>
      <c r="U418"/>
      <c r="V418"/>
      <c r="W418"/>
      <c r="X418"/>
    </row>
    <row r="419" spans="1:24" s="103" customFormat="1" ht="15.75" hidden="1" customHeight="1" outlineLevel="1">
      <c r="A419" s="916"/>
      <c r="B419" s="1123"/>
      <c r="C419" s="1127"/>
      <c r="D419" s="1125"/>
      <c r="E419" s="1125"/>
      <c r="F419" s="1130"/>
      <c r="G419" s="95"/>
      <c r="H419" s="90"/>
      <c r="I419" s="1125"/>
      <c r="J419" s="1134"/>
      <c r="K419" s="1134"/>
      <c r="L419" s="916"/>
      <c r="P419"/>
      <c r="Q419"/>
      <c r="R419"/>
      <c r="S419"/>
      <c r="T419"/>
      <c r="U419"/>
      <c r="V419"/>
      <c r="W419"/>
      <c r="X419"/>
    </row>
    <row r="420" spans="1:24" s="103" customFormat="1" ht="15.75" hidden="1" customHeight="1" outlineLevel="1">
      <c r="A420" s="916"/>
      <c r="B420" s="1124"/>
      <c r="C420" s="1128"/>
      <c r="D420" s="1126"/>
      <c r="E420" s="1126"/>
      <c r="F420" s="1132"/>
      <c r="G420" s="100"/>
      <c r="H420" s="98"/>
      <c r="I420" s="1126"/>
      <c r="J420" s="1135"/>
      <c r="K420" s="1135"/>
      <c r="L420" s="916"/>
      <c r="P420"/>
      <c r="Q420"/>
      <c r="R420"/>
      <c r="S420"/>
      <c r="T420"/>
      <c r="U420"/>
      <c r="V420"/>
      <c r="W420"/>
      <c r="X420"/>
    </row>
    <row r="421" spans="1:24" s="103" customFormat="1" ht="15.75" hidden="1" customHeight="1" outlineLevel="1">
      <c r="A421" s="916"/>
      <c r="B421" s="1123">
        <v>137</v>
      </c>
      <c r="C421" s="1127"/>
      <c r="D421" s="1125"/>
      <c r="E421" s="1125" t="s">
        <v>18</v>
      </c>
      <c r="F421" s="1130" t="str">
        <f>VLOOKUP(E421,$N$13:$O$17,2,0)</f>
        <v>-</v>
      </c>
      <c r="G421" s="92"/>
      <c r="H421" s="90"/>
      <c r="I421" s="1125"/>
      <c r="J421" s="1133"/>
      <c r="K421" s="1133"/>
      <c r="L421" s="916"/>
      <c r="P421"/>
      <c r="Q421"/>
      <c r="R421"/>
      <c r="S421"/>
      <c r="T421"/>
      <c r="U421"/>
      <c r="V421"/>
      <c r="W421"/>
      <c r="X421"/>
    </row>
    <row r="422" spans="1:24" s="103" customFormat="1" ht="15.75" hidden="1" customHeight="1" outlineLevel="1">
      <c r="A422" s="916"/>
      <c r="B422" s="1123"/>
      <c r="C422" s="1127"/>
      <c r="D422" s="1125"/>
      <c r="E422" s="1125"/>
      <c r="F422" s="1130"/>
      <c r="G422" s="95"/>
      <c r="H422" s="90"/>
      <c r="I422" s="1125"/>
      <c r="J422" s="1134"/>
      <c r="K422" s="1134"/>
      <c r="L422" s="916"/>
      <c r="P422"/>
      <c r="Q422"/>
      <c r="R422"/>
      <c r="S422"/>
      <c r="T422"/>
      <c r="U422"/>
      <c r="V422"/>
      <c r="W422"/>
      <c r="X422"/>
    </row>
    <row r="423" spans="1:24" s="103" customFormat="1" ht="15.75" hidden="1" customHeight="1" outlineLevel="1">
      <c r="A423" s="916"/>
      <c r="B423" s="1124"/>
      <c r="C423" s="1128"/>
      <c r="D423" s="1126"/>
      <c r="E423" s="1126"/>
      <c r="F423" s="1132"/>
      <c r="G423" s="100"/>
      <c r="H423" s="98"/>
      <c r="I423" s="1126"/>
      <c r="J423" s="1135"/>
      <c r="K423" s="1135"/>
      <c r="L423" s="916"/>
      <c r="P423"/>
      <c r="Q423"/>
      <c r="R423"/>
      <c r="S423"/>
      <c r="T423"/>
      <c r="U423"/>
      <c r="V423"/>
      <c r="W423"/>
      <c r="X423"/>
    </row>
    <row r="424" spans="1:24" s="103" customFormat="1" ht="15.75" hidden="1" customHeight="1" outlineLevel="1">
      <c r="A424" s="916"/>
      <c r="B424" s="1123">
        <v>138</v>
      </c>
      <c r="C424" s="1127"/>
      <c r="D424" s="1125"/>
      <c r="E424" s="1125" t="s">
        <v>18</v>
      </c>
      <c r="F424" s="1130" t="str">
        <f>VLOOKUP(E424,$N$13:$O$17,2,0)</f>
        <v>-</v>
      </c>
      <c r="G424" s="92"/>
      <c r="H424" s="90"/>
      <c r="I424" s="1125"/>
      <c r="J424" s="1133"/>
      <c r="K424" s="1133"/>
      <c r="L424" s="916"/>
      <c r="P424"/>
      <c r="Q424"/>
      <c r="R424"/>
      <c r="S424"/>
      <c r="T424"/>
      <c r="U424"/>
      <c r="V424"/>
      <c r="W424"/>
      <c r="X424"/>
    </row>
    <row r="425" spans="1:24" s="103" customFormat="1" ht="15.75" hidden="1" customHeight="1" outlineLevel="1">
      <c r="A425" s="916"/>
      <c r="B425" s="1123"/>
      <c r="C425" s="1127"/>
      <c r="D425" s="1125"/>
      <c r="E425" s="1125"/>
      <c r="F425" s="1130"/>
      <c r="G425" s="95"/>
      <c r="H425" s="90"/>
      <c r="I425" s="1125"/>
      <c r="J425" s="1134"/>
      <c r="K425" s="1134"/>
      <c r="L425" s="916"/>
      <c r="P425"/>
      <c r="Q425"/>
      <c r="R425"/>
      <c r="S425"/>
      <c r="T425"/>
      <c r="U425"/>
      <c r="V425"/>
      <c r="W425"/>
      <c r="X425"/>
    </row>
    <row r="426" spans="1:24" s="103" customFormat="1" ht="15.75" hidden="1" customHeight="1" outlineLevel="1">
      <c r="A426" s="916"/>
      <c r="B426" s="1124"/>
      <c r="C426" s="1128"/>
      <c r="D426" s="1126"/>
      <c r="E426" s="1126"/>
      <c r="F426" s="1132"/>
      <c r="G426" s="100"/>
      <c r="H426" s="98"/>
      <c r="I426" s="1126"/>
      <c r="J426" s="1135"/>
      <c r="K426" s="1135"/>
      <c r="L426" s="916"/>
      <c r="P426"/>
      <c r="Q426"/>
      <c r="R426"/>
      <c r="S426"/>
      <c r="T426"/>
      <c r="U426"/>
      <c r="V426"/>
      <c r="W426"/>
      <c r="X426"/>
    </row>
    <row r="427" spans="1:24" s="103" customFormat="1" ht="15.75" hidden="1" customHeight="1" outlineLevel="1">
      <c r="A427" s="916"/>
      <c r="B427" s="1123">
        <v>139</v>
      </c>
      <c r="C427" s="1127"/>
      <c r="D427" s="1125"/>
      <c r="E427" s="1125" t="s">
        <v>18</v>
      </c>
      <c r="F427" s="1130" t="str">
        <f>VLOOKUP(E427,$N$13:$O$17,2,0)</f>
        <v>-</v>
      </c>
      <c r="G427" s="92"/>
      <c r="H427" s="90"/>
      <c r="I427" s="1125"/>
      <c r="J427" s="1133"/>
      <c r="K427" s="1133"/>
      <c r="L427" s="916"/>
      <c r="P427"/>
      <c r="Q427"/>
      <c r="R427"/>
      <c r="S427"/>
      <c r="T427"/>
      <c r="U427"/>
      <c r="V427"/>
      <c r="W427"/>
      <c r="X427"/>
    </row>
    <row r="428" spans="1:24" s="103" customFormat="1" ht="15.75" hidden="1" customHeight="1" outlineLevel="1">
      <c r="A428" s="916"/>
      <c r="B428" s="1123"/>
      <c r="C428" s="1127"/>
      <c r="D428" s="1125"/>
      <c r="E428" s="1125"/>
      <c r="F428" s="1130"/>
      <c r="G428" s="95"/>
      <c r="H428" s="90"/>
      <c r="I428" s="1125"/>
      <c r="J428" s="1134"/>
      <c r="K428" s="1134"/>
      <c r="L428" s="916"/>
      <c r="P428"/>
      <c r="Q428"/>
      <c r="R428"/>
      <c r="S428"/>
      <c r="T428"/>
      <c r="U428"/>
      <c r="V428"/>
      <c r="W428"/>
      <c r="X428"/>
    </row>
    <row r="429" spans="1:24" s="103" customFormat="1" ht="15.75" hidden="1" customHeight="1" outlineLevel="1">
      <c r="A429" s="916"/>
      <c r="B429" s="1124"/>
      <c r="C429" s="1128"/>
      <c r="D429" s="1126"/>
      <c r="E429" s="1126"/>
      <c r="F429" s="1132"/>
      <c r="G429" s="100"/>
      <c r="H429" s="98"/>
      <c r="I429" s="1126"/>
      <c r="J429" s="1135"/>
      <c r="K429" s="1135"/>
      <c r="L429" s="916"/>
      <c r="P429"/>
      <c r="Q429"/>
      <c r="R429"/>
      <c r="S429"/>
      <c r="T429"/>
      <c r="U429"/>
      <c r="V429"/>
      <c r="W429"/>
      <c r="X429"/>
    </row>
    <row r="430" spans="1:24" s="103" customFormat="1" ht="15.75" hidden="1" customHeight="1" outlineLevel="1">
      <c r="A430" s="916"/>
      <c r="B430" s="1123">
        <v>140</v>
      </c>
      <c r="C430" s="1127"/>
      <c r="D430" s="1125"/>
      <c r="E430" s="1125" t="s">
        <v>18</v>
      </c>
      <c r="F430" s="1130" t="str">
        <f>VLOOKUP(E430,$N$13:$O$17,2,0)</f>
        <v>-</v>
      </c>
      <c r="G430" s="92"/>
      <c r="H430" s="90"/>
      <c r="I430" s="1125"/>
      <c r="J430" s="1133"/>
      <c r="K430" s="1133"/>
      <c r="L430" s="916"/>
      <c r="P430"/>
      <c r="Q430"/>
      <c r="R430"/>
      <c r="S430"/>
      <c r="T430"/>
      <c r="U430"/>
      <c r="V430"/>
      <c r="W430"/>
      <c r="X430"/>
    </row>
    <row r="431" spans="1:24" s="103" customFormat="1" ht="15.75" hidden="1" customHeight="1" outlineLevel="1">
      <c r="A431" s="916"/>
      <c r="B431" s="1123"/>
      <c r="C431" s="1127"/>
      <c r="D431" s="1125"/>
      <c r="E431" s="1125"/>
      <c r="F431" s="1130"/>
      <c r="G431" s="95"/>
      <c r="H431" s="90"/>
      <c r="I431" s="1125"/>
      <c r="J431" s="1134"/>
      <c r="K431" s="1134"/>
      <c r="L431" s="916"/>
      <c r="P431"/>
      <c r="Q431"/>
      <c r="R431"/>
      <c r="S431"/>
      <c r="T431"/>
      <c r="U431"/>
      <c r="V431"/>
      <c r="W431"/>
      <c r="X431"/>
    </row>
    <row r="432" spans="1:24" s="103" customFormat="1" ht="15.75" hidden="1" customHeight="1" outlineLevel="1">
      <c r="A432" s="916"/>
      <c r="B432" s="1124"/>
      <c r="C432" s="1128"/>
      <c r="D432" s="1126"/>
      <c r="E432" s="1126"/>
      <c r="F432" s="1132"/>
      <c r="G432" s="100"/>
      <c r="H432" s="98"/>
      <c r="I432" s="1126"/>
      <c r="J432" s="1135"/>
      <c r="K432" s="1135"/>
      <c r="L432" s="916"/>
      <c r="P432"/>
      <c r="Q432"/>
      <c r="R432"/>
      <c r="S432"/>
      <c r="T432"/>
      <c r="U432"/>
      <c r="V432"/>
      <c r="W432"/>
      <c r="X432"/>
    </row>
    <row r="433" spans="1:24" s="103" customFormat="1" ht="15.75" hidden="1" customHeight="1" outlineLevel="1">
      <c r="A433" s="916"/>
      <c r="B433" s="1123">
        <v>141</v>
      </c>
      <c r="C433" s="1127"/>
      <c r="D433" s="1125"/>
      <c r="E433" s="1125" t="s">
        <v>18</v>
      </c>
      <c r="F433" s="1130" t="str">
        <f>VLOOKUP(E433,$N$13:$O$17,2,0)</f>
        <v>-</v>
      </c>
      <c r="G433" s="92"/>
      <c r="H433" s="90"/>
      <c r="I433" s="1125"/>
      <c r="J433" s="1133"/>
      <c r="K433" s="1133"/>
      <c r="L433" s="916"/>
      <c r="P433"/>
      <c r="Q433"/>
      <c r="R433"/>
      <c r="S433"/>
      <c r="T433"/>
      <c r="U433"/>
      <c r="V433"/>
      <c r="W433"/>
      <c r="X433"/>
    </row>
    <row r="434" spans="1:24" s="103" customFormat="1" ht="15.75" hidden="1" customHeight="1" outlineLevel="1">
      <c r="A434" s="916"/>
      <c r="B434" s="1123"/>
      <c r="C434" s="1127"/>
      <c r="D434" s="1125"/>
      <c r="E434" s="1125"/>
      <c r="F434" s="1130"/>
      <c r="G434" s="95"/>
      <c r="H434" s="90"/>
      <c r="I434" s="1125"/>
      <c r="J434" s="1134"/>
      <c r="K434" s="1134"/>
      <c r="L434" s="916"/>
      <c r="P434"/>
      <c r="Q434"/>
      <c r="R434"/>
      <c r="S434"/>
      <c r="T434"/>
      <c r="U434"/>
      <c r="V434"/>
      <c r="W434"/>
      <c r="X434"/>
    </row>
    <row r="435" spans="1:24" s="103" customFormat="1" ht="15.75" hidden="1" customHeight="1" outlineLevel="1">
      <c r="A435" s="916"/>
      <c r="B435" s="1124"/>
      <c r="C435" s="1128"/>
      <c r="D435" s="1126"/>
      <c r="E435" s="1126"/>
      <c r="F435" s="1132"/>
      <c r="G435" s="100"/>
      <c r="H435" s="98"/>
      <c r="I435" s="1126"/>
      <c r="J435" s="1135"/>
      <c r="K435" s="1135"/>
      <c r="L435" s="916"/>
      <c r="P435"/>
      <c r="Q435"/>
      <c r="R435"/>
      <c r="S435"/>
      <c r="T435"/>
      <c r="U435"/>
      <c r="V435"/>
      <c r="W435"/>
      <c r="X435"/>
    </row>
    <row r="436" spans="1:24" s="103" customFormat="1" ht="15.75" hidden="1" customHeight="1" outlineLevel="1">
      <c r="A436" s="916"/>
      <c r="B436" s="1123">
        <v>142</v>
      </c>
      <c r="C436" s="1127"/>
      <c r="D436" s="1125"/>
      <c r="E436" s="1125" t="s">
        <v>18</v>
      </c>
      <c r="F436" s="1130" t="str">
        <f>VLOOKUP(E436,$N$13:$O$17,2,0)</f>
        <v>-</v>
      </c>
      <c r="G436" s="92"/>
      <c r="H436" s="90"/>
      <c r="I436" s="1125"/>
      <c r="J436" s="1133"/>
      <c r="K436" s="1133"/>
      <c r="L436" s="916"/>
      <c r="P436"/>
      <c r="Q436"/>
      <c r="R436"/>
      <c r="S436"/>
      <c r="T436"/>
      <c r="U436"/>
      <c r="V436"/>
      <c r="W436"/>
      <c r="X436"/>
    </row>
    <row r="437" spans="1:24" s="103" customFormat="1" ht="15.75" hidden="1" customHeight="1" outlineLevel="1">
      <c r="A437" s="916"/>
      <c r="B437" s="1123"/>
      <c r="C437" s="1127"/>
      <c r="D437" s="1125"/>
      <c r="E437" s="1125"/>
      <c r="F437" s="1130"/>
      <c r="G437" s="95"/>
      <c r="H437" s="90"/>
      <c r="I437" s="1125"/>
      <c r="J437" s="1134"/>
      <c r="K437" s="1134"/>
      <c r="L437" s="916"/>
      <c r="P437"/>
      <c r="Q437"/>
      <c r="R437"/>
      <c r="S437"/>
      <c r="T437"/>
      <c r="U437"/>
      <c r="V437"/>
      <c r="W437"/>
      <c r="X437"/>
    </row>
    <row r="438" spans="1:24" s="103" customFormat="1" ht="15.75" hidden="1" customHeight="1" outlineLevel="1">
      <c r="A438" s="916"/>
      <c r="B438" s="1124"/>
      <c r="C438" s="1128"/>
      <c r="D438" s="1126"/>
      <c r="E438" s="1126"/>
      <c r="F438" s="1132"/>
      <c r="G438" s="100"/>
      <c r="H438" s="98"/>
      <c r="I438" s="1126"/>
      <c r="J438" s="1135"/>
      <c r="K438" s="1135"/>
      <c r="L438" s="916"/>
      <c r="P438"/>
      <c r="Q438"/>
      <c r="R438"/>
      <c r="S438"/>
      <c r="T438"/>
      <c r="U438"/>
      <c r="V438"/>
      <c r="W438"/>
      <c r="X438"/>
    </row>
    <row r="439" spans="1:24" s="103" customFormat="1" ht="15.75" hidden="1" customHeight="1" outlineLevel="1">
      <c r="A439" s="916"/>
      <c r="B439" s="1123">
        <v>143</v>
      </c>
      <c r="C439" s="1127"/>
      <c r="D439" s="1125"/>
      <c r="E439" s="1125" t="s">
        <v>18</v>
      </c>
      <c r="F439" s="1130" t="str">
        <f>VLOOKUP(E439,$N$13:$O$17,2,0)</f>
        <v>-</v>
      </c>
      <c r="G439" s="92"/>
      <c r="H439" s="90"/>
      <c r="I439" s="1125"/>
      <c r="J439" s="1133"/>
      <c r="K439" s="1133"/>
      <c r="L439" s="916"/>
      <c r="P439"/>
      <c r="Q439"/>
      <c r="R439"/>
      <c r="S439"/>
      <c r="T439"/>
      <c r="U439"/>
      <c r="V439"/>
      <c r="W439"/>
      <c r="X439"/>
    </row>
    <row r="440" spans="1:24" s="103" customFormat="1" ht="15.75" hidden="1" customHeight="1" outlineLevel="1">
      <c r="A440" s="916"/>
      <c r="B440" s="1123"/>
      <c r="C440" s="1127"/>
      <c r="D440" s="1125"/>
      <c r="E440" s="1125"/>
      <c r="F440" s="1130"/>
      <c r="G440" s="95"/>
      <c r="H440" s="90"/>
      <c r="I440" s="1125"/>
      <c r="J440" s="1134"/>
      <c r="K440" s="1134"/>
      <c r="L440" s="916"/>
      <c r="P440"/>
      <c r="Q440"/>
      <c r="R440"/>
      <c r="S440"/>
      <c r="T440"/>
      <c r="U440"/>
      <c r="V440"/>
      <c r="W440"/>
      <c r="X440"/>
    </row>
    <row r="441" spans="1:24" s="103" customFormat="1" ht="15.75" hidden="1" customHeight="1" outlineLevel="1">
      <c r="A441" s="916"/>
      <c r="B441" s="1124"/>
      <c r="C441" s="1128"/>
      <c r="D441" s="1126"/>
      <c r="E441" s="1126"/>
      <c r="F441" s="1132"/>
      <c r="G441" s="100"/>
      <c r="H441" s="98"/>
      <c r="I441" s="1126"/>
      <c r="J441" s="1135"/>
      <c r="K441" s="1135"/>
      <c r="L441" s="916"/>
      <c r="P441"/>
      <c r="Q441"/>
      <c r="R441"/>
      <c r="S441"/>
      <c r="T441"/>
      <c r="U441"/>
      <c r="V441"/>
      <c r="W441"/>
      <c r="X441"/>
    </row>
    <row r="442" spans="1:24" s="103" customFormat="1" ht="15.75" hidden="1" customHeight="1" outlineLevel="1">
      <c r="A442" s="916"/>
      <c r="B442" s="1123">
        <v>144</v>
      </c>
      <c r="C442" s="1127"/>
      <c r="D442" s="1125"/>
      <c r="E442" s="1125" t="s">
        <v>18</v>
      </c>
      <c r="F442" s="1130" t="str">
        <f>VLOOKUP(E442,$N$13:$O$17,2,0)</f>
        <v>-</v>
      </c>
      <c r="G442" s="92"/>
      <c r="H442" s="90"/>
      <c r="I442" s="1125"/>
      <c r="J442" s="1133"/>
      <c r="K442" s="1133"/>
      <c r="L442" s="916"/>
      <c r="P442"/>
      <c r="Q442"/>
      <c r="R442"/>
      <c r="S442"/>
      <c r="T442"/>
      <c r="U442"/>
      <c r="V442"/>
      <c r="W442"/>
      <c r="X442"/>
    </row>
    <row r="443" spans="1:24" s="103" customFormat="1" ht="15.75" hidden="1" customHeight="1" outlineLevel="1">
      <c r="A443" s="916"/>
      <c r="B443" s="1123"/>
      <c r="C443" s="1127"/>
      <c r="D443" s="1125"/>
      <c r="E443" s="1125"/>
      <c r="F443" s="1130"/>
      <c r="G443" s="95"/>
      <c r="H443" s="90"/>
      <c r="I443" s="1125"/>
      <c r="J443" s="1134"/>
      <c r="K443" s="1134"/>
      <c r="L443" s="916"/>
      <c r="P443"/>
      <c r="Q443"/>
      <c r="R443"/>
      <c r="S443"/>
      <c r="T443"/>
      <c r="U443"/>
      <c r="V443"/>
      <c r="W443"/>
      <c r="X443"/>
    </row>
    <row r="444" spans="1:24" s="103" customFormat="1" ht="15.75" hidden="1" customHeight="1" outlineLevel="1">
      <c r="A444" s="916"/>
      <c r="B444" s="1124"/>
      <c r="C444" s="1128"/>
      <c r="D444" s="1126"/>
      <c r="E444" s="1126"/>
      <c r="F444" s="1132"/>
      <c r="G444" s="100"/>
      <c r="H444" s="98"/>
      <c r="I444" s="1126"/>
      <c r="J444" s="1135"/>
      <c r="K444" s="1135"/>
      <c r="L444" s="916"/>
      <c r="P444"/>
      <c r="Q444"/>
      <c r="R444"/>
      <c r="S444"/>
      <c r="T444"/>
      <c r="U444"/>
      <c r="V444"/>
      <c r="W444"/>
      <c r="X444"/>
    </row>
    <row r="445" spans="1:24" s="103" customFormat="1" ht="15.75" hidden="1" customHeight="1" outlineLevel="1">
      <c r="A445" s="916"/>
      <c r="B445" s="1123">
        <v>145</v>
      </c>
      <c r="C445" s="1127"/>
      <c r="D445" s="1125"/>
      <c r="E445" s="1125" t="s">
        <v>18</v>
      </c>
      <c r="F445" s="1130" t="str">
        <f>VLOOKUP(E445,$N$13:$O$17,2,0)</f>
        <v>-</v>
      </c>
      <c r="G445" s="92"/>
      <c r="H445" s="90"/>
      <c r="I445" s="1125"/>
      <c r="J445" s="1133"/>
      <c r="K445" s="1133"/>
      <c r="L445" s="916"/>
      <c r="P445"/>
      <c r="Q445"/>
      <c r="R445"/>
      <c r="S445"/>
      <c r="T445"/>
      <c r="U445"/>
      <c r="V445"/>
      <c r="W445"/>
      <c r="X445"/>
    </row>
    <row r="446" spans="1:24" s="103" customFormat="1" ht="15.75" hidden="1" customHeight="1" outlineLevel="1">
      <c r="A446" s="916"/>
      <c r="B446" s="1123"/>
      <c r="C446" s="1127"/>
      <c r="D446" s="1125"/>
      <c r="E446" s="1125"/>
      <c r="F446" s="1130"/>
      <c r="G446" s="95"/>
      <c r="H446" s="90"/>
      <c r="I446" s="1125"/>
      <c r="J446" s="1134"/>
      <c r="K446" s="1134"/>
      <c r="L446" s="916"/>
      <c r="P446"/>
      <c r="Q446"/>
      <c r="R446"/>
      <c r="S446"/>
      <c r="T446"/>
      <c r="U446"/>
      <c r="V446"/>
      <c r="W446"/>
      <c r="X446"/>
    </row>
    <row r="447" spans="1:24" s="103" customFormat="1" ht="15.75" hidden="1" customHeight="1" outlineLevel="1">
      <c r="A447" s="916"/>
      <c r="B447" s="1124"/>
      <c r="C447" s="1128"/>
      <c r="D447" s="1126"/>
      <c r="E447" s="1126"/>
      <c r="F447" s="1132"/>
      <c r="G447" s="100"/>
      <c r="H447" s="98"/>
      <c r="I447" s="1126"/>
      <c r="J447" s="1135"/>
      <c r="K447" s="1135"/>
      <c r="L447" s="916"/>
      <c r="P447"/>
      <c r="Q447"/>
      <c r="R447"/>
      <c r="S447"/>
      <c r="T447"/>
      <c r="U447"/>
      <c r="V447"/>
      <c r="W447"/>
      <c r="X447"/>
    </row>
    <row r="448" spans="1:24" s="103" customFormat="1" ht="15.75" hidden="1" customHeight="1" outlineLevel="1">
      <c r="A448" s="916"/>
      <c r="B448" s="1123">
        <v>146</v>
      </c>
      <c r="C448" s="1127"/>
      <c r="D448" s="1125"/>
      <c r="E448" s="1125" t="s">
        <v>18</v>
      </c>
      <c r="F448" s="1130" t="str">
        <f>VLOOKUP(E448,$N$13:$O$17,2,0)</f>
        <v>-</v>
      </c>
      <c r="G448" s="92"/>
      <c r="H448" s="90"/>
      <c r="I448" s="1125"/>
      <c r="J448" s="1133"/>
      <c r="K448" s="1133"/>
      <c r="L448" s="916"/>
      <c r="P448"/>
      <c r="Q448"/>
      <c r="R448"/>
      <c r="S448"/>
      <c r="T448"/>
      <c r="U448"/>
      <c r="V448"/>
      <c r="W448"/>
      <c r="X448"/>
    </row>
    <row r="449" spans="1:24" s="103" customFormat="1" ht="15.75" hidden="1" customHeight="1" outlineLevel="1">
      <c r="A449" s="916"/>
      <c r="B449" s="1123"/>
      <c r="C449" s="1127"/>
      <c r="D449" s="1125"/>
      <c r="E449" s="1125"/>
      <c r="F449" s="1130"/>
      <c r="G449" s="95"/>
      <c r="H449" s="90"/>
      <c r="I449" s="1125"/>
      <c r="J449" s="1134"/>
      <c r="K449" s="1134"/>
      <c r="L449" s="916"/>
      <c r="P449"/>
      <c r="Q449"/>
      <c r="R449"/>
      <c r="S449"/>
      <c r="T449"/>
      <c r="U449"/>
      <c r="V449"/>
      <c r="W449"/>
      <c r="X449"/>
    </row>
    <row r="450" spans="1:24" s="103" customFormat="1" ht="15.75" hidden="1" customHeight="1" outlineLevel="1">
      <c r="A450" s="916"/>
      <c r="B450" s="1124"/>
      <c r="C450" s="1128"/>
      <c r="D450" s="1126"/>
      <c r="E450" s="1126"/>
      <c r="F450" s="1132"/>
      <c r="G450" s="100"/>
      <c r="H450" s="98"/>
      <c r="I450" s="1126"/>
      <c r="J450" s="1135"/>
      <c r="K450" s="1135"/>
      <c r="L450" s="916"/>
      <c r="P450"/>
      <c r="Q450"/>
      <c r="R450"/>
      <c r="S450"/>
      <c r="T450"/>
      <c r="U450"/>
      <c r="V450"/>
      <c r="W450"/>
      <c r="X450"/>
    </row>
    <row r="451" spans="1:24" s="103" customFormat="1" ht="15.75" hidden="1" customHeight="1" outlineLevel="1">
      <c r="A451" s="916"/>
      <c r="B451" s="1123">
        <v>147</v>
      </c>
      <c r="C451" s="1127"/>
      <c r="D451" s="1125"/>
      <c r="E451" s="1125" t="s">
        <v>18</v>
      </c>
      <c r="F451" s="1130" t="str">
        <f>VLOOKUP(E451,$N$13:$O$17,2,0)</f>
        <v>-</v>
      </c>
      <c r="G451" s="92"/>
      <c r="H451" s="90"/>
      <c r="I451" s="1125"/>
      <c r="J451" s="1133"/>
      <c r="K451" s="1133"/>
      <c r="L451" s="916"/>
      <c r="P451"/>
      <c r="Q451"/>
      <c r="R451"/>
      <c r="S451"/>
      <c r="T451"/>
      <c r="U451"/>
      <c r="V451"/>
      <c r="W451"/>
      <c r="X451"/>
    </row>
    <row r="452" spans="1:24" s="103" customFormat="1" ht="15.75" hidden="1" customHeight="1" outlineLevel="1">
      <c r="A452" s="916"/>
      <c r="B452" s="1123"/>
      <c r="C452" s="1127"/>
      <c r="D452" s="1125"/>
      <c r="E452" s="1125"/>
      <c r="F452" s="1130"/>
      <c r="G452" s="95"/>
      <c r="H452" s="90"/>
      <c r="I452" s="1125"/>
      <c r="J452" s="1134"/>
      <c r="K452" s="1134"/>
      <c r="L452" s="916"/>
      <c r="P452"/>
      <c r="Q452"/>
      <c r="R452"/>
      <c r="S452"/>
      <c r="T452"/>
      <c r="U452"/>
      <c r="V452"/>
      <c r="W452"/>
      <c r="X452"/>
    </row>
    <row r="453" spans="1:24" s="103" customFormat="1" ht="15.75" hidden="1" customHeight="1" outlineLevel="1">
      <c r="A453" s="916"/>
      <c r="B453" s="1124"/>
      <c r="C453" s="1128"/>
      <c r="D453" s="1126"/>
      <c r="E453" s="1126"/>
      <c r="F453" s="1132"/>
      <c r="G453" s="100"/>
      <c r="H453" s="98"/>
      <c r="I453" s="1126"/>
      <c r="J453" s="1135"/>
      <c r="K453" s="1135"/>
      <c r="L453" s="916"/>
      <c r="P453"/>
      <c r="Q453"/>
      <c r="R453"/>
      <c r="S453"/>
      <c r="T453"/>
      <c r="U453"/>
      <c r="V453"/>
      <c r="W453"/>
      <c r="X453"/>
    </row>
    <row r="454" spans="1:24" s="103" customFormat="1" ht="15.75" hidden="1" customHeight="1" outlineLevel="1">
      <c r="A454" s="916"/>
      <c r="B454" s="1123">
        <v>148</v>
      </c>
      <c r="C454" s="1127"/>
      <c r="D454" s="1125"/>
      <c r="E454" s="1125" t="s">
        <v>18</v>
      </c>
      <c r="F454" s="1130" t="str">
        <f>VLOOKUP(E454,$N$13:$O$17,2,0)</f>
        <v>-</v>
      </c>
      <c r="G454" s="92"/>
      <c r="H454" s="90"/>
      <c r="I454" s="1125"/>
      <c r="J454" s="1133"/>
      <c r="K454" s="1133"/>
      <c r="L454" s="916"/>
      <c r="P454"/>
      <c r="Q454"/>
      <c r="R454"/>
      <c r="S454"/>
      <c r="T454"/>
      <c r="U454"/>
      <c r="V454"/>
      <c r="W454"/>
      <c r="X454"/>
    </row>
    <row r="455" spans="1:24" s="103" customFormat="1" ht="15.75" hidden="1" customHeight="1" outlineLevel="1">
      <c r="A455" s="916"/>
      <c r="B455" s="1123"/>
      <c r="C455" s="1127"/>
      <c r="D455" s="1125"/>
      <c r="E455" s="1125"/>
      <c r="F455" s="1130"/>
      <c r="G455" s="95"/>
      <c r="H455" s="90"/>
      <c r="I455" s="1125"/>
      <c r="J455" s="1134"/>
      <c r="K455" s="1134"/>
      <c r="L455" s="916"/>
      <c r="P455"/>
      <c r="Q455"/>
      <c r="R455"/>
      <c r="S455"/>
      <c r="T455"/>
      <c r="U455"/>
      <c r="V455"/>
      <c r="W455"/>
      <c r="X455"/>
    </row>
    <row r="456" spans="1:24" s="103" customFormat="1" ht="15.75" hidden="1" customHeight="1" outlineLevel="1">
      <c r="A456" s="916"/>
      <c r="B456" s="1124"/>
      <c r="C456" s="1128"/>
      <c r="D456" s="1126"/>
      <c r="E456" s="1126"/>
      <c r="F456" s="1132"/>
      <c r="G456" s="100"/>
      <c r="H456" s="98"/>
      <c r="I456" s="1126"/>
      <c r="J456" s="1135"/>
      <c r="K456" s="1135"/>
      <c r="L456" s="916"/>
      <c r="P456"/>
      <c r="Q456"/>
      <c r="R456"/>
      <c r="S456"/>
      <c r="T456"/>
      <c r="U456"/>
      <c r="V456"/>
      <c r="W456"/>
      <c r="X456"/>
    </row>
    <row r="457" spans="1:24" s="103" customFormat="1" ht="15.75" hidden="1" customHeight="1" outlineLevel="1">
      <c r="A457" s="916"/>
      <c r="B457" s="1123">
        <v>149</v>
      </c>
      <c r="C457" s="1127"/>
      <c r="D457" s="1125"/>
      <c r="E457" s="1125" t="s">
        <v>18</v>
      </c>
      <c r="F457" s="1130" t="str">
        <f>VLOOKUP(E457,$N$13:$O$17,2,0)</f>
        <v>-</v>
      </c>
      <c r="G457" s="92"/>
      <c r="H457" s="90"/>
      <c r="I457" s="1125"/>
      <c r="J457" s="1133"/>
      <c r="K457" s="1133"/>
      <c r="L457" s="916"/>
      <c r="P457"/>
      <c r="Q457"/>
      <c r="R457"/>
      <c r="S457"/>
      <c r="T457"/>
      <c r="U457"/>
      <c r="V457"/>
      <c r="W457"/>
      <c r="X457"/>
    </row>
    <row r="458" spans="1:24" s="103" customFormat="1" ht="15.75" hidden="1" customHeight="1" outlineLevel="1">
      <c r="A458" s="916"/>
      <c r="B458" s="1123"/>
      <c r="C458" s="1127"/>
      <c r="D458" s="1125"/>
      <c r="E458" s="1125"/>
      <c r="F458" s="1130"/>
      <c r="G458" s="95"/>
      <c r="H458" s="90"/>
      <c r="I458" s="1125"/>
      <c r="J458" s="1134"/>
      <c r="K458" s="1134"/>
      <c r="L458" s="916"/>
      <c r="P458"/>
      <c r="Q458"/>
      <c r="R458"/>
      <c r="S458"/>
      <c r="T458"/>
      <c r="U458"/>
      <c r="V458"/>
      <c r="W458"/>
      <c r="X458"/>
    </row>
    <row r="459" spans="1:24" s="103" customFormat="1" ht="15.75" hidden="1" customHeight="1" outlineLevel="1">
      <c r="A459" s="916"/>
      <c r="B459" s="1124"/>
      <c r="C459" s="1128"/>
      <c r="D459" s="1126"/>
      <c r="E459" s="1126"/>
      <c r="F459" s="1132"/>
      <c r="G459" s="100"/>
      <c r="H459" s="98"/>
      <c r="I459" s="1126"/>
      <c r="J459" s="1135"/>
      <c r="K459" s="1135"/>
      <c r="L459" s="916"/>
      <c r="P459"/>
      <c r="Q459"/>
      <c r="R459"/>
      <c r="S459"/>
      <c r="T459"/>
      <c r="U459"/>
      <c r="V459"/>
      <c r="W459"/>
      <c r="X459"/>
    </row>
    <row r="460" spans="1:24" s="103" customFormat="1" ht="15.75" hidden="1" customHeight="1" outlineLevel="1">
      <c r="A460" s="916"/>
      <c r="B460" s="1123">
        <v>150</v>
      </c>
      <c r="C460" s="1127"/>
      <c r="D460" s="1125"/>
      <c r="E460" s="1125" t="s">
        <v>18</v>
      </c>
      <c r="F460" s="1130" t="str">
        <f>VLOOKUP(E460,$N$13:$O$17,2,0)</f>
        <v>-</v>
      </c>
      <c r="G460" s="92"/>
      <c r="H460" s="90"/>
      <c r="I460" s="1125"/>
      <c r="J460" s="1133"/>
      <c r="K460" s="1133"/>
      <c r="L460" s="916"/>
      <c r="P460"/>
      <c r="Q460"/>
      <c r="R460"/>
      <c r="S460"/>
      <c r="T460"/>
      <c r="U460"/>
      <c r="V460"/>
      <c r="W460"/>
      <c r="X460"/>
    </row>
    <row r="461" spans="1:24" s="103" customFormat="1" ht="15.75" hidden="1" customHeight="1" outlineLevel="1">
      <c r="A461" s="916"/>
      <c r="B461" s="1123"/>
      <c r="C461" s="1127"/>
      <c r="D461" s="1125"/>
      <c r="E461" s="1125"/>
      <c r="F461" s="1130"/>
      <c r="G461" s="95"/>
      <c r="H461" s="90"/>
      <c r="I461" s="1125"/>
      <c r="J461" s="1134"/>
      <c r="K461" s="1134"/>
      <c r="L461" s="916"/>
      <c r="P461"/>
      <c r="Q461"/>
      <c r="R461"/>
      <c r="S461"/>
      <c r="T461"/>
      <c r="U461"/>
      <c r="V461"/>
      <c r="W461"/>
      <c r="X461"/>
    </row>
    <row r="462" spans="1:24" s="103" customFormat="1" ht="15.75" hidden="1" customHeight="1" outlineLevel="1">
      <c r="A462" s="916"/>
      <c r="B462" s="1124"/>
      <c r="C462" s="1128"/>
      <c r="D462" s="1126"/>
      <c r="E462" s="1126"/>
      <c r="F462" s="1132"/>
      <c r="G462" s="100"/>
      <c r="H462" s="98"/>
      <c r="I462" s="1126"/>
      <c r="J462" s="1135"/>
      <c r="K462" s="1135"/>
      <c r="L462" s="916"/>
      <c r="P462"/>
      <c r="Q462"/>
      <c r="R462"/>
      <c r="S462"/>
      <c r="T462"/>
      <c r="U462"/>
      <c r="V462"/>
      <c r="W462"/>
      <c r="X462"/>
    </row>
    <row r="463" spans="1:24" s="103" customFormat="1" ht="15.75" hidden="1" customHeight="1" outlineLevel="1">
      <c r="A463" s="916"/>
      <c r="B463" s="1123">
        <v>151</v>
      </c>
      <c r="C463" s="1127"/>
      <c r="D463" s="1125"/>
      <c r="E463" s="1125" t="s">
        <v>18</v>
      </c>
      <c r="F463" s="1130" t="str">
        <f>VLOOKUP(E463,$N$13:$O$17,2,0)</f>
        <v>-</v>
      </c>
      <c r="G463" s="92"/>
      <c r="H463" s="90"/>
      <c r="I463" s="1125"/>
      <c r="J463" s="1133"/>
      <c r="K463" s="1133"/>
      <c r="L463" s="916"/>
      <c r="P463"/>
      <c r="Q463"/>
      <c r="R463"/>
      <c r="S463"/>
      <c r="T463"/>
      <c r="U463"/>
      <c r="V463"/>
      <c r="W463"/>
      <c r="X463"/>
    </row>
    <row r="464" spans="1:24" s="103" customFormat="1" ht="15.75" hidden="1" customHeight="1" outlineLevel="1">
      <c r="A464" s="916"/>
      <c r="B464" s="1123"/>
      <c r="C464" s="1127"/>
      <c r="D464" s="1125"/>
      <c r="E464" s="1125"/>
      <c r="F464" s="1130"/>
      <c r="G464" s="95"/>
      <c r="H464" s="90"/>
      <c r="I464" s="1125"/>
      <c r="J464" s="1134"/>
      <c r="K464" s="1134"/>
      <c r="L464" s="916"/>
      <c r="P464"/>
      <c r="Q464"/>
      <c r="R464"/>
      <c r="S464"/>
      <c r="T464"/>
      <c r="U464"/>
      <c r="V464"/>
      <c r="W464"/>
      <c r="X464"/>
    </row>
    <row r="465" spans="1:24" s="103" customFormat="1" ht="15.75" hidden="1" customHeight="1" outlineLevel="1">
      <c r="A465" s="916"/>
      <c r="B465" s="1124"/>
      <c r="C465" s="1128"/>
      <c r="D465" s="1126"/>
      <c r="E465" s="1126"/>
      <c r="F465" s="1132"/>
      <c r="G465" s="100"/>
      <c r="H465" s="98"/>
      <c r="I465" s="1126"/>
      <c r="J465" s="1135"/>
      <c r="K465" s="1135"/>
      <c r="L465" s="916"/>
      <c r="P465"/>
      <c r="Q465"/>
      <c r="R465"/>
      <c r="S465"/>
      <c r="T465"/>
      <c r="U465"/>
      <c r="V465"/>
      <c r="W465"/>
      <c r="X465"/>
    </row>
    <row r="466" spans="1:24" s="103" customFormat="1" ht="15.75" hidden="1" customHeight="1" outlineLevel="1">
      <c r="A466" s="916"/>
      <c r="B466" s="1123">
        <v>152</v>
      </c>
      <c r="C466" s="1127"/>
      <c r="D466" s="1125"/>
      <c r="E466" s="1125" t="s">
        <v>18</v>
      </c>
      <c r="F466" s="1130" t="str">
        <f>VLOOKUP(E466,$N$13:$O$17,2,0)</f>
        <v>-</v>
      </c>
      <c r="G466" s="92"/>
      <c r="H466" s="90"/>
      <c r="I466" s="1125"/>
      <c r="J466" s="1133"/>
      <c r="K466" s="1133"/>
      <c r="L466" s="916"/>
      <c r="P466"/>
      <c r="Q466"/>
      <c r="R466"/>
      <c r="S466"/>
      <c r="T466"/>
      <c r="U466"/>
      <c r="V466"/>
      <c r="W466"/>
      <c r="X466"/>
    </row>
    <row r="467" spans="1:24" s="103" customFormat="1" ht="15.75" hidden="1" customHeight="1" outlineLevel="1">
      <c r="A467" s="916"/>
      <c r="B467" s="1123"/>
      <c r="C467" s="1127"/>
      <c r="D467" s="1125"/>
      <c r="E467" s="1125"/>
      <c r="F467" s="1130"/>
      <c r="G467" s="95"/>
      <c r="H467" s="90"/>
      <c r="I467" s="1125"/>
      <c r="J467" s="1134"/>
      <c r="K467" s="1134"/>
      <c r="L467" s="916"/>
      <c r="P467"/>
      <c r="Q467"/>
      <c r="R467"/>
      <c r="S467"/>
      <c r="T467"/>
      <c r="U467"/>
      <c r="V467"/>
      <c r="W467"/>
      <c r="X467"/>
    </row>
    <row r="468" spans="1:24" s="103" customFormat="1" ht="15.75" hidden="1" customHeight="1" outlineLevel="1">
      <c r="A468" s="916"/>
      <c r="B468" s="1124"/>
      <c r="C468" s="1128"/>
      <c r="D468" s="1126"/>
      <c r="E468" s="1126"/>
      <c r="F468" s="1132"/>
      <c r="G468" s="100"/>
      <c r="H468" s="98"/>
      <c r="I468" s="1126"/>
      <c r="J468" s="1135"/>
      <c r="K468" s="1135"/>
      <c r="L468" s="916"/>
      <c r="P468"/>
      <c r="Q468"/>
      <c r="R468"/>
      <c r="S468"/>
      <c r="T468"/>
      <c r="U468"/>
      <c r="V468"/>
      <c r="W468"/>
      <c r="X468"/>
    </row>
    <row r="469" spans="1:24" s="103" customFormat="1" ht="15.75" hidden="1" customHeight="1" outlineLevel="1">
      <c r="A469" s="916"/>
      <c r="B469" s="1123">
        <v>153</v>
      </c>
      <c r="C469" s="1127"/>
      <c r="D469" s="1125"/>
      <c r="E469" s="1125" t="s">
        <v>18</v>
      </c>
      <c r="F469" s="1130" t="str">
        <f>VLOOKUP(E469,$N$13:$O$17,2,0)</f>
        <v>-</v>
      </c>
      <c r="G469" s="92"/>
      <c r="H469" s="90"/>
      <c r="I469" s="1125"/>
      <c r="J469" s="1133"/>
      <c r="K469" s="1133"/>
      <c r="L469" s="916"/>
      <c r="P469"/>
      <c r="Q469"/>
      <c r="R469"/>
      <c r="S469"/>
      <c r="T469"/>
      <c r="U469"/>
      <c r="V469"/>
      <c r="W469"/>
      <c r="X469"/>
    </row>
    <row r="470" spans="1:24" s="103" customFormat="1" ht="15.75" hidden="1" customHeight="1" outlineLevel="1">
      <c r="A470" s="916"/>
      <c r="B470" s="1123"/>
      <c r="C470" s="1127"/>
      <c r="D470" s="1125"/>
      <c r="E470" s="1125"/>
      <c r="F470" s="1130"/>
      <c r="G470" s="95"/>
      <c r="H470" s="90"/>
      <c r="I470" s="1125"/>
      <c r="J470" s="1134"/>
      <c r="K470" s="1134"/>
      <c r="L470" s="916"/>
      <c r="P470"/>
      <c r="Q470"/>
      <c r="R470"/>
      <c r="S470"/>
      <c r="T470"/>
      <c r="U470"/>
      <c r="V470"/>
      <c r="W470"/>
      <c r="X470"/>
    </row>
    <row r="471" spans="1:24" s="103" customFormat="1" ht="15.75" hidden="1" customHeight="1" outlineLevel="1">
      <c r="A471" s="916"/>
      <c r="B471" s="1124"/>
      <c r="C471" s="1128"/>
      <c r="D471" s="1126"/>
      <c r="E471" s="1126"/>
      <c r="F471" s="1132"/>
      <c r="G471" s="100"/>
      <c r="H471" s="98"/>
      <c r="I471" s="1126"/>
      <c r="J471" s="1135"/>
      <c r="K471" s="1135"/>
      <c r="L471" s="916"/>
      <c r="P471"/>
      <c r="Q471"/>
      <c r="R471"/>
      <c r="S471"/>
      <c r="T471"/>
      <c r="U471"/>
      <c r="V471"/>
      <c r="W471"/>
      <c r="X471"/>
    </row>
    <row r="472" spans="1:24" s="103" customFormat="1" ht="15.75" hidden="1" customHeight="1" outlineLevel="1">
      <c r="A472" s="916"/>
      <c r="B472" s="1123">
        <v>154</v>
      </c>
      <c r="C472" s="1127"/>
      <c r="D472" s="1125"/>
      <c r="E472" s="1125" t="s">
        <v>18</v>
      </c>
      <c r="F472" s="1130" t="str">
        <f>VLOOKUP(E472,$N$13:$O$17,2,0)</f>
        <v>-</v>
      </c>
      <c r="G472" s="92"/>
      <c r="H472" s="90"/>
      <c r="I472" s="1125"/>
      <c r="J472" s="1133"/>
      <c r="K472" s="1133"/>
      <c r="L472" s="916"/>
      <c r="P472"/>
      <c r="Q472"/>
      <c r="R472"/>
      <c r="S472"/>
      <c r="T472"/>
      <c r="U472"/>
      <c r="V472"/>
      <c r="W472"/>
      <c r="X472"/>
    </row>
    <row r="473" spans="1:24" s="103" customFormat="1" ht="15.75" hidden="1" customHeight="1" outlineLevel="1">
      <c r="A473" s="916"/>
      <c r="B473" s="1123"/>
      <c r="C473" s="1127"/>
      <c r="D473" s="1125"/>
      <c r="E473" s="1125"/>
      <c r="F473" s="1130"/>
      <c r="G473" s="95"/>
      <c r="H473" s="90"/>
      <c r="I473" s="1125"/>
      <c r="J473" s="1134"/>
      <c r="K473" s="1134"/>
      <c r="L473" s="916"/>
      <c r="P473"/>
      <c r="Q473"/>
      <c r="R473"/>
      <c r="S473"/>
      <c r="T473"/>
      <c r="U473"/>
      <c r="V473"/>
      <c r="W473"/>
      <c r="X473"/>
    </row>
    <row r="474" spans="1:24" s="103" customFormat="1" ht="15.75" hidden="1" customHeight="1" outlineLevel="1">
      <c r="A474" s="916"/>
      <c r="B474" s="1124"/>
      <c r="C474" s="1128"/>
      <c r="D474" s="1126"/>
      <c r="E474" s="1126"/>
      <c r="F474" s="1132"/>
      <c r="G474" s="100"/>
      <c r="H474" s="98"/>
      <c r="I474" s="1126"/>
      <c r="J474" s="1135"/>
      <c r="K474" s="1135"/>
      <c r="L474" s="916"/>
      <c r="P474"/>
      <c r="Q474"/>
      <c r="R474"/>
      <c r="S474"/>
      <c r="T474"/>
      <c r="U474"/>
      <c r="V474"/>
      <c r="W474"/>
      <c r="X474"/>
    </row>
    <row r="475" spans="1:24" s="103" customFormat="1" ht="15.75" hidden="1" customHeight="1" outlineLevel="1">
      <c r="A475" s="916"/>
      <c r="B475" s="1123">
        <v>155</v>
      </c>
      <c r="C475" s="1127"/>
      <c r="D475" s="1125"/>
      <c r="E475" s="1125" t="s">
        <v>18</v>
      </c>
      <c r="F475" s="1130" t="str">
        <f>VLOOKUP(E475,$N$13:$O$17,2,0)</f>
        <v>-</v>
      </c>
      <c r="G475" s="92"/>
      <c r="H475" s="90"/>
      <c r="I475" s="1125"/>
      <c r="J475" s="1133"/>
      <c r="K475" s="1133"/>
      <c r="L475" s="916"/>
      <c r="P475"/>
      <c r="Q475"/>
      <c r="R475"/>
      <c r="S475"/>
      <c r="T475"/>
      <c r="U475"/>
      <c r="V475"/>
      <c r="W475"/>
      <c r="X475"/>
    </row>
    <row r="476" spans="1:24" s="103" customFormat="1" ht="15.75" hidden="1" customHeight="1" outlineLevel="1">
      <c r="A476" s="916"/>
      <c r="B476" s="1123"/>
      <c r="C476" s="1127"/>
      <c r="D476" s="1125"/>
      <c r="E476" s="1125"/>
      <c r="F476" s="1130"/>
      <c r="G476" s="95"/>
      <c r="H476" s="90"/>
      <c r="I476" s="1125"/>
      <c r="J476" s="1134"/>
      <c r="K476" s="1134"/>
      <c r="L476" s="916"/>
      <c r="P476"/>
      <c r="Q476"/>
      <c r="R476"/>
      <c r="S476"/>
      <c r="T476"/>
      <c r="U476"/>
      <c r="V476"/>
      <c r="W476"/>
      <c r="X476"/>
    </row>
    <row r="477" spans="1:24" s="103" customFormat="1" ht="15.75" hidden="1" customHeight="1" outlineLevel="1">
      <c r="A477" s="916"/>
      <c r="B477" s="1124"/>
      <c r="C477" s="1128"/>
      <c r="D477" s="1126"/>
      <c r="E477" s="1126"/>
      <c r="F477" s="1132"/>
      <c r="G477" s="100"/>
      <c r="H477" s="98"/>
      <c r="I477" s="1126"/>
      <c r="J477" s="1135"/>
      <c r="K477" s="1135"/>
      <c r="L477" s="916"/>
      <c r="P477"/>
      <c r="Q477"/>
      <c r="R477"/>
      <c r="S477"/>
      <c r="T477"/>
      <c r="U477"/>
      <c r="V477"/>
      <c r="W477"/>
      <c r="X477"/>
    </row>
    <row r="478" spans="1:24" s="103" customFormat="1" ht="15.75" hidden="1" customHeight="1" outlineLevel="1">
      <c r="A478" s="916"/>
      <c r="B478" s="1123">
        <v>156</v>
      </c>
      <c r="C478" s="1127"/>
      <c r="D478" s="1125"/>
      <c r="E478" s="1125" t="s">
        <v>18</v>
      </c>
      <c r="F478" s="1130" t="str">
        <f>VLOOKUP(E478,$N$13:$O$17,2,0)</f>
        <v>-</v>
      </c>
      <c r="G478" s="92"/>
      <c r="H478" s="90"/>
      <c r="I478" s="1125"/>
      <c r="J478" s="1133"/>
      <c r="K478" s="1133"/>
      <c r="L478" s="916"/>
      <c r="P478"/>
      <c r="Q478"/>
      <c r="R478"/>
      <c r="S478"/>
      <c r="T478"/>
      <c r="U478"/>
      <c r="V478"/>
      <c r="W478"/>
      <c r="X478"/>
    </row>
    <row r="479" spans="1:24" s="103" customFormat="1" ht="15.75" hidden="1" customHeight="1" outlineLevel="1">
      <c r="A479" s="916"/>
      <c r="B479" s="1123"/>
      <c r="C479" s="1127"/>
      <c r="D479" s="1125"/>
      <c r="E479" s="1125"/>
      <c r="F479" s="1130"/>
      <c r="G479" s="95"/>
      <c r="H479" s="90"/>
      <c r="I479" s="1125"/>
      <c r="J479" s="1134"/>
      <c r="K479" s="1134"/>
      <c r="L479" s="916"/>
      <c r="P479"/>
      <c r="Q479"/>
      <c r="R479"/>
      <c r="S479"/>
      <c r="T479"/>
      <c r="U479"/>
      <c r="V479"/>
      <c r="W479"/>
      <c r="X479"/>
    </row>
    <row r="480" spans="1:24" s="103" customFormat="1" ht="15.75" hidden="1" customHeight="1" outlineLevel="1">
      <c r="A480" s="916"/>
      <c r="B480" s="1124"/>
      <c r="C480" s="1128"/>
      <c r="D480" s="1126"/>
      <c r="E480" s="1126"/>
      <c r="F480" s="1132"/>
      <c r="G480" s="100"/>
      <c r="H480" s="98"/>
      <c r="I480" s="1126"/>
      <c r="J480" s="1135"/>
      <c r="K480" s="1135"/>
      <c r="L480" s="916"/>
      <c r="P480"/>
      <c r="Q480"/>
      <c r="R480"/>
      <c r="S480"/>
      <c r="T480"/>
      <c r="U480"/>
      <c r="V480"/>
      <c r="W480"/>
      <c r="X480"/>
    </row>
    <row r="481" spans="1:24" s="103" customFormat="1" ht="15.75" hidden="1" customHeight="1" outlineLevel="1">
      <c r="A481" s="916"/>
      <c r="B481" s="1123">
        <v>157</v>
      </c>
      <c r="C481" s="1127"/>
      <c r="D481" s="1125"/>
      <c r="E481" s="1125" t="s">
        <v>18</v>
      </c>
      <c r="F481" s="1130" t="str">
        <f>VLOOKUP(E481,$N$13:$O$17,2,0)</f>
        <v>-</v>
      </c>
      <c r="G481" s="92"/>
      <c r="H481" s="90"/>
      <c r="I481" s="1125"/>
      <c r="J481" s="1133"/>
      <c r="K481" s="1133"/>
      <c r="L481" s="916"/>
      <c r="P481"/>
      <c r="Q481"/>
      <c r="R481"/>
      <c r="S481"/>
      <c r="T481"/>
      <c r="U481"/>
      <c r="V481"/>
      <c r="W481"/>
      <c r="X481"/>
    </row>
    <row r="482" spans="1:24" s="103" customFormat="1" ht="15.75" hidden="1" customHeight="1" outlineLevel="1">
      <c r="A482" s="916"/>
      <c r="B482" s="1123"/>
      <c r="C482" s="1127"/>
      <c r="D482" s="1125"/>
      <c r="E482" s="1125"/>
      <c r="F482" s="1130"/>
      <c r="G482" s="95"/>
      <c r="H482" s="90"/>
      <c r="I482" s="1125"/>
      <c r="J482" s="1134"/>
      <c r="K482" s="1134"/>
      <c r="L482" s="916"/>
      <c r="P482"/>
      <c r="Q482"/>
      <c r="R482"/>
      <c r="S482"/>
      <c r="T482"/>
      <c r="U482"/>
      <c r="V482"/>
      <c r="W482"/>
      <c r="X482"/>
    </row>
    <row r="483" spans="1:24" s="103" customFormat="1" ht="15.75" hidden="1" customHeight="1" outlineLevel="1">
      <c r="A483" s="916"/>
      <c r="B483" s="1124"/>
      <c r="C483" s="1128"/>
      <c r="D483" s="1126"/>
      <c r="E483" s="1126"/>
      <c r="F483" s="1132"/>
      <c r="G483" s="100"/>
      <c r="H483" s="98"/>
      <c r="I483" s="1126"/>
      <c r="J483" s="1135"/>
      <c r="K483" s="1135"/>
      <c r="L483" s="916"/>
      <c r="P483"/>
      <c r="Q483"/>
      <c r="R483"/>
      <c r="S483"/>
      <c r="T483"/>
      <c r="U483"/>
      <c r="V483"/>
      <c r="W483"/>
      <c r="X483"/>
    </row>
    <row r="484" spans="1:24" s="103" customFormat="1" ht="15.75" hidden="1" customHeight="1" outlineLevel="1">
      <c r="A484" s="916"/>
      <c r="B484" s="1123">
        <v>158</v>
      </c>
      <c r="C484" s="1127"/>
      <c r="D484" s="1125"/>
      <c r="E484" s="1125" t="s">
        <v>18</v>
      </c>
      <c r="F484" s="1130" t="str">
        <f>VLOOKUP(E484,$N$13:$O$17,2,0)</f>
        <v>-</v>
      </c>
      <c r="G484" s="92"/>
      <c r="H484" s="90"/>
      <c r="I484" s="1125"/>
      <c r="J484" s="1133"/>
      <c r="K484" s="1133"/>
      <c r="L484" s="916"/>
      <c r="P484"/>
      <c r="Q484"/>
      <c r="R484"/>
      <c r="S484"/>
      <c r="T484"/>
      <c r="U484"/>
      <c r="V484"/>
      <c r="W484"/>
      <c r="X484"/>
    </row>
    <row r="485" spans="1:24" s="103" customFormat="1" ht="15.75" hidden="1" customHeight="1" outlineLevel="1">
      <c r="A485" s="916"/>
      <c r="B485" s="1123"/>
      <c r="C485" s="1127"/>
      <c r="D485" s="1125"/>
      <c r="E485" s="1125"/>
      <c r="F485" s="1130"/>
      <c r="G485" s="95"/>
      <c r="H485" s="90"/>
      <c r="I485" s="1125"/>
      <c r="J485" s="1134"/>
      <c r="K485" s="1134"/>
      <c r="L485" s="916"/>
      <c r="P485"/>
      <c r="Q485"/>
      <c r="R485"/>
      <c r="S485"/>
      <c r="T485"/>
      <c r="U485"/>
      <c r="V485"/>
      <c r="W485"/>
      <c r="X485"/>
    </row>
    <row r="486" spans="1:24" s="103" customFormat="1" ht="15.75" hidden="1" customHeight="1" outlineLevel="1">
      <c r="A486" s="916"/>
      <c r="B486" s="1124"/>
      <c r="C486" s="1128"/>
      <c r="D486" s="1126"/>
      <c r="E486" s="1126"/>
      <c r="F486" s="1132"/>
      <c r="G486" s="100"/>
      <c r="H486" s="98"/>
      <c r="I486" s="1126"/>
      <c r="J486" s="1135"/>
      <c r="K486" s="1135"/>
      <c r="L486" s="916"/>
      <c r="P486"/>
      <c r="Q486"/>
      <c r="R486"/>
      <c r="S486"/>
      <c r="T486"/>
      <c r="U486"/>
      <c r="V486"/>
      <c r="W486"/>
      <c r="X486"/>
    </row>
    <row r="487" spans="1:24" s="103" customFormat="1" ht="15.75" hidden="1" customHeight="1" outlineLevel="1">
      <c r="A487" s="916"/>
      <c r="B487" s="1123">
        <v>159</v>
      </c>
      <c r="C487" s="1127"/>
      <c r="D487" s="1125"/>
      <c r="E487" s="1125" t="s">
        <v>18</v>
      </c>
      <c r="F487" s="1130" t="str">
        <f>VLOOKUP(E487,$N$13:$O$17,2,0)</f>
        <v>-</v>
      </c>
      <c r="G487" s="92"/>
      <c r="H487" s="90"/>
      <c r="I487" s="1125"/>
      <c r="J487" s="1133"/>
      <c r="K487" s="1133"/>
      <c r="L487" s="916"/>
      <c r="P487"/>
      <c r="Q487"/>
      <c r="R487"/>
      <c r="S487"/>
      <c r="T487"/>
      <c r="U487"/>
      <c r="V487"/>
      <c r="W487"/>
      <c r="X487"/>
    </row>
    <row r="488" spans="1:24" s="103" customFormat="1" ht="15.75" hidden="1" customHeight="1" outlineLevel="1">
      <c r="A488" s="916"/>
      <c r="B488" s="1123"/>
      <c r="C488" s="1127"/>
      <c r="D488" s="1125"/>
      <c r="E488" s="1125"/>
      <c r="F488" s="1130"/>
      <c r="G488" s="95"/>
      <c r="H488" s="90"/>
      <c r="I488" s="1125"/>
      <c r="J488" s="1134"/>
      <c r="K488" s="1134"/>
      <c r="L488" s="916"/>
      <c r="P488"/>
      <c r="Q488"/>
      <c r="R488"/>
      <c r="S488"/>
      <c r="T488"/>
      <c r="U488"/>
      <c r="V488"/>
      <c r="W488"/>
      <c r="X488"/>
    </row>
    <row r="489" spans="1:24" s="103" customFormat="1" ht="15.75" hidden="1" customHeight="1" outlineLevel="1">
      <c r="A489" s="916"/>
      <c r="B489" s="1124"/>
      <c r="C489" s="1128"/>
      <c r="D489" s="1126"/>
      <c r="E489" s="1126"/>
      <c r="F489" s="1132"/>
      <c r="G489" s="100"/>
      <c r="H489" s="98"/>
      <c r="I489" s="1126"/>
      <c r="J489" s="1135"/>
      <c r="K489" s="1135"/>
      <c r="L489" s="916"/>
      <c r="P489"/>
      <c r="Q489"/>
      <c r="R489"/>
      <c r="S489"/>
      <c r="T489"/>
      <c r="U489"/>
      <c r="V489"/>
      <c r="W489"/>
      <c r="X489"/>
    </row>
    <row r="490" spans="1:24" s="103" customFormat="1" ht="15.75" hidden="1" customHeight="1" outlineLevel="1">
      <c r="A490" s="916"/>
      <c r="B490" s="1123">
        <v>160</v>
      </c>
      <c r="C490" s="1127"/>
      <c r="D490" s="1125"/>
      <c r="E490" s="1125" t="s">
        <v>18</v>
      </c>
      <c r="F490" s="1130" t="str">
        <f>VLOOKUP(E490,$N$13:$O$17,2,0)</f>
        <v>-</v>
      </c>
      <c r="G490" s="92"/>
      <c r="H490" s="90"/>
      <c r="I490" s="1125"/>
      <c r="J490" s="1133"/>
      <c r="K490" s="1133"/>
      <c r="L490" s="916"/>
      <c r="P490"/>
      <c r="Q490"/>
      <c r="R490"/>
      <c r="S490"/>
      <c r="T490"/>
      <c r="U490"/>
      <c r="V490"/>
      <c r="W490"/>
      <c r="X490"/>
    </row>
    <row r="491" spans="1:24" s="103" customFormat="1" ht="15.75" hidden="1" customHeight="1" outlineLevel="1">
      <c r="A491" s="916"/>
      <c r="B491" s="1123"/>
      <c r="C491" s="1127"/>
      <c r="D491" s="1125"/>
      <c r="E491" s="1125"/>
      <c r="F491" s="1130"/>
      <c r="G491" s="95"/>
      <c r="H491" s="90"/>
      <c r="I491" s="1125"/>
      <c r="J491" s="1134"/>
      <c r="K491" s="1134"/>
      <c r="L491" s="916"/>
      <c r="P491"/>
      <c r="Q491"/>
      <c r="R491"/>
      <c r="S491"/>
      <c r="T491"/>
      <c r="U491"/>
      <c r="V491"/>
      <c r="W491"/>
      <c r="X491"/>
    </row>
    <row r="492" spans="1:24" s="103" customFormat="1" ht="15.75" hidden="1" customHeight="1" outlineLevel="1">
      <c r="A492" s="916"/>
      <c r="B492" s="1124"/>
      <c r="C492" s="1128"/>
      <c r="D492" s="1126"/>
      <c r="E492" s="1126"/>
      <c r="F492" s="1132"/>
      <c r="G492" s="100"/>
      <c r="H492" s="98"/>
      <c r="I492" s="1126"/>
      <c r="J492" s="1135"/>
      <c r="K492" s="1135"/>
      <c r="L492" s="916"/>
      <c r="P492"/>
      <c r="Q492"/>
      <c r="R492"/>
      <c r="S492"/>
      <c r="T492"/>
      <c r="U492"/>
      <c r="V492"/>
      <c r="W492"/>
      <c r="X492"/>
    </row>
    <row r="493" spans="1:24" s="103" customFormat="1" ht="15.75" hidden="1" customHeight="1" outlineLevel="1">
      <c r="A493" s="916"/>
      <c r="B493" s="1123">
        <v>161</v>
      </c>
      <c r="C493" s="1127"/>
      <c r="D493" s="1125"/>
      <c r="E493" s="1125" t="s">
        <v>18</v>
      </c>
      <c r="F493" s="1130" t="str">
        <f>VLOOKUP(E493,$N$13:$O$17,2,0)</f>
        <v>-</v>
      </c>
      <c r="G493" s="92"/>
      <c r="H493" s="90"/>
      <c r="I493" s="1125"/>
      <c r="J493" s="1133"/>
      <c r="K493" s="1133"/>
      <c r="L493" s="916"/>
      <c r="P493"/>
      <c r="Q493"/>
      <c r="R493"/>
      <c r="S493"/>
      <c r="T493"/>
      <c r="U493"/>
      <c r="V493"/>
      <c r="W493"/>
      <c r="X493"/>
    </row>
    <row r="494" spans="1:24" s="103" customFormat="1" ht="15.75" hidden="1" customHeight="1" outlineLevel="1">
      <c r="A494" s="916"/>
      <c r="B494" s="1123"/>
      <c r="C494" s="1127"/>
      <c r="D494" s="1125"/>
      <c r="E494" s="1125"/>
      <c r="F494" s="1130"/>
      <c r="G494" s="95"/>
      <c r="H494" s="90"/>
      <c r="I494" s="1125"/>
      <c r="J494" s="1134"/>
      <c r="K494" s="1134"/>
      <c r="L494" s="916"/>
      <c r="P494"/>
      <c r="Q494"/>
      <c r="R494"/>
      <c r="S494"/>
      <c r="T494"/>
      <c r="U494"/>
      <c r="V494"/>
      <c r="W494"/>
      <c r="X494"/>
    </row>
    <row r="495" spans="1:24" s="103" customFormat="1" ht="15.75" hidden="1" customHeight="1" outlineLevel="1">
      <c r="A495" s="916"/>
      <c r="B495" s="1124"/>
      <c r="C495" s="1128"/>
      <c r="D495" s="1126"/>
      <c r="E495" s="1126"/>
      <c r="F495" s="1132"/>
      <c r="G495" s="100"/>
      <c r="H495" s="98"/>
      <c r="I495" s="1126"/>
      <c r="J495" s="1135"/>
      <c r="K495" s="1135"/>
      <c r="L495" s="916"/>
      <c r="P495"/>
      <c r="Q495"/>
      <c r="R495"/>
      <c r="S495"/>
      <c r="T495"/>
      <c r="U495"/>
      <c r="V495"/>
      <c r="W495"/>
      <c r="X495"/>
    </row>
    <row r="496" spans="1:24" s="103" customFormat="1" ht="15.75" hidden="1" customHeight="1" outlineLevel="1">
      <c r="A496" s="916"/>
      <c r="B496" s="1123">
        <v>162</v>
      </c>
      <c r="C496" s="1127"/>
      <c r="D496" s="1125"/>
      <c r="E496" s="1125" t="s">
        <v>18</v>
      </c>
      <c r="F496" s="1130" t="str">
        <f>VLOOKUP(E496,$N$13:$O$17,2,0)</f>
        <v>-</v>
      </c>
      <c r="G496" s="92"/>
      <c r="H496" s="90"/>
      <c r="I496" s="1125"/>
      <c r="J496" s="1133"/>
      <c r="K496" s="1133"/>
      <c r="L496" s="916"/>
      <c r="P496"/>
      <c r="Q496"/>
      <c r="R496"/>
      <c r="S496"/>
      <c r="T496"/>
      <c r="U496"/>
      <c r="V496"/>
      <c r="W496"/>
      <c r="X496"/>
    </row>
    <row r="497" spans="1:24" s="103" customFormat="1" ht="15.75" hidden="1" customHeight="1" outlineLevel="1">
      <c r="A497" s="916"/>
      <c r="B497" s="1123"/>
      <c r="C497" s="1127"/>
      <c r="D497" s="1125"/>
      <c r="E497" s="1125"/>
      <c r="F497" s="1130"/>
      <c r="G497" s="95"/>
      <c r="H497" s="90"/>
      <c r="I497" s="1125"/>
      <c r="J497" s="1134"/>
      <c r="K497" s="1134"/>
      <c r="L497" s="916"/>
      <c r="P497"/>
      <c r="Q497"/>
      <c r="R497"/>
      <c r="S497"/>
      <c r="T497"/>
      <c r="U497"/>
      <c r="V497"/>
      <c r="W497"/>
      <c r="X497"/>
    </row>
    <row r="498" spans="1:24" s="103" customFormat="1" ht="15.75" hidden="1" customHeight="1" outlineLevel="1">
      <c r="A498" s="916"/>
      <c r="B498" s="1124"/>
      <c r="C498" s="1128"/>
      <c r="D498" s="1126"/>
      <c r="E498" s="1126"/>
      <c r="F498" s="1132"/>
      <c r="G498" s="100"/>
      <c r="H498" s="98"/>
      <c r="I498" s="1126"/>
      <c r="J498" s="1135"/>
      <c r="K498" s="1135"/>
      <c r="L498" s="916"/>
      <c r="P498"/>
      <c r="Q498"/>
      <c r="R498"/>
      <c r="S498"/>
      <c r="T498"/>
      <c r="U498"/>
      <c r="V498"/>
      <c r="W498"/>
      <c r="X498"/>
    </row>
    <row r="499" spans="1:24" s="103" customFormat="1" ht="15.75" hidden="1" customHeight="1" outlineLevel="1">
      <c r="A499" s="916"/>
      <c r="B499" s="1123">
        <v>163</v>
      </c>
      <c r="C499" s="1127"/>
      <c r="D499" s="1125"/>
      <c r="E499" s="1125" t="s">
        <v>18</v>
      </c>
      <c r="F499" s="1130" t="str">
        <f>VLOOKUP(E499,$N$13:$O$17,2,0)</f>
        <v>-</v>
      </c>
      <c r="G499" s="92"/>
      <c r="H499" s="90"/>
      <c r="I499" s="1125"/>
      <c r="J499" s="1133"/>
      <c r="K499" s="1133"/>
      <c r="L499" s="916"/>
      <c r="P499"/>
      <c r="Q499"/>
      <c r="R499"/>
      <c r="S499"/>
      <c r="T499"/>
      <c r="U499"/>
      <c r="V499"/>
      <c r="W499"/>
      <c r="X499"/>
    </row>
    <row r="500" spans="1:24" s="103" customFormat="1" ht="15.75" hidden="1" customHeight="1" outlineLevel="1">
      <c r="A500" s="916"/>
      <c r="B500" s="1123"/>
      <c r="C500" s="1127"/>
      <c r="D500" s="1125"/>
      <c r="E500" s="1125"/>
      <c r="F500" s="1130"/>
      <c r="G500" s="95"/>
      <c r="H500" s="90"/>
      <c r="I500" s="1125"/>
      <c r="J500" s="1134"/>
      <c r="K500" s="1134"/>
      <c r="L500" s="916"/>
      <c r="P500"/>
      <c r="Q500"/>
      <c r="R500"/>
      <c r="S500"/>
      <c r="T500"/>
      <c r="U500"/>
      <c r="V500"/>
      <c r="W500"/>
      <c r="X500"/>
    </row>
    <row r="501" spans="1:24" s="103" customFormat="1" ht="15.75" hidden="1" customHeight="1" outlineLevel="1">
      <c r="A501" s="916"/>
      <c r="B501" s="1124"/>
      <c r="C501" s="1128"/>
      <c r="D501" s="1126"/>
      <c r="E501" s="1126"/>
      <c r="F501" s="1132"/>
      <c r="G501" s="100"/>
      <c r="H501" s="98"/>
      <c r="I501" s="1126"/>
      <c r="J501" s="1135"/>
      <c r="K501" s="1135"/>
      <c r="L501" s="916"/>
      <c r="P501"/>
      <c r="Q501"/>
      <c r="R501"/>
      <c r="S501"/>
      <c r="T501"/>
      <c r="U501"/>
      <c r="V501"/>
      <c r="W501"/>
      <c r="X501"/>
    </row>
    <row r="502" spans="1:24" s="103" customFormat="1" ht="15.75" hidden="1" customHeight="1" outlineLevel="1">
      <c r="A502" s="916"/>
      <c r="B502" s="1123">
        <v>164</v>
      </c>
      <c r="C502" s="1127"/>
      <c r="D502" s="1125"/>
      <c r="E502" s="1125" t="s">
        <v>18</v>
      </c>
      <c r="F502" s="1130" t="str">
        <f>VLOOKUP(E502,$N$13:$O$17,2,0)</f>
        <v>-</v>
      </c>
      <c r="G502" s="92"/>
      <c r="H502" s="90"/>
      <c r="I502" s="1125"/>
      <c r="J502" s="1133"/>
      <c r="K502" s="1133"/>
      <c r="L502" s="916"/>
      <c r="P502"/>
      <c r="Q502"/>
      <c r="R502"/>
      <c r="S502"/>
      <c r="T502"/>
      <c r="U502"/>
      <c r="V502"/>
      <c r="W502"/>
      <c r="X502"/>
    </row>
    <row r="503" spans="1:24" s="103" customFormat="1" ht="15.75" hidden="1" customHeight="1" outlineLevel="1">
      <c r="A503" s="916"/>
      <c r="B503" s="1123"/>
      <c r="C503" s="1127"/>
      <c r="D503" s="1125"/>
      <c r="E503" s="1125"/>
      <c r="F503" s="1130"/>
      <c r="G503" s="95"/>
      <c r="H503" s="90"/>
      <c r="I503" s="1125"/>
      <c r="J503" s="1134"/>
      <c r="K503" s="1134"/>
      <c r="L503" s="916"/>
      <c r="P503"/>
      <c r="Q503"/>
      <c r="R503"/>
      <c r="S503"/>
      <c r="T503"/>
      <c r="U503"/>
      <c r="V503"/>
      <c r="W503"/>
      <c r="X503"/>
    </row>
    <row r="504" spans="1:24" s="103" customFormat="1" ht="15.75" hidden="1" customHeight="1" outlineLevel="1">
      <c r="A504" s="916"/>
      <c r="B504" s="1124"/>
      <c r="C504" s="1128"/>
      <c r="D504" s="1126"/>
      <c r="E504" s="1126"/>
      <c r="F504" s="1132"/>
      <c r="G504" s="100"/>
      <c r="H504" s="98"/>
      <c r="I504" s="1126"/>
      <c r="J504" s="1135"/>
      <c r="K504" s="1135"/>
      <c r="L504" s="916"/>
      <c r="P504"/>
      <c r="Q504"/>
      <c r="R504"/>
      <c r="S504"/>
      <c r="T504"/>
      <c r="U504"/>
      <c r="V504"/>
      <c r="W504"/>
      <c r="X504"/>
    </row>
    <row r="505" spans="1:24" s="103" customFormat="1" ht="15.75" hidden="1" customHeight="1" outlineLevel="1">
      <c r="A505" s="916"/>
      <c r="B505" s="1123">
        <v>165</v>
      </c>
      <c r="C505" s="1127"/>
      <c r="D505" s="1125"/>
      <c r="E505" s="1125" t="s">
        <v>18</v>
      </c>
      <c r="F505" s="1130" t="str">
        <f>VLOOKUP(E505,$N$13:$O$17,2,0)</f>
        <v>-</v>
      </c>
      <c r="G505" s="92"/>
      <c r="H505" s="90"/>
      <c r="I505" s="1125"/>
      <c r="J505" s="1133"/>
      <c r="K505" s="1133"/>
      <c r="L505" s="916"/>
      <c r="P505"/>
      <c r="Q505"/>
      <c r="R505"/>
      <c r="S505"/>
      <c r="T505"/>
      <c r="U505"/>
      <c r="V505"/>
      <c r="W505"/>
      <c r="X505"/>
    </row>
    <row r="506" spans="1:24" s="103" customFormat="1" ht="15.75" hidden="1" customHeight="1" outlineLevel="1">
      <c r="A506" s="916"/>
      <c r="B506" s="1123"/>
      <c r="C506" s="1127"/>
      <c r="D506" s="1125"/>
      <c r="E506" s="1125"/>
      <c r="F506" s="1130"/>
      <c r="G506" s="95"/>
      <c r="H506" s="90"/>
      <c r="I506" s="1125"/>
      <c r="J506" s="1134"/>
      <c r="K506" s="1134"/>
      <c r="L506" s="916"/>
      <c r="P506"/>
      <c r="Q506"/>
      <c r="R506"/>
      <c r="S506"/>
      <c r="T506"/>
      <c r="U506"/>
      <c r="V506"/>
      <c r="W506"/>
      <c r="X506"/>
    </row>
    <row r="507" spans="1:24" s="103" customFormat="1" ht="15.75" hidden="1" customHeight="1" outlineLevel="1">
      <c r="A507" s="916"/>
      <c r="B507" s="1124"/>
      <c r="C507" s="1128"/>
      <c r="D507" s="1126"/>
      <c r="E507" s="1126"/>
      <c r="F507" s="1132"/>
      <c r="G507" s="100"/>
      <c r="H507" s="98"/>
      <c r="I507" s="1126"/>
      <c r="J507" s="1135"/>
      <c r="K507" s="1135"/>
      <c r="L507" s="916"/>
      <c r="P507"/>
      <c r="Q507"/>
      <c r="R507"/>
      <c r="S507"/>
      <c r="T507"/>
      <c r="U507"/>
      <c r="V507"/>
      <c r="W507"/>
      <c r="X507"/>
    </row>
    <row r="508" spans="1:24" s="103" customFormat="1" ht="15.75" hidden="1" customHeight="1" outlineLevel="1">
      <c r="A508" s="916"/>
      <c r="B508" s="1123">
        <v>166</v>
      </c>
      <c r="C508" s="1127"/>
      <c r="D508" s="1125"/>
      <c r="E508" s="1125" t="s">
        <v>18</v>
      </c>
      <c r="F508" s="1130" t="str">
        <f>VLOOKUP(E508,$N$13:$O$17,2,0)</f>
        <v>-</v>
      </c>
      <c r="G508" s="92"/>
      <c r="H508" s="90"/>
      <c r="I508" s="1125"/>
      <c r="J508" s="1133"/>
      <c r="K508" s="1133"/>
      <c r="L508" s="916"/>
      <c r="P508"/>
      <c r="Q508"/>
      <c r="R508"/>
      <c r="S508"/>
      <c r="T508"/>
      <c r="U508"/>
      <c r="V508"/>
      <c r="W508"/>
      <c r="X508"/>
    </row>
    <row r="509" spans="1:24" s="103" customFormat="1" ht="15.75" hidden="1" customHeight="1" outlineLevel="1">
      <c r="A509" s="916"/>
      <c r="B509" s="1123"/>
      <c r="C509" s="1127"/>
      <c r="D509" s="1125"/>
      <c r="E509" s="1125"/>
      <c r="F509" s="1130"/>
      <c r="G509" s="95"/>
      <c r="H509" s="90"/>
      <c r="I509" s="1125"/>
      <c r="J509" s="1134"/>
      <c r="K509" s="1134"/>
      <c r="L509" s="916"/>
      <c r="P509"/>
      <c r="Q509"/>
      <c r="R509"/>
      <c r="S509"/>
      <c r="T509"/>
      <c r="U509"/>
      <c r="V509"/>
      <c r="W509"/>
      <c r="X509"/>
    </row>
    <row r="510" spans="1:24" s="103" customFormat="1" ht="15.75" hidden="1" customHeight="1" outlineLevel="1">
      <c r="A510" s="916"/>
      <c r="B510" s="1124"/>
      <c r="C510" s="1128"/>
      <c r="D510" s="1126"/>
      <c r="E510" s="1126"/>
      <c r="F510" s="1132"/>
      <c r="G510" s="100"/>
      <c r="H510" s="98"/>
      <c r="I510" s="1126"/>
      <c r="J510" s="1135"/>
      <c r="K510" s="1135"/>
      <c r="L510" s="916"/>
      <c r="P510"/>
      <c r="Q510"/>
      <c r="R510"/>
      <c r="S510"/>
      <c r="T510"/>
      <c r="U510"/>
      <c r="V510"/>
      <c r="W510"/>
      <c r="X510"/>
    </row>
    <row r="511" spans="1:24" s="103" customFormat="1" ht="15.75" hidden="1" customHeight="1" outlineLevel="1">
      <c r="A511" s="916"/>
      <c r="B511" s="1123">
        <v>167</v>
      </c>
      <c r="C511" s="1127"/>
      <c r="D511" s="1125"/>
      <c r="E511" s="1125" t="s">
        <v>18</v>
      </c>
      <c r="F511" s="1130" t="str">
        <f>VLOOKUP(E511,$N$13:$O$17,2,0)</f>
        <v>-</v>
      </c>
      <c r="G511" s="92"/>
      <c r="H511" s="90"/>
      <c r="I511" s="1125"/>
      <c r="J511" s="1133"/>
      <c r="K511" s="1133"/>
      <c r="L511" s="916"/>
      <c r="P511"/>
      <c r="Q511"/>
      <c r="R511"/>
      <c r="S511"/>
      <c r="T511"/>
      <c r="U511"/>
      <c r="V511"/>
      <c r="W511"/>
      <c r="X511"/>
    </row>
    <row r="512" spans="1:24" s="103" customFormat="1" ht="15.75" hidden="1" customHeight="1" outlineLevel="1">
      <c r="A512" s="916"/>
      <c r="B512" s="1123"/>
      <c r="C512" s="1127"/>
      <c r="D512" s="1125"/>
      <c r="E512" s="1125"/>
      <c r="F512" s="1130"/>
      <c r="G512" s="95"/>
      <c r="H512" s="90"/>
      <c r="I512" s="1125"/>
      <c r="J512" s="1134"/>
      <c r="K512" s="1134"/>
      <c r="L512" s="916"/>
      <c r="P512"/>
      <c r="Q512"/>
      <c r="R512"/>
      <c r="S512"/>
      <c r="T512"/>
      <c r="U512"/>
      <c r="V512"/>
      <c r="W512"/>
      <c r="X512"/>
    </row>
    <row r="513" spans="1:24" s="103" customFormat="1" ht="15.75" hidden="1" customHeight="1" outlineLevel="1">
      <c r="A513" s="916"/>
      <c r="B513" s="1124"/>
      <c r="C513" s="1128"/>
      <c r="D513" s="1126"/>
      <c r="E513" s="1126"/>
      <c r="F513" s="1132"/>
      <c r="G513" s="100"/>
      <c r="H513" s="98"/>
      <c r="I513" s="1126"/>
      <c r="J513" s="1135"/>
      <c r="K513" s="1135"/>
      <c r="L513" s="916"/>
      <c r="P513"/>
      <c r="Q513"/>
      <c r="R513"/>
      <c r="S513"/>
      <c r="T513"/>
      <c r="U513"/>
      <c r="V513"/>
      <c r="W513"/>
      <c r="X513"/>
    </row>
    <row r="514" spans="1:24" s="103" customFormat="1" ht="15.75" hidden="1" customHeight="1" outlineLevel="1">
      <c r="A514" s="916"/>
      <c r="B514" s="1123">
        <v>168</v>
      </c>
      <c r="C514" s="1127"/>
      <c r="D514" s="1125"/>
      <c r="E514" s="1125" t="s">
        <v>18</v>
      </c>
      <c r="F514" s="1130" t="str">
        <f>VLOOKUP(E514,$N$13:$O$17,2,0)</f>
        <v>-</v>
      </c>
      <c r="G514" s="92"/>
      <c r="H514" s="90"/>
      <c r="I514" s="1125"/>
      <c r="J514" s="1133"/>
      <c r="K514" s="1133"/>
      <c r="L514" s="916"/>
      <c r="P514"/>
      <c r="Q514"/>
      <c r="R514"/>
      <c r="S514"/>
      <c r="T514"/>
      <c r="U514"/>
      <c r="V514"/>
      <c r="W514"/>
      <c r="X514"/>
    </row>
    <row r="515" spans="1:24" s="103" customFormat="1" ht="15.75" hidden="1" customHeight="1" outlineLevel="1">
      <c r="A515" s="916"/>
      <c r="B515" s="1123"/>
      <c r="C515" s="1127"/>
      <c r="D515" s="1125"/>
      <c r="E515" s="1125"/>
      <c r="F515" s="1130"/>
      <c r="G515" s="95"/>
      <c r="H515" s="90"/>
      <c r="I515" s="1125"/>
      <c r="J515" s="1134"/>
      <c r="K515" s="1134"/>
      <c r="L515" s="916"/>
      <c r="P515"/>
      <c r="Q515"/>
      <c r="R515"/>
      <c r="S515"/>
      <c r="T515"/>
      <c r="U515"/>
      <c r="V515"/>
      <c r="W515"/>
      <c r="X515"/>
    </row>
    <row r="516" spans="1:24" s="103" customFormat="1" ht="15.75" hidden="1" customHeight="1" outlineLevel="1">
      <c r="A516" s="916"/>
      <c r="B516" s="1124"/>
      <c r="C516" s="1128"/>
      <c r="D516" s="1126"/>
      <c r="E516" s="1126"/>
      <c r="F516" s="1132"/>
      <c r="G516" s="100"/>
      <c r="H516" s="98"/>
      <c r="I516" s="1126"/>
      <c r="J516" s="1135"/>
      <c r="K516" s="1135"/>
      <c r="L516" s="916"/>
      <c r="P516"/>
      <c r="Q516"/>
      <c r="R516"/>
      <c r="S516"/>
      <c r="T516"/>
      <c r="U516"/>
      <c r="V516"/>
      <c r="W516"/>
      <c r="X516"/>
    </row>
    <row r="517" spans="1:24" s="103" customFormat="1" ht="15.75" hidden="1" customHeight="1" outlineLevel="1">
      <c r="A517" s="916"/>
      <c r="B517" s="1123">
        <v>169</v>
      </c>
      <c r="C517" s="1127"/>
      <c r="D517" s="1125"/>
      <c r="E517" s="1125" t="s">
        <v>18</v>
      </c>
      <c r="F517" s="1130" t="str">
        <f>VLOOKUP(E517,$N$13:$O$17,2,0)</f>
        <v>-</v>
      </c>
      <c r="G517" s="92"/>
      <c r="H517" s="90"/>
      <c r="I517" s="1125"/>
      <c r="J517" s="1133"/>
      <c r="K517" s="1133"/>
      <c r="L517" s="916"/>
      <c r="P517"/>
      <c r="Q517"/>
      <c r="R517"/>
      <c r="S517"/>
      <c r="T517"/>
      <c r="U517"/>
      <c r="V517"/>
      <c r="W517"/>
      <c r="X517"/>
    </row>
    <row r="518" spans="1:24" s="103" customFormat="1" ht="15.75" hidden="1" customHeight="1" outlineLevel="1">
      <c r="A518" s="916"/>
      <c r="B518" s="1123"/>
      <c r="C518" s="1127"/>
      <c r="D518" s="1125"/>
      <c r="E518" s="1125"/>
      <c r="F518" s="1130"/>
      <c r="G518" s="95"/>
      <c r="H518" s="90"/>
      <c r="I518" s="1125"/>
      <c r="J518" s="1134"/>
      <c r="K518" s="1134"/>
      <c r="L518" s="916"/>
      <c r="P518"/>
      <c r="Q518"/>
      <c r="R518"/>
      <c r="S518"/>
      <c r="T518"/>
      <c r="U518"/>
      <c r="V518"/>
      <c r="W518"/>
      <c r="X518"/>
    </row>
    <row r="519" spans="1:24" s="103" customFormat="1" ht="15.75" hidden="1" customHeight="1" outlineLevel="1">
      <c r="A519" s="916"/>
      <c r="B519" s="1124"/>
      <c r="C519" s="1128"/>
      <c r="D519" s="1126"/>
      <c r="E519" s="1126"/>
      <c r="F519" s="1132"/>
      <c r="G519" s="100"/>
      <c r="H519" s="98"/>
      <c r="I519" s="1126"/>
      <c r="J519" s="1135"/>
      <c r="K519" s="1135"/>
      <c r="L519" s="916"/>
      <c r="P519"/>
      <c r="Q519"/>
      <c r="R519"/>
      <c r="S519"/>
      <c r="T519"/>
      <c r="U519"/>
      <c r="V519"/>
      <c r="W519"/>
      <c r="X519"/>
    </row>
    <row r="520" spans="1:24" s="103" customFormat="1" ht="15.75" hidden="1" customHeight="1" outlineLevel="1">
      <c r="A520" s="916"/>
      <c r="B520" s="1123">
        <v>170</v>
      </c>
      <c r="C520" s="1127"/>
      <c r="D520" s="1125"/>
      <c r="E520" s="1125" t="s">
        <v>18</v>
      </c>
      <c r="F520" s="1130" t="str">
        <f>VLOOKUP(E520,$N$13:$O$17,2,0)</f>
        <v>-</v>
      </c>
      <c r="G520" s="92"/>
      <c r="H520" s="90"/>
      <c r="I520" s="1125"/>
      <c r="J520" s="1133"/>
      <c r="K520" s="1133"/>
      <c r="L520" s="916"/>
      <c r="P520"/>
      <c r="Q520"/>
      <c r="R520"/>
      <c r="S520"/>
      <c r="T520"/>
      <c r="U520"/>
      <c r="V520"/>
      <c r="W520"/>
      <c r="X520"/>
    </row>
    <row r="521" spans="1:24" s="103" customFormat="1" ht="15.75" hidden="1" customHeight="1" outlineLevel="1">
      <c r="A521" s="916"/>
      <c r="B521" s="1123"/>
      <c r="C521" s="1127"/>
      <c r="D521" s="1125"/>
      <c r="E521" s="1125"/>
      <c r="F521" s="1130"/>
      <c r="G521" s="95"/>
      <c r="H521" s="90"/>
      <c r="I521" s="1125"/>
      <c r="J521" s="1134"/>
      <c r="K521" s="1134"/>
      <c r="L521" s="916"/>
      <c r="P521"/>
      <c r="Q521"/>
      <c r="R521"/>
      <c r="S521"/>
      <c r="T521"/>
      <c r="U521"/>
      <c r="V521"/>
      <c r="W521"/>
      <c r="X521"/>
    </row>
    <row r="522" spans="1:24" s="103" customFormat="1" ht="15.75" hidden="1" customHeight="1" outlineLevel="1">
      <c r="A522" s="916"/>
      <c r="B522" s="1124"/>
      <c r="C522" s="1128"/>
      <c r="D522" s="1126"/>
      <c r="E522" s="1126"/>
      <c r="F522" s="1132"/>
      <c r="G522" s="100"/>
      <c r="H522" s="98"/>
      <c r="I522" s="1126"/>
      <c r="J522" s="1135"/>
      <c r="K522" s="1135"/>
      <c r="L522" s="916"/>
      <c r="P522"/>
      <c r="Q522"/>
      <c r="R522"/>
      <c r="S522"/>
      <c r="T522"/>
      <c r="U522"/>
      <c r="V522"/>
      <c r="W522"/>
      <c r="X522"/>
    </row>
    <row r="523" spans="1:24" s="103" customFormat="1" ht="15.75" hidden="1" customHeight="1" outlineLevel="1">
      <c r="A523" s="916"/>
      <c r="B523" s="1123">
        <v>171</v>
      </c>
      <c r="C523" s="1127"/>
      <c r="D523" s="1125"/>
      <c r="E523" s="1125" t="s">
        <v>18</v>
      </c>
      <c r="F523" s="1130" t="str">
        <f>VLOOKUP(E523,$N$13:$O$17,2,0)</f>
        <v>-</v>
      </c>
      <c r="G523" s="92"/>
      <c r="H523" s="90"/>
      <c r="I523" s="1125"/>
      <c r="J523" s="1133"/>
      <c r="K523" s="1133"/>
      <c r="L523" s="916"/>
      <c r="P523"/>
      <c r="Q523"/>
      <c r="R523"/>
      <c r="S523"/>
      <c r="T523"/>
      <c r="U523"/>
      <c r="V523"/>
      <c r="W523"/>
      <c r="X523"/>
    </row>
    <row r="524" spans="1:24" s="103" customFormat="1" ht="15.75" hidden="1" customHeight="1" outlineLevel="1">
      <c r="A524" s="916"/>
      <c r="B524" s="1123"/>
      <c r="C524" s="1127"/>
      <c r="D524" s="1125"/>
      <c r="E524" s="1125"/>
      <c r="F524" s="1130"/>
      <c r="G524" s="95"/>
      <c r="H524" s="90"/>
      <c r="I524" s="1125"/>
      <c r="J524" s="1134"/>
      <c r="K524" s="1134"/>
      <c r="L524" s="916"/>
      <c r="P524"/>
      <c r="Q524"/>
      <c r="R524"/>
      <c r="S524"/>
      <c r="T524"/>
      <c r="U524"/>
      <c r="V524"/>
      <c r="W524"/>
      <c r="X524"/>
    </row>
    <row r="525" spans="1:24" s="103" customFormat="1" ht="15.75" hidden="1" customHeight="1" outlineLevel="1">
      <c r="A525" s="916"/>
      <c r="B525" s="1124"/>
      <c r="C525" s="1128"/>
      <c r="D525" s="1126"/>
      <c r="E525" s="1126"/>
      <c r="F525" s="1132"/>
      <c r="G525" s="100"/>
      <c r="H525" s="98"/>
      <c r="I525" s="1126"/>
      <c r="J525" s="1135"/>
      <c r="K525" s="1135"/>
      <c r="L525" s="916"/>
      <c r="P525"/>
      <c r="Q525"/>
      <c r="R525"/>
      <c r="S525"/>
      <c r="T525"/>
      <c r="U525"/>
      <c r="V525"/>
      <c r="W525"/>
      <c r="X525"/>
    </row>
    <row r="526" spans="1:24" s="103" customFormat="1" ht="15.75" hidden="1" customHeight="1" outlineLevel="1">
      <c r="A526" s="916"/>
      <c r="B526" s="1123">
        <v>172</v>
      </c>
      <c r="C526" s="1127"/>
      <c r="D526" s="1125"/>
      <c r="E526" s="1125" t="s">
        <v>18</v>
      </c>
      <c r="F526" s="1130" t="str">
        <f>VLOOKUP(E526,$N$13:$O$17,2,0)</f>
        <v>-</v>
      </c>
      <c r="G526" s="92"/>
      <c r="H526" s="90"/>
      <c r="I526" s="1125"/>
      <c r="J526" s="1133"/>
      <c r="K526" s="1133"/>
      <c r="L526" s="916"/>
      <c r="P526"/>
      <c r="Q526"/>
      <c r="R526"/>
      <c r="S526"/>
      <c r="T526"/>
      <c r="U526"/>
      <c r="V526"/>
      <c r="W526"/>
      <c r="X526"/>
    </row>
    <row r="527" spans="1:24" s="103" customFormat="1" ht="15.75" hidden="1" customHeight="1" outlineLevel="1">
      <c r="A527" s="916"/>
      <c r="B527" s="1123"/>
      <c r="C527" s="1127"/>
      <c r="D527" s="1125"/>
      <c r="E527" s="1125"/>
      <c r="F527" s="1130"/>
      <c r="G527" s="95"/>
      <c r="H527" s="90"/>
      <c r="I527" s="1125"/>
      <c r="J527" s="1134"/>
      <c r="K527" s="1134"/>
      <c r="L527" s="916"/>
      <c r="P527"/>
      <c r="Q527"/>
      <c r="R527"/>
      <c r="S527"/>
      <c r="T527"/>
      <c r="U527"/>
      <c r="V527"/>
      <c r="W527"/>
      <c r="X527"/>
    </row>
    <row r="528" spans="1:24" s="103" customFormat="1" ht="15.75" hidden="1" customHeight="1" outlineLevel="1">
      <c r="A528" s="916"/>
      <c r="B528" s="1124"/>
      <c r="C528" s="1128"/>
      <c r="D528" s="1126"/>
      <c r="E528" s="1126"/>
      <c r="F528" s="1132"/>
      <c r="G528" s="100"/>
      <c r="H528" s="98"/>
      <c r="I528" s="1126"/>
      <c r="J528" s="1135"/>
      <c r="K528" s="1135"/>
      <c r="L528" s="916"/>
      <c r="P528"/>
      <c r="Q528"/>
      <c r="R528"/>
      <c r="S528"/>
      <c r="T528"/>
      <c r="U528"/>
      <c r="V528"/>
      <c r="W528"/>
      <c r="X528"/>
    </row>
    <row r="529" spans="1:24" s="103" customFormat="1" ht="15.75" hidden="1" customHeight="1" outlineLevel="1">
      <c r="A529" s="916"/>
      <c r="B529" s="1123">
        <v>173</v>
      </c>
      <c r="C529" s="1127"/>
      <c r="D529" s="1125"/>
      <c r="E529" s="1125" t="s">
        <v>18</v>
      </c>
      <c r="F529" s="1130" t="str">
        <f>VLOOKUP(E529,$N$13:$O$17,2,0)</f>
        <v>-</v>
      </c>
      <c r="G529" s="92"/>
      <c r="H529" s="90"/>
      <c r="I529" s="1125"/>
      <c r="J529" s="1133"/>
      <c r="K529" s="1133"/>
      <c r="L529" s="916"/>
      <c r="P529"/>
      <c r="Q529"/>
      <c r="R529"/>
      <c r="S529"/>
      <c r="T529"/>
      <c r="U529"/>
      <c r="V529"/>
      <c r="W529"/>
      <c r="X529"/>
    </row>
    <row r="530" spans="1:24" s="103" customFormat="1" ht="15.75" hidden="1" customHeight="1" outlineLevel="1">
      <c r="A530" s="916"/>
      <c r="B530" s="1123"/>
      <c r="C530" s="1127"/>
      <c r="D530" s="1125"/>
      <c r="E530" s="1125"/>
      <c r="F530" s="1130"/>
      <c r="G530" s="95"/>
      <c r="H530" s="90"/>
      <c r="I530" s="1125"/>
      <c r="J530" s="1134"/>
      <c r="K530" s="1134"/>
      <c r="L530" s="916"/>
      <c r="P530"/>
      <c r="Q530"/>
      <c r="R530"/>
      <c r="S530"/>
      <c r="T530"/>
      <c r="U530"/>
      <c r="V530"/>
      <c r="W530"/>
      <c r="X530"/>
    </row>
    <row r="531" spans="1:24" s="103" customFormat="1" ht="15.75" hidden="1" customHeight="1" outlineLevel="1">
      <c r="A531" s="916"/>
      <c r="B531" s="1124"/>
      <c r="C531" s="1128"/>
      <c r="D531" s="1126"/>
      <c r="E531" s="1126"/>
      <c r="F531" s="1132"/>
      <c r="G531" s="100"/>
      <c r="H531" s="98"/>
      <c r="I531" s="1126"/>
      <c r="J531" s="1135"/>
      <c r="K531" s="1135"/>
      <c r="L531" s="916"/>
      <c r="P531"/>
      <c r="Q531"/>
      <c r="R531"/>
      <c r="S531"/>
      <c r="T531"/>
      <c r="U531"/>
      <c r="V531"/>
      <c r="W531"/>
      <c r="X531"/>
    </row>
    <row r="532" spans="1:24" s="103" customFormat="1" ht="15.75" hidden="1" customHeight="1" outlineLevel="1">
      <c r="A532" s="916"/>
      <c r="B532" s="1123">
        <v>174</v>
      </c>
      <c r="C532" s="1127"/>
      <c r="D532" s="1125"/>
      <c r="E532" s="1125" t="s">
        <v>18</v>
      </c>
      <c r="F532" s="1130" t="str">
        <f>VLOOKUP(E532,$N$13:$O$17,2,0)</f>
        <v>-</v>
      </c>
      <c r="G532" s="92"/>
      <c r="H532" s="90"/>
      <c r="I532" s="1125"/>
      <c r="J532" s="1133"/>
      <c r="K532" s="1133"/>
      <c r="L532" s="916"/>
      <c r="P532"/>
      <c r="Q532"/>
      <c r="R532"/>
      <c r="S532"/>
      <c r="T532"/>
      <c r="U532"/>
      <c r="V532"/>
      <c r="W532"/>
      <c r="X532"/>
    </row>
    <row r="533" spans="1:24" s="103" customFormat="1" ht="15.75" hidden="1" customHeight="1" outlineLevel="1">
      <c r="A533" s="916"/>
      <c r="B533" s="1123"/>
      <c r="C533" s="1127"/>
      <c r="D533" s="1125"/>
      <c r="E533" s="1125"/>
      <c r="F533" s="1130"/>
      <c r="G533" s="95"/>
      <c r="H533" s="90"/>
      <c r="I533" s="1125"/>
      <c r="J533" s="1134"/>
      <c r="K533" s="1134"/>
      <c r="L533" s="916"/>
      <c r="P533"/>
      <c r="Q533"/>
      <c r="R533"/>
      <c r="S533"/>
      <c r="T533"/>
      <c r="U533"/>
      <c r="V533"/>
      <c r="W533"/>
      <c r="X533"/>
    </row>
    <row r="534" spans="1:24" s="103" customFormat="1" ht="15.75" hidden="1" customHeight="1" outlineLevel="1">
      <c r="A534" s="916"/>
      <c r="B534" s="1124"/>
      <c r="C534" s="1128"/>
      <c r="D534" s="1126"/>
      <c r="E534" s="1126"/>
      <c r="F534" s="1132"/>
      <c r="G534" s="100"/>
      <c r="H534" s="98"/>
      <c r="I534" s="1126"/>
      <c r="J534" s="1135"/>
      <c r="K534" s="1135"/>
      <c r="L534" s="916"/>
      <c r="P534"/>
      <c r="Q534"/>
      <c r="R534"/>
      <c r="S534"/>
      <c r="T534"/>
      <c r="U534"/>
      <c r="V534"/>
      <c r="W534"/>
      <c r="X534"/>
    </row>
    <row r="535" spans="1:24" s="103" customFormat="1" ht="15.75" hidden="1" customHeight="1" outlineLevel="1">
      <c r="A535" s="916"/>
      <c r="B535" s="1123">
        <v>175</v>
      </c>
      <c r="C535" s="1127"/>
      <c r="D535" s="1125"/>
      <c r="E535" s="1125" t="s">
        <v>18</v>
      </c>
      <c r="F535" s="1130" t="str">
        <f>VLOOKUP(E535,$N$13:$O$17,2,0)</f>
        <v>-</v>
      </c>
      <c r="G535" s="92"/>
      <c r="H535" s="90"/>
      <c r="I535" s="1125"/>
      <c r="J535" s="1133"/>
      <c r="K535" s="1133"/>
      <c r="L535" s="916"/>
      <c r="P535"/>
      <c r="Q535"/>
      <c r="R535"/>
      <c r="S535"/>
      <c r="T535"/>
      <c r="U535"/>
      <c r="V535"/>
      <c r="W535"/>
      <c r="X535"/>
    </row>
    <row r="536" spans="1:24" s="103" customFormat="1" ht="15.75" hidden="1" customHeight="1" outlineLevel="1">
      <c r="A536" s="916"/>
      <c r="B536" s="1123"/>
      <c r="C536" s="1127"/>
      <c r="D536" s="1125"/>
      <c r="E536" s="1125"/>
      <c r="F536" s="1130"/>
      <c r="G536" s="95"/>
      <c r="H536" s="90"/>
      <c r="I536" s="1125"/>
      <c r="J536" s="1134"/>
      <c r="K536" s="1134"/>
      <c r="L536" s="916"/>
      <c r="P536"/>
      <c r="Q536"/>
      <c r="R536"/>
      <c r="S536"/>
      <c r="T536"/>
      <c r="U536"/>
      <c r="V536"/>
      <c r="W536"/>
      <c r="X536"/>
    </row>
    <row r="537" spans="1:24" s="103" customFormat="1" ht="15.75" hidden="1" customHeight="1" outlineLevel="1">
      <c r="A537" s="916"/>
      <c r="B537" s="1124"/>
      <c r="C537" s="1128"/>
      <c r="D537" s="1126"/>
      <c r="E537" s="1126"/>
      <c r="F537" s="1132"/>
      <c r="G537" s="100"/>
      <c r="H537" s="98"/>
      <c r="I537" s="1126"/>
      <c r="J537" s="1135"/>
      <c r="K537" s="1135"/>
      <c r="L537" s="916"/>
      <c r="P537"/>
      <c r="Q537"/>
      <c r="R537"/>
      <c r="S537"/>
      <c r="T537"/>
      <c r="U537"/>
      <c r="V537"/>
      <c r="W537"/>
      <c r="X537"/>
    </row>
    <row r="538" spans="1:24" s="103" customFormat="1" ht="15.75" hidden="1" customHeight="1" outlineLevel="1">
      <c r="A538" s="916"/>
      <c r="B538" s="1123">
        <v>176</v>
      </c>
      <c r="C538" s="1127"/>
      <c r="D538" s="1125"/>
      <c r="E538" s="1125" t="s">
        <v>18</v>
      </c>
      <c r="F538" s="1130" t="str">
        <f>VLOOKUP(E538,$N$13:$O$17,2,0)</f>
        <v>-</v>
      </c>
      <c r="G538" s="92"/>
      <c r="H538" s="90"/>
      <c r="I538" s="1125"/>
      <c r="J538" s="1133"/>
      <c r="K538" s="1133"/>
      <c r="L538" s="916"/>
      <c r="P538"/>
      <c r="Q538"/>
      <c r="R538"/>
      <c r="S538"/>
      <c r="T538"/>
      <c r="U538"/>
      <c r="V538"/>
      <c r="W538"/>
      <c r="X538"/>
    </row>
    <row r="539" spans="1:24" s="103" customFormat="1" ht="15.75" hidden="1" customHeight="1" outlineLevel="1">
      <c r="A539" s="916"/>
      <c r="B539" s="1123"/>
      <c r="C539" s="1127"/>
      <c r="D539" s="1125"/>
      <c r="E539" s="1125"/>
      <c r="F539" s="1130"/>
      <c r="G539" s="95"/>
      <c r="H539" s="90"/>
      <c r="I539" s="1125"/>
      <c r="J539" s="1134"/>
      <c r="K539" s="1134"/>
      <c r="L539" s="916"/>
      <c r="P539"/>
      <c r="Q539"/>
      <c r="R539"/>
      <c r="S539"/>
      <c r="T539"/>
      <c r="U539"/>
      <c r="V539"/>
      <c r="W539"/>
      <c r="X539"/>
    </row>
    <row r="540" spans="1:24" s="103" customFormat="1" ht="15.75" hidden="1" customHeight="1" outlineLevel="1">
      <c r="A540" s="916"/>
      <c r="B540" s="1124"/>
      <c r="C540" s="1128"/>
      <c r="D540" s="1126"/>
      <c r="E540" s="1126"/>
      <c r="F540" s="1132"/>
      <c r="G540" s="100"/>
      <c r="H540" s="98"/>
      <c r="I540" s="1126"/>
      <c r="J540" s="1135"/>
      <c r="K540" s="1135"/>
      <c r="L540" s="916"/>
      <c r="P540"/>
      <c r="Q540"/>
      <c r="R540"/>
      <c r="S540"/>
      <c r="T540"/>
      <c r="U540"/>
      <c r="V540"/>
      <c r="W540"/>
      <c r="X540"/>
    </row>
    <row r="541" spans="1:24" s="103" customFormat="1" ht="15.75" hidden="1" customHeight="1" outlineLevel="1">
      <c r="A541" s="916"/>
      <c r="B541" s="1123">
        <v>177</v>
      </c>
      <c r="C541" s="1127"/>
      <c r="D541" s="1125"/>
      <c r="E541" s="1125" t="s">
        <v>18</v>
      </c>
      <c r="F541" s="1130" t="str">
        <f>VLOOKUP(E541,$N$13:$O$17,2,0)</f>
        <v>-</v>
      </c>
      <c r="G541" s="92"/>
      <c r="H541" s="90"/>
      <c r="I541" s="1125"/>
      <c r="J541" s="1133"/>
      <c r="K541" s="1133"/>
      <c r="L541" s="916"/>
      <c r="P541"/>
      <c r="Q541"/>
      <c r="R541"/>
      <c r="S541"/>
      <c r="T541"/>
      <c r="U541"/>
      <c r="V541"/>
      <c r="W541"/>
      <c r="X541"/>
    </row>
    <row r="542" spans="1:24" s="103" customFormat="1" ht="15.75" hidden="1" customHeight="1" outlineLevel="1">
      <c r="A542" s="916"/>
      <c r="B542" s="1123"/>
      <c r="C542" s="1127"/>
      <c r="D542" s="1125"/>
      <c r="E542" s="1125"/>
      <c r="F542" s="1130"/>
      <c r="G542" s="95"/>
      <c r="H542" s="90"/>
      <c r="I542" s="1125"/>
      <c r="J542" s="1134"/>
      <c r="K542" s="1134"/>
      <c r="L542" s="916"/>
      <c r="P542"/>
      <c r="Q542"/>
      <c r="R542"/>
      <c r="S542"/>
      <c r="T542"/>
      <c r="U542"/>
      <c r="V542"/>
      <c r="W542"/>
      <c r="X542"/>
    </row>
    <row r="543" spans="1:24" s="103" customFormat="1" ht="15.75" hidden="1" customHeight="1" outlineLevel="1">
      <c r="A543" s="916"/>
      <c r="B543" s="1124"/>
      <c r="C543" s="1128"/>
      <c r="D543" s="1126"/>
      <c r="E543" s="1126"/>
      <c r="F543" s="1132"/>
      <c r="G543" s="100"/>
      <c r="H543" s="98"/>
      <c r="I543" s="1126"/>
      <c r="J543" s="1135"/>
      <c r="K543" s="1135"/>
      <c r="L543" s="916"/>
      <c r="P543"/>
      <c r="Q543"/>
      <c r="R543"/>
      <c r="S543"/>
      <c r="T543"/>
      <c r="U543"/>
      <c r="V543"/>
      <c r="W543"/>
      <c r="X543"/>
    </row>
    <row r="544" spans="1:24" s="103" customFormat="1" ht="15.75" hidden="1" customHeight="1" outlineLevel="1">
      <c r="A544" s="916"/>
      <c r="B544" s="1123">
        <v>178</v>
      </c>
      <c r="C544" s="1127"/>
      <c r="D544" s="1125"/>
      <c r="E544" s="1125" t="s">
        <v>18</v>
      </c>
      <c r="F544" s="1130" t="str">
        <f>VLOOKUP(E544,$N$13:$O$17,2,0)</f>
        <v>-</v>
      </c>
      <c r="G544" s="92"/>
      <c r="H544" s="90"/>
      <c r="I544" s="1125"/>
      <c r="J544" s="1133"/>
      <c r="K544" s="1133"/>
      <c r="L544" s="916"/>
      <c r="P544"/>
      <c r="Q544"/>
      <c r="R544"/>
      <c r="S544"/>
      <c r="T544"/>
      <c r="U544"/>
      <c r="V544"/>
      <c r="W544"/>
      <c r="X544"/>
    </row>
    <row r="545" spans="1:24" s="103" customFormat="1" ht="15.75" hidden="1" customHeight="1" outlineLevel="1">
      <c r="A545" s="916"/>
      <c r="B545" s="1123"/>
      <c r="C545" s="1127"/>
      <c r="D545" s="1125"/>
      <c r="E545" s="1125"/>
      <c r="F545" s="1130"/>
      <c r="G545" s="95"/>
      <c r="H545" s="90"/>
      <c r="I545" s="1125"/>
      <c r="J545" s="1134"/>
      <c r="K545" s="1134"/>
      <c r="L545" s="916"/>
      <c r="P545"/>
      <c r="Q545"/>
      <c r="R545"/>
      <c r="S545"/>
      <c r="T545"/>
      <c r="U545"/>
      <c r="V545"/>
      <c r="W545"/>
      <c r="X545"/>
    </row>
    <row r="546" spans="1:24" s="103" customFormat="1" ht="15.75" hidden="1" customHeight="1" outlineLevel="1">
      <c r="A546" s="916"/>
      <c r="B546" s="1124"/>
      <c r="C546" s="1128"/>
      <c r="D546" s="1126"/>
      <c r="E546" s="1126"/>
      <c r="F546" s="1132"/>
      <c r="G546" s="100"/>
      <c r="H546" s="98"/>
      <c r="I546" s="1126"/>
      <c r="J546" s="1135"/>
      <c r="K546" s="1135"/>
      <c r="L546" s="916"/>
      <c r="P546"/>
      <c r="Q546"/>
      <c r="R546"/>
      <c r="S546"/>
      <c r="T546"/>
      <c r="U546"/>
      <c r="V546"/>
      <c r="W546"/>
      <c r="X546"/>
    </row>
    <row r="547" spans="1:24" s="103" customFormat="1" ht="15.75" hidden="1" customHeight="1" outlineLevel="1">
      <c r="A547" s="916"/>
      <c r="B547" s="1123">
        <v>179</v>
      </c>
      <c r="C547" s="1127"/>
      <c r="D547" s="1125"/>
      <c r="E547" s="1125" t="s">
        <v>18</v>
      </c>
      <c r="F547" s="1130" t="str">
        <f>VLOOKUP(E547,$N$13:$O$17,2,0)</f>
        <v>-</v>
      </c>
      <c r="G547" s="92"/>
      <c r="H547" s="90"/>
      <c r="I547" s="1125"/>
      <c r="J547" s="1133"/>
      <c r="K547" s="1133"/>
      <c r="L547" s="916"/>
      <c r="P547"/>
      <c r="Q547"/>
      <c r="R547"/>
      <c r="S547"/>
      <c r="T547"/>
      <c r="U547"/>
      <c r="V547"/>
      <c r="W547"/>
      <c r="X547"/>
    </row>
    <row r="548" spans="1:24" s="103" customFormat="1" ht="15.75" hidden="1" customHeight="1" outlineLevel="1">
      <c r="A548" s="916"/>
      <c r="B548" s="1123"/>
      <c r="C548" s="1127"/>
      <c r="D548" s="1125"/>
      <c r="E548" s="1125"/>
      <c r="F548" s="1130"/>
      <c r="G548" s="95"/>
      <c r="H548" s="90"/>
      <c r="I548" s="1125"/>
      <c r="J548" s="1134"/>
      <c r="K548" s="1134"/>
      <c r="L548" s="916"/>
      <c r="P548"/>
      <c r="Q548"/>
      <c r="R548"/>
      <c r="S548"/>
      <c r="T548"/>
      <c r="U548"/>
      <c r="V548"/>
      <c r="W548"/>
      <c r="X548"/>
    </row>
    <row r="549" spans="1:24" s="103" customFormat="1" ht="15.75" hidden="1" customHeight="1" outlineLevel="1">
      <c r="A549" s="916"/>
      <c r="B549" s="1124"/>
      <c r="C549" s="1128"/>
      <c r="D549" s="1126"/>
      <c r="E549" s="1126"/>
      <c r="F549" s="1132"/>
      <c r="G549" s="100"/>
      <c r="H549" s="98"/>
      <c r="I549" s="1126"/>
      <c r="J549" s="1135"/>
      <c r="K549" s="1135"/>
      <c r="L549" s="916"/>
      <c r="P549"/>
      <c r="Q549"/>
      <c r="R549"/>
      <c r="S549"/>
      <c r="T549"/>
      <c r="U549"/>
      <c r="V549"/>
      <c r="W549"/>
      <c r="X549"/>
    </row>
    <row r="550" spans="1:24" s="103" customFormat="1" ht="15.75" hidden="1" customHeight="1" outlineLevel="1">
      <c r="A550" s="916"/>
      <c r="B550" s="1123">
        <v>180</v>
      </c>
      <c r="C550" s="1127"/>
      <c r="D550" s="1125"/>
      <c r="E550" s="1125" t="s">
        <v>18</v>
      </c>
      <c r="F550" s="1130" t="str">
        <f>VLOOKUP(E550,$N$13:$O$17,2,0)</f>
        <v>-</v>
      </c>
      <c r="G550" s="92"/>
      <c r="H550" s="90"/>
      <c r="I550" s="1125"/>
      <c r="J550" s="1133"/>
      <c r="K550" s="1133"/>
      <c r="L550" s="916"/>
      <c r="P550"/>
      <c r="Q550"/>
      <c r="R550"/>
      <c r="S550"/>
      <c r="T550"/>
      <c r="U550"/>
      <c r="V550"/>
      <c r="W550"/>
      <c r="X550"/>
    </row>
    <row r="551" spans="1:24" s="103" customFormat="1" ht="15.75" hidden="1" customHeight="1" outlineLevel="1">
      <c r="A551" s="916"/>
      <c r="B551" s="1123"/>
      <c r="C551" s="1127"/>
      <c r="D551" s="1125"/>
      <c r="E551" s="1125"/>
      <c r="F551" s="1130"/>
      <c r="G551" s="95"/>
      <c r="H551" s="90"/>
      <c r="I551" s="1125"/>
      <c r="J551" s="1134"/>
      <c r="K551" s="1134"/>
      <c r="L551" s="916"/>
      <c r="P551"/>
      <c r="Q551"/>
      <c r="R551"/>
      <c r="S551"/>
      <c r="T551"/>
      <c r="U551"/>
      <c r="V551"/>
      <c r="W551"/>
      <c r="X551"/>
    </row>
    <row r="552" spans="1:24" s="103" customFormat="1" ht="15.75" hidden="1" customHeight="1" outlineLevel="1">
      <c r="A552" s="916"/>
      <c r="B552" s="1124"/>
      <c r="C552" s="1128"/>
      <c r="D552" s="1126"/>
      <c r="E552" s="1126"/>
      <c r="F552" s="1132"/>
      <c r="G552" s="100"/>
      <c r="H552" s="98"/>
      <c r="I552" s="1126"/>
      <c r="J552" s="1135"/>
      <c r="K552" s="1135"/>
      <c r="L552" s="916"/>
      <c r="P552"/>
      <c r="Q552"/>
      <c r="R552"/>
      <c r="S552"/>
      <c r="T552"/>
      <c r="U552"/>
      <c r="V552"/>
      <c r="W552"/>
      <c r="X552"/>
    </row>
    <row r="553" spans="1:24" s="103" customFormat="1" ht="15.75" hidden="1" customHeight="1" outlineLevel="1">
      <c r="A553" s="916"/>
      <c r="B553" s="1123">
        <v>181</v>
      </c>
      <c r="C553" s="1127"/>
      <c r="D553" s="1125"/>
      <c r="E553" s="1125" t="s">
        <v>18</v>
      </c>
      <c r="F553" s="1130" t="str">
        <f>VLOOKUP(E553,$N$13:$O$17,2,0)</f>
        <v>-</v>
      </c>
      <c r="G553" s="92"/>
      <c r="H553" s="90"/>
      <c r="I553" s="1125"/>
      <c r="J553" s="1133"/>
      <c r="K553" s="1133"/>
      <c r="L553" s="916"/>
      <c r="P553"/>
      <c r="Q553"/>
      <c r="R553"/>
      <c r="S553"/>
      <c r="T553"/>
      <c r="U553"/>
      <c r="V553"/>
      <c r="W553"/>
      <c r="X553"/>
    </row>
    <row r="554" spans="1:24" s="103" customFormat="1" ht="15.75" hidden="1" customHeight="1" outlineLevel="1">
      <c r="A554" s="916"/>
      <c r="B554" s="1123"/>
      <c r="C554" s="1127"/>
      <c r="D554" s="1125"/>
      <c r="E554" s="1125"/>
      <c r="F554" s="1130"/>
      <c r="G554" s="95"/>
      <c r="H554" s="90"/>
      <c r="I554" s="1125"/>
      <c r="J554" s="1134"/>
      <c r="K554" s="1134"/>
      <c r="L554" s="916"/>
      <c r="P554"/>
      <c r="Q554"/>
      <c r="R554"/>
      <c r="S554"/>
      <c r="T554"/>
      <c r="U554"/>
      <c r="V554"/>
      <c r="W554"/>
      <c r="X554"/>
    </row>
    <row r="555" spans="1:24" s="103" customFormat="1" ht="15.75" hidden="1" customHeight="1" outlineLevel="1">
      <c r="A555" s="916"/>
      <c r="B555" s="1124"/>
      <c r="C555" s="1128"/>
      <c r="D555" s="1126"/>
      <c r="E555" s="1126"/>
      <c r="F555" s="1132"/>
      <c r="G555" s="100"/>
      <c r="H555" s="98"/>
      <c r="I555" s="1126"/>
      <c r="J555" s="1135"/>
      <c r="K555" s="1135"/>
      <c r="L555" s="916"/>
      <c r="P555"/>
      <c r="Q555"/>
      <c r="R555"/>
      <c r="S555"/>
      <c r="T555"/>
      <c r="U555"/>
      <c r="V555"/>
      <c r="W555"/>
      <c r="X555"/>
    </row>
    <row r="556" spans="1:24" s="103" customFormat="1" ht="15.75" hidden="1" customHeight="1" outlineLevel="1">
      <c r="A556" s="916"/>
      <c r="B556" s="1123">
        <v>182</v>
      </c>
      <c r="C556" s="1127"/>
      <c r="D556" s="1125"/>
      <c r="E556" s="1125" t="s">
        <v>18</v>
      </c>
      <c r="F556" s="1130" t="str">
        <f>VLOOKUP(E556,$N$13:$O$17,2,0)</f>
        <v>-</v>
      </c>
      <c r="G556" s="92"/>
      <c r="H556" s="90"/>
      <c r="I556" s="1125"/>
      <c r="J556" s="1133"/>
      <c r="K556" s="1133"/>
      <c r="L556" s="916"/>
      <c r="P556"/>
      <c r="Q556"/>
      <c r="R556"/>
      <c r="S556"/>
      <c r="T556"/>
      <c r="U556"/>
      <c r="V556"/>
      <c r="W556"/>
      <c r="X556"/>
    </row>
    <row r="557" spans="1:24" s="103" customFormat="1" ht="15.75" hidden="1" customHeight="1" outlineLevel="1">
      <c r="A557" s="916"/>
      <c r="B557" s="1123"/>
      <c r="C557" s="1127"/>
      <c r="D557" s="1125"/>
      <c r="E557" s="1125"/>
      <c r="F557" s="1130"/>
      <c r="G557" s="95"/>
      <c r="H557" s="90"/>
      <c r="I557" s="1125"/>
      <c r="J557" s="1134"/>
      <c r="K557" s="1134"/>
      <c r="L557" s="916"/>
      <c r="P557"/>
      <c r="Q557"/>
      <c r="R557"/>
      <c r="S557"/>
      <c r="T557"/>
      <c r="U557"/>
      <c r="V557"/>
      <c r="W557"/>
      <c r="X557"/>
    </row>
    <row r="558" spans="1:24" s="103" customFormat="1" ht="15.75" hidden="1" customHeight="1" outlineLevel="1">
      <c r="A558" s="916"/>
      <c r="B558" s="1124"/>
      <c r="C558" s="1128"/>
      <c r="D558" s="1126"/>
      <c r="E558" s="1126"/>
      <c r="F558" s="1132"/>
      <c r="G558" s="100"/>
      <c r="H558" s="98"/>
      <c r="I558" s="1126"/>
      <c r="J558" s="1135"/>
      <c r="K558" s="1135"/>
      <c r="L558" s="916"/>
      <c r="P558"/>
      <c r="Q558"/>
      <c r="R558"/>
      <c r="S558"/>
      <c r="T558"/>
      <c r="U558"/>
      <c r="V558"/>
      <c r="W558"/>
      <c r="X558"/>
    </row>
    <row r="559" spans="1:24" s="103" customFormat="1" ht="15.75" hidden="1" customHeight="1" outlineLevel="1">
      <c r="A559" s="916"/>
      <c r="B559" s="1123">
        <v>183</v>
      </c>
      <c r="C559" s="1127"/>
      <c r="D559" s="1125"/>
      <c r="E559" s="1125" t="s">
        <v>18</v>
      </c>
      <c r="F559" s="1130" t="str">
        <f>VLOOKUP(E559,$N$13:$O$17,2,0)</f>
        <v>-</v>
      </c>
      <c r="G559" s="92"/>
      <c r="H559" s="90"/>
      <c r="I559" s="1125"/>
      <c r="J559" s="1133"/>
      <c r="K559" s="1133"/>
      <c r="L559" s="916"/>
      <c r="P559"/>
      <c r="Q559"/>
      <c r="R559"/>
      <c r="S559"/>
      <c r="T559"/>
      <c r="U559"/>
      <c r="V559"/>
      <c r="W559"/>
      <c r="X559"/>
    </row>
    <row r="560" spans="1:24" s="103" customFormat="1" ht="15.75" hidden="1" customHeight="1" outlineLevel="1">
      <c r="A560" s="916"/>
      <c r="B560" s="1123"/>
      <c r="C560" s="1127"/>
      <c r="D560" s="1125"/>
      <c r="E560" s="1125"/>
      <c r="F560" s="1130"/>
      <c r="G560" s="95"/>
      <c r="H560" s="90"/>
      <c r="I560" s="1125"/>
      <c r="J560" s="1134"/>
      <c r="K560" s="1134"/>
      <c r="L560" s="916"/>
      <c r="P560"/>
      <c r="Q560"/>
      <c r="R560"/>
      <c r="S560"/>
      <c r="T560"/>
      <c r="U560"/>
      <c r="V560"/>
      <c r="W560"/>
      <c r="X560"/>
    </row>
    <row r="561" spans="1:24" s="103" customFormat="1" ht="15.75" hidden="1" customHeight="1" outlineLevel="1">
      <c r="A561" s="916"/>
      <c r="B561" s="1124"/>
      <c r="C561" s="1128"/>
      <c r="D561" s="1126"/>
      <c r="E561" s="1126"/>
      <c r="F561" s="1132"/>
      <c r="G561" s="100"/>
      <c r="H561" s="98"/>
      <c r="I561" s="1126"/>
      <c r="J561" s="1135"/>
      <c r="K561" s="1135"/>
      <c r="L561" s="916"/>
      <c r="P561"/>
      <c r="Q561"/>
      <c r="R561"/>
      <c r="S561"/>
      <c r="T561"/>
      <c r="U561"/>
      <c r="V561"/>
      <c r="W561"/>
      <c r="X561"/>
    </row>
    <row r="562" spans="1:24" s="103" customFormat="1" ht="15.75" hidden="1" customHeight="1" outlineLevel="1">
      <c r="A562" s="916"/>
      <c r="B562" s="1123">
        <v>184</v>
      </c>
      <c r="C562" s="1127"/>
      <c r="D562" s="1125"/>
      <c r="E562" s="1125" t="s">
        <v>18</v>
      </c>
      <c r="F562" s="1130" t="str">
        <f>VLOOKUP(E562,$N$13:$O$17,2,0)</f>
        <v>-</v>
      </c>
      <c r="G562" s="92"/>
      <c r="H562" s="90"/>
      <c r="I562" s="1125"/>
      <c r="J562" s="1133"/>
      <c r="K562" s="1133"/>
      <c r="L562" s="916"/>
      <c r="P562"/>
      <c r="Q562"/>
      <c r="R562"/>
      <c r="S562"/>
      <c r="T562"/>
      <c r="U562"/>
      <c r="V562"/>
      <c r="W562"/>
      <c r="X562"/>
    </row>
    <row r="563" spans="1:24" s="103" customFormat="1" ht="15.75" hidden="1" customHeight="1" outlineLevel="1">
      <c r="A563" s="916"/>
      <c r="B563" s="1123"/>
      <c r="C563" s="1127"/>
      <c r="D563" s="1125"/>
      <c r="E563" s="1125"/>
      <c r="F563" s="1130"/>
      <c r="G563" s="95"/>
      <c r="H563" s="90"/>
      <c r="I563" s="1125"/>
      <c r="J563" s="1134"/>
      <c r="K563" s="1134"/>
      <c r="L563" s="916"/>
      <c r="P563"/>
      <c r="Q563"/>
      <c r="R563"/>
      <c r="S563"/>
      <c r="T563"/>
      <c r="U563"/>
      <c r="V563"/>
      <c r="W563"/>
      <c r="X563"/>
    </row>
    <row r="564" spans="1:24" s="103" customFormat="1" ht="15.75" hidden="1" customHeight="1" outlineLevel="1">
      <c r="A564" s="916"/>
      <c r="B564" s="1124"/>
      <c r="C564" s="1128"/>
      <c r="D564" s="1126"/>
      <c r="E564" s="1126"/>
      <c r="F564" s="1132"/>
      <c r="G564" s="100"/>
      <c r="H564" s="98"/>
      <c r="I564" s="1126"/>
      <c r="J564" s="1135"/>
      <c r="K564" s="1135"/>
      <c r="L564" s="916"/>
      <c r="P564"/>
      <c r="Q564"/>
      <c r="R564"/>
      <c r="S564"/>
      <c r="T564"/>
      <c r="U564"/>
      <c r="V564"/>
      <c r="W564"/>
      <c r="X564"/>
    </row>
    <row r="565" spans="1:24" s="103" customFormat="1" ht="15.75" hidden="1" customHeight="1" outlineLevel="1">
      <c r="A565" s="916"/>
      <c r="B565" s="1123">
        <v>185</v>
      </c>
      <c r="C565" s="1127"/>
      <c r="D565" s="1125"/>
      <c r="E565" s="1125" t="s">
        <v>18</v>
      </c>
      <c r="F565" s="1130" t="str">
        <f>VLOOKUP(E565,$N$13:$O$17,2,0)</f>
        <v>-</v>
      </c>
      <c r="G565" s="92"/>
      <c r="H565" s="90"/>
      <c r="I565" s="1125"/>
      <c r="J565" s="1133"/>
      <c r="K565" s="1133"/>
      <c r="L565" s="916"/>
      <c r="P565"/>
      <c r="Q565"/>
      <c r="R565"/>
      <c r="S565"/>
      <c r="T565"/>
      <c r="U565"/>
      <c r="V565"/>
      <c r="W565"/>
      <c r="X565"/>
    </row>
    <row r="566" spans="1:24" s="103" customFormat="1" ht="15.75" hidden="1" customHeight="1" outlineLevel="1">
      <c r="A566" s="916"/>
      <c r="B566" s="1123"/>
      <c r="C566" s="1127"/>
      <c r="D566" s="1125"/>
      <c r="E566" s="1125"/>
      <c r="F566" s="1130"/>
      <c r="G566" s="95"/>
      <c r="H566" s="90"/>
      <c r="I566" s="1125"/>
      <c r="J566" s="1134"/>
      <c r="K566" s="1134"/>
      <c r="L566" s="916"/>
      <c r="P566"/>
      <c r="Q566"/>
      <c r="R566"/>
      <c r="S566"/>
      <c r="T566"/>
      <c r="U566"/>
      <c r="V566"/>
      <c r="W566"/>
      <c r="X566"/>
    </row>
    <row r="567" spans="1:24" s="103" customFormat="1" ht="15.75" hidden="1" customHeight="1" outlineLevel="1">
      <c r="A567" s="916"/>
      <c r="B567" s="1124"/>
      <c r="C567" s="1128"/>
      <c r="D567" s="1126"/>
      <c r="E567" s="1126"/>
      <c r="F567" s="1132"/>
      <c r="G567" s="100"/>
      <c r="H567" s="98"/>
      <c r="I567" s="1126"/>
      <c r="J567" s="1135"/>
      <c r="K567" s="1135"/>
      <c r="L567" s="916"/>
      <c r="P567"/>
      <c r="Q567"/>
      <c r="R567"/>
      <c r="S567"/>
      <c r="T567"/>
      <c r="U567"/>
      <c r="V567"/>
      <c r="W567"/>
      <c r="X567"/>
    </row>
    <row r="568" spans="1:24" s="103" customFormat="1" ht="15.75" hidden="1" customHeight="1" outlineLevel="1">
      <c r="A568" s="916"/>
      <c r="B568" s="1123">
        <v>186</v>
      </c>
      <c r="C568" s="1127"/>
      <c r="D568" s="1125"/>
      <c r="E568" s="1125" t="s">
        <v>18</v>
      </c>
      <c r="F568" s="1130" t="str">
        <f>VLOOKUP(E568,$N$13:$O$17,2,0)</f>
        <v>-</v>
      </c>
      <c r="G568" s="92"/>
      <c r="H568" s="90"/>
      <c r="I568" s="1125"/>
      <c r="J568" s="1133"/>
      <c r="K568" s="1133"/>
      <c r="L568" s="916"/>
      <c r="P568"/>
      <c r="Q568"/>
      <c r="R568"/>
      <c r="S568"/>
      <c r="T568"/>
      <c r="U568"/>
      <c r="V568"/>
      <c r="W568"/>
      <c r="X568"/>
    </row>
    <row r="569" spans="1:24" s="103" customFormat="1" ht="15.75" hidden="1" customHeight="1" outlineLevel="1">
      <c r="A569" s="916"/>
      <c r="B569" s="1123"/>
      <c r="C569" s="1127"/>
      <c r="D569" s="1125"/>
      <c r="E569" s="1125"/>
      <c r="F569" s="1130"/>
      <c r="G569" s="95"/>
      <c r="H569" s="90"/>
      <c r="I569" s="1125"/>
      <c r="J569" s="1134"/>
      <c r="K569" s="1134"/>
      <c r="L569" s="916"/>
      <c r="P569"/>
      <c r="Q569"/>
      <c r="R569"/>
      <c r="S569"/>
      <c r="T569"/>
      <c r="U569"/>
      <c r="V569"/>
      <c r="W569"/>
      <c r="X569"/>
    </row>
    <row r="570" spans="1:24" s="103" customFormat="1" ht="15.75" hidden="1" customHeight="1" outlineLevel="1">
      <c r="A570" s="916"/>
      <c r="B570" s="1124"/>
      <c r="C570" s="1128"/>
      <c r="D570" s="1126"/>
      <c r="E570" s="1126"/>
      <c r="F570" s="1132"/>
      <c r="G570" s="100"/>
      <c r="H570" s="98"/>
      <c r="I570" s="1126"/>
      <c r="J570" s="1135"/>
      <c r="K570" s="1135"/>
      <c r="L570" s="916"/>
      <c r="P570"/>
      <c r="Q570"/>
      <c r="R570"/>
      <c r="S570"/>
      <c r="T570"/>
      <c r="U570"/>
      <c r="V570"/>
      <c r="W570"/>
      <c r="X570"/>
    </row>
    <row r="571" spans="1:24" s="103" customFormat="1" ht="15.75" hidden="1" customHeight="1" outlineLevel="1">
      <c r="A571" s="916"/>
      <c r="B571" s="1123">
        <v>187</v>
      </c>
      <c r="C571" s="1127"/>
      <c r="D571" s="1125"/>
      <c r="E571" s="1125" t="s">
        <v>18</v>
      </c>
      <c r="F571" s="1130" t="str">
        <f>VLOOKUP(E571,$N$13:$O$17,2,0)</f>
        <v>-</v>
      </c>
      <c r="G571" s="92"/>
      <c r="H571" s="90"/>
      <c r="I571" s="1125"/>
      <c r="J571" s="1133"/>
      <c r="K571" s="1133"/>
      <c r="L571" s="916"/>
      <c r="P571"/>
      <c r="Q571"/>
      <c r="R571"/>
      <c r="S571"/>
      <c r="T571"/>
      <c r="U571"/>
      <c r="V571"/>
      <c r="W571"/>
      <c r="X571"/>
    </row>
    <row r="572" spans="1:24" s="103" customFormat="1" ht="15.75" hidden="1" customHeight="1" outlineLevel="1">
      <c r="A572" s="916"/>
      <c r="B572" s="1123"/>
      <c r="C572" s="1127"/>
      <c r="D572" s="1125"/>
      <c r="E572" s="1125"/>
      <c r="F572" s="1130"/>
      <c r="G572" s="95"/>
      <c r="H572" s="90"/>
      <c r="I572" s="1125"/>
      <c r="J572" s="1134"/>
      <c r="K572" s="1134"/>
      <c r="L572" s="916"/>
      <c r="P572"/>
      <c r="Q572"/>
      <c r="R572"/>
      <c r="S572"/>
      <c r="T572"/>
      <c r="U572"/>
      <c r="V572"/>
      <c r="W572"/>
      <c r="X572"/>
    </row>
    <row r="573" spans="1:24" s="103" customFormat="1" ht="15.75" hidden="1" customHeight="1" outlineLevel="1">
      <c r="A573" s="916"/>
      <c r="B573" s="1124"/>
      <c r="C573" s="1128"/>
      <c r="D573" s="1126"/>
      <c r="E573" s="1126"/>
      <c r="F573" s="1132"/>
      <c r="G573" s="100"/>
      <c r="H573" s="98"/>
      <c r="I573" s="1126"/>
      <c r="J573" s="1135"/>
      <c r="K573" s="1135"/>
      <c r="L573" s="916"/>
      <c r="P573"/>
      <c r="Q573"/>
      <c r="R573"/>
      <c r="S573"/>
      <c r="T573"/>
      <c r="U573"/>
      <c r="V573"/>
      <c r="W573"/>
      <c r="X573"/>
    </row>
    <row r="574" spans="1:24" s="103" customFormat="1" ht="15.75" hidden="1" customHeight="1" outlineLevel="1">
      <c r="A574" s="916"/>
      <c r="B574" s="1123">
        <v>188</v>
      </c>
      <c r="C574" s="1127"/>
      <c r="D574" s="1125"/>
      <c r="E574" s="1125" t="s">
        <v>18</v>
      </c>
      <c r="F574" s="1130" t="str">
        <f>VLOOKUP(E574,$N$13:$O$17,2,0)</f>
        <v>-</v>
      </c>
      <c r="G574" s="92"/>
      <c r="H574" s="90"/>
      <c r="I574" s="1125"/>
      <c r="J574" s="1133"/>
      <c r="K574" s="1133"/>
      <c r="L574" s="916"/>
      <c r="P574"/>
      <c r="Q574"/>
      <c r="R574"/>
      <c r="S574"/>
      <c r="T574"/>
      <c r="U574"/>
      <c r="V574"/>
      <c r="W574"/>
      <c r="X574"/>
    </row>
    <row r="575" spans="1:24" s="103" customFormat="1" ht="15.75" hidden="1" customHeight="1" outlineLevel="1">
      <c r="A575" s="916"/>
      <c r="B575" s="1123"/>
      <c r="C575" s="1127"/>
      <c r="D575" s="1125"/>
      <c r="E575" s="1125"/>
      <c r="F575" s="1130"/>
      <c r="G575" s="95"/>
      <c r="H575" s="90"/>
      <c r="I575" s="1125"/>
      <c r="J575" s="1134"/>
      <c r="K575" s="1134"/>
      <c r="L575" s="916"/>
      <c r="P575"/>
      <c r="Q575"/>
      <c r="R575"/>
      <c r="S575"/>
      <c r="T575"/>
      <c r="U575"/>
      <c r="V575"/>
      <c r="W575"/>
      <c r="X575"/>
    </row>
    <row r="576" spans="1:24" s="103" customFormat="1" ht="15.75" hidden="1" customHeight="1" outlineLevel="1">
      <c r="A576" s="916"/>
      <c r="B576" s="1124"/>
      <c r="C576" s="1128"/>
      <c r="D576" s="1126"/>
      <c r="E576" s="1126"/>
      <c r="F576" s="1132"/>
      <c r="G576" s="100"/>
      <c r="H576" s="98"/>
      <c r="I576" s="1126"/>
      <c r="J576" s="1135"/>
      <c r="K576" s="1135"/>
      <c r="L576" s="916"/>
      <c r="P576"/>
      <c r="Q576"/>
      <c r="R576"/>
      <c r="S576"/>
      <c r="T576"/>
      <c r="U576"/>
      <c r="V576"/>
      <c r="W576"/>
      <c r="X576"/>
    </row>
    <row r="577" spans="1:24" s="103" customFormat="1" ht="15.75" hidden="1" customHeight="1" outlineLevel="1">
      <c r="A577" s="916"/>
      <c r="B577" s="1123">
        <v>189</v>
      </c>
      <c r="C577" s="1127"/>
      <c r="D577" s="1125"/>
      <c r="E577" s="1125" t="s">
        <v>18</v>
      </c>
      <c r="F577" s="1130" t="str">
        <f>VLOOKUP(E577,$N$13:$O$17,2,0)</f>
        <v>-</v>
      </c>
      <c r="G577" s="92"/>
      <c r="H577" s="90"/>
      <c r="I577" s="1125"/>
      <c r="J577" s="1133"/>
      <c r="K577" s="1133"/>
      <c r="L577" s="916"/>
      <c r="P577"/>
      <c r="Q577"/>
      <c r="R577"/>
      <c r="S577"/>
      <c r="T577"/>
      <c r="U577"/>
      <c r="V577"/>
      <c r="W577"/>
      <c r="X577"/>
    </row>
    <row r="578" spans="1:24" s="103" customFormat="1" ht="15.75" hidden="1" customHeight="1" outlineLevel="1">
      <c r="A578" s="916"/>
      <c r="B578" s="1123"/>
      <c r="C578" s="1127"/>
      <c r="D578" s="1125"/>
      <c r="E578" s="1125"/>
      <c r="F578" s="1130"/>
      <c r="G578" s="95"/>
      <c r="H578" s="90"/>
      <c r="I578" s="1125"/>
      <c r="J578" s="1134"/>
      <c r="K578" s="1134"/>
      <c r="L578" s="916"/>
      <c r="P578"/>
      <c r="Q578"/>
      <c r="R578"/>
      <c r="S578"/>
      <c r="T578"/>
      <c r="U578"/>
      <c r="V578"/>
      <c r="W578"/>
      <c r="X578"/>
    </row>
    <row r="579" spans="1:24" s="103" customFormat="1" ht="15.75" hidden="1" customHeight="1" outlineLevel="1">
      <c r="A579" s="916"/>
      <c r="B579" s="1124"/>
      <c r="C579" s="1128"/>
      <c r="D579" s="1126"/>
      <c r="E579" s="1126"/>
      <c r="F579" s="1132"/>
      <c r="G579" s="100"/>
      <c r="H579" s="98"/>
      <c r="I579" s="1126"/>
      <c r="J579" s="1135"/>
      <c r="K579" s="1135"/>
      <c r="L579" s="916"/>
      <c r="P579"/>
      <c r="Q579"/>
      <c r="R579"/>
      <c r="S579"/>
      <c r="T579"/>
      <c r="U579"/>
      <c r="V579"/>
      <c r="W579"/>
      <c r="X579"/>
    </row>
    <row r="580" spans="1:24" s="103" customFormat="1" ht="15.75" hidden="1" customHeight="1" outlineLevel="1">
      <c r="A580" s="916"/>
      <c r="B580" s="1123">
        <v>190</v>
      </c>
      <c r="C580" s="1127"/>
      <c r="D580" s="1125"/>
      <c r="E580" s="1125" t="s">
        <v>18</v>
      </c>
      <c r="F580" s="1130" t="str">
        <f>VLOOKUP(E580,$N$13:$O$17,2,0)</f>
        <v>-</v>
      </c>
      <c r="G580" s="92"/>
      <c r="H580" s="90"/>
      <c r="I580" s="1125"/>
      <c r="J580" s="1133"/>
      <c r="K580" s="1133"/>
      <c r="L580" s="916"/>
      <c r="P580"/>
      <c r="Q580"/>
      <c r="R580"/>
      <c r="S580"/>
      <c r="T580"/>
      <c r="U580"/>
      <c r="V580"/>
      <c r="W580"/>
      <c r="X580"/>
    </row>
    <row r="581" spans="1:24" s="103" customFormat="1" ht="15.75" hidden="1" customHeight="1" outlineLevel="1">
      <c r="A581" s="916"/>
      <c r="B581" s="1123"/>
      <c r="C581" s="1127"/>
      <c r="D581" s="1125"/>
      <c r="E581" s="1125"/>
      <c r="F581" s="1130"/>
      <c r="G581" s="95"/>
      <c r="H581" s="90"/>
      <c r="I581" s="1125"/>
      <c r="J581" s="1134"/>
      <c r="K581" s="1134"/>
      <c r="L581" s="916"/>
      <c r="P581"/>
      <c r="Q581"/>
      <c r="R581"/>
      <c r="S581"/>
      <c r="T581"/>
      <c r="U581"/>
      <c r="V581"/>
      <c r="W581"/>
      <c r="X581"/>
    </row>
    <row r="582" spans="1:24" s="103" customFormat="1" ht="15.75" hidden="1" customHeight="1" outlineLevel="1">
      <c r="A582" s="916"/>
      <c r="B582" s="1124"/>
      <c r="C582" s="1128"/>
      <c r="D582" s="1126"/>
      <c r="E582" s="1126"/>
      <c r="F582" s="1132"/>
      <c r="G582" s="100"/>
      <c r="H582" s="98"/>
      <c r="I582" s="1126"/>
      <c r="J582" s="1135"/>
      <c r="K582" s="1135"/>
      <c r="L582" s="916"/>
      <c r="P582"/>
      <c r="Q582"/>
      <c r="R582"/>
      <c r="S582"/>
      <c r="T582"/>
      <c r="U582"/>
      <c r="V582"/>
      <c r="W582"/>
      <c r="X582"/>
    </row>
    <row r="583" spans="1:24" s="103" customFormat="1" ht="15.75" hidden="1" customHeight="1" outlineLevel="1">
      <c r="A583" s="916"/>
      <c r="B583" s="1123">
        <v>191</v>
      </c>
      <c r="C583" s="1127"/>
      <c r="D583" s="1125"/>
      <c r="E583" s="1125" t="s">
        <v>18</v>
      </c>
      <c r="F583" s="1130" t="str">
        <f>VLOOKUP(E583,$N$13:$O$17,2,0)</f>
        <v>-</v>
      </c>
      <c r="G583" s="92"/>
      <c r="H583" s="90"/>
      <c r="I583" s="1125"/>
      <c r="J583" s="1133"/>
      <c r="K583" s="1133"/>
      <c r="L583" s="916"/>
      <c r="P583"/>
      <c r="Q583"/>
      <c r="R583"/>
      <c r="S583"/>
      <c r="T583"/>
      <c r="U583"/>
      <c r="V583"/>
      <c r="W583"/>
      <c r="X583"/>
    </row>
    <row r="584" spans="1:24" s="103" customFormat="1" ht="15.75" hidden="1" customHeight="1" outlineLevel="1">
      <c r="A584" s="916"/>
      <c r="B584" s="1123"/>
      <c r="C584" s="1127"/>
      <c r="D584" s="1125"/>
      <c r="E584" s="1125"/>
      <c r="F584" s="1130"/>
      <c r="G584" s="95"/>
      <c r="H584" s="90"/>
      <c r="I584" s="1125"/>
      <c r="J584" s="1134"/>
      <c r="K584" s="1134"/>
      <c r="L584" s="916"/>
      <c r="P584"/>
      <c r="Q584"/>
      <c r="R584"/>
      <c r="S584"/>
      <c r="T584"/>
      <c r="U584"/>
      <c r="V584"/>
      <c r="W584"/>
      <c r="X584"/>
    </row>
    <row r="585" spans="1:24" s="103" customFormat="1" ht="15.75" hidden="1" customHeight="1" outlineLevel="1">
      <c r="A585" s="916"/>
      <c r="B585" s="1124"/>
      <c r="C585" s="1128"/>
      <c r="D585" s="1126"/>
      <c r="E585" s="1126"/>
      <c r="F585" s="1132"/>
      <c r="G585" s="100"/>
      <c r="H585" s="98"/>
      <c r="I585" s="1126"/>
      <c r="J585" s="1135"/>
      <c r="K585" s="1135"/>
      <c r="L585" s="916"/>
      <c r="P585"/>
      <c r="Q585"/>
      <c r="R585"/>
      <c r="S585"/>
      <c r="T585"/>
      <c r="U585"/>
      <c r="V585"/>
      <c r="W585"/>
      <c r="X585"/>
    </row>
    <row r="586" spans="1:24" s="103" customFormat="1" ht="15.75" hidden="1" customHeight="1" outlineLevel="1">
      <c r="A586" s="916"/>
      <c r="B586" s="1123">
        <v>192</v>
      </c>
      <c r="C586" s="1127"/>
      <c r="D586" s="1125"/>
      <c r="E586" s="1125" t="s">
        <v>18</v>
      </c>
      <c r="F586" s="1130" t="str">
        <f>VLOOKUP(E586,$N$13:$O$17,2,0)</f>
        <v>-</v>
      </c>
      <c r="G586" s="92"/>
      <c r="H586" s="90"/>
      <c r="I586" s="1125"/>
      <c r="J586" s="1133"/>
      <c r="K586" s="1133"/>
      <c r="L586" s="916"/>
      <c r="P586"/>
      <c r="Q586"/>
      <c r="R586"/>
      <c r="S586"/>
      <c r="T586"/>
      <c r="U586"/>
      <c r="V586"/>
      <c r="W586"/>
      <c r="X586"/>
    </row>
    <row r="587" spans="1:24" s="103" customFormat="1" ht="15.75" hidden="1" customHeight="1" outlineLevel="1">
      <c r="A587" s="916"/>
      <c r="B587" s="1123"/>
      <c r="C587" s="1127"/>
      <c r="D587" s="1125"/>
      <c r="E587" s="1125"/>
      <c r="F587" s="1130"/>
      <c r="G587" s="95"/>
      <c r="H587" s="90"/>
      <c r="I587" s="1125"/>
      <c r="J587" s="1134"/>
      <c r="K587" s="1134"/>
      <c r="L587" s="916"/>
      <c r="P587"/>
      <c r="Q587"/>
      <c r="R587"/>
      <c r="S587"/>
      <c r="T587"/>
      <c r="U587"/>
      <c r="V587"/>
      <c r="W587"/>
      <c r="X587"/>
    </row>
    <row r="588" spans="1:24" s="103" customFormat="1" ht="15.75" hidden="1" customHeight="1" outlineLevel="1">
      <c r="A588" s="916"/>
      <c r="B588" s="1124"/>
      <c r="C588" s="1128"/>
      <c r="D588" s="1126"/>
      <c r="E588" s="1126"/>
      <c r="F588" s="1132"/>
      <c r="G588" s="100"/>
      <c r="H588" s="98"/>
      <c r="I588" s="1126"/>
      <c r="J588" s="1135"/>
      <c r="K588" s="1135"/>
      <c r="L588" s="916"/>
      <c r="P588"/>
      <c r="Q588"/>
      <c r="R588"/>
      <c r="S588"/>
      <c r="T588"/>
      <c r="U588"/>
      <c r="V588"/>
      <c r="W588"/>
      <c r="X588"/>
    </row>
    <row r="589" spans="1:24" s="103" customFormat="1" ht="15.75" hidden="1" customHeight="1" outlineLevel="1">
      <c r="A589" s="916"/>
      <c r="B589" s="1123">
        <v>193</v>
      </c>
      <c r="C589" s="1127"/>
      <c r="D589" s="1125"/>
      <c r="E589" s="1125" t="s">
        <v>18</v>
      </c>
      <c r="F589" s="1130" t="str">
        <f>VLOOKUP(E589,$N$13:$O$17,2,0)</f>
        <v>-</v>
      </c>
      <c r="G589" s="92"/>
      <c r="H589" s="90"/>
      <c r="I589" s="1125"/>
      <c r="J589" s="1133"/>
      <c r="K589" s="1133"/>
      <c r="L589" s="916"/>
      <c r="P589"/>
      <c r="Q589"/>
      <c r="R589"/>
      <c r="S589"/>
      <c r="T589"/>
      <c r="U589"/>
      <c r="V589"/>
      <c r="W589"/>
      <c r="X589"/>
    </row>
    <row r="590" spans="1:24" s="103" customFormat="1" ht="15.75" hidden="1" customHeight="1" outlineLevel="1">
      <c r="A590" s="916"/>
      <c r="B590" s="1123"/>
      <c r="C590" s="1127"/>
      <c r="D590" s="1125"/>
      <c r="E590" s="1125"/>
      <c r="F590" s="1130"/>
      <c r="G590" s="95"/>
      <c r="H590" s="90"/>
      <c r="I590" s="1125"/>
      <c r="J590" s="1134"/>
      <c r="K590" s="1134"/>
      <c r="L590" s="916"/>
      <c r="P590"/>
      <c r="Q590"/>
      <c r="R590"/>
      <c r="S590"/>
      <c r="T590"/>
      <c r="U590"/>
      <c r="V590"/>
      <c r="W590"/>
      <c r="X590"/>
    </row>
    <row r="591" spans="1:24" s="103" customFormat="1" ht="15.75" hidden="1" customHeight="1" outlineLevel="1">
      <c r="A591" s="916"/>
      <c r="B591" s="1124"/>
      <c r="C591" s="1128"/>
      <c r="D591" s="1126"/>
      <c r="E591" s="1126"/>
      <c r="F591" s="1132"/>
      <c r="G591" s="100"/>
      <c r="H591" s="98"/>
      <c r="I591" s="1126"/>
      <c r="J591" s="1135"/>
      <c r="K591" s="1135"/>
      <c r="L591" s="916"/>
      <c r="P591"/>
      <c r="Q591"/>
      <c r="R591"/>
      <c r="S591"/>
      <c r="T591"/>
      <c r="U591"/>
      <c r="V591"/>
      <c r="W591"/>
      <c r="X591"/>
    </row>
    <row r="592" spans="1:24" s="103" customFormat="1" ht="15.75" hidden="1" customHeight="1" outlineLevel="1">
      <c r="A592" s="916"/>
      <c r="B592" s="1123">
        <v>194</v>
      </c>
      <c r="C592" s="1127"/>
      <c r="D592" s="1125"/>
      <c r="E592" s="1125" t="s">
        <v>18</v>
      </c>
      <c r="F592" s="1130" t="str">
        <f>VLOOKUP(E592,$N$13:$O$17,2,0)</f>
        <v>-</v>
      </c>
      <c r="G592" s="92"/>
      <c r="H592" s="90"/>
      <c r="I592" s="1125"/>
      <c r="J592" s="1133"/>
      <c r="K592" s="1133"/>
      <c r="L592" s="916"/>
      <c r="P592"/>
      <c r="Q592"/>
      <c r="R592"/>
      <c r="S592"/>
      <c r="T592"/>
      <c r="U592"/>
      <c r="V592"/>
      <c r="W592"/>
      <c r="X592"/>
    </row>
    <row r="593" spans="1:24" s="103" customFormat="1" ht="15.75" hidden="1" customHeight="1" outlineLevel="1">
      <c r="A593" s="916"/>
      <c r="B593" s="1123"/>
      <c r="C593" s="1127"/>
      <c r="D593" s="1125"/>
      <c r="E593" s="1125"/>
      <c r="F593" s="1130"/>
      <c r="G593" s="95"/>
      <c r="H593" s="90"/>
      <c r="I593" s="1125"/>
      <c r="J593" s="1134"/>
      <c r="K593" s="1134"/>
      <c r="L593" s="916"/>
      <c r="P593"/>
      <c r="Q593"/>
      <c r="R593"/>
      <c r="S593"/>
      <c r="T593"/>
      <c r="U593"/>
      <c r="V593"/>
      <c r="W593"/>
      <c r="X593"/>
    </row>
    <row r="594" spans="1:24" s="103" customFormat="1" ht="15.75" hidden="1" customHeight="1" outlineLevel="1">
      <c r="A594" s="916"/>
      <c r="B594" s="1124"/>
      <c r="C594" s="1128"/>
      <c r="D594" s="1126"/>
      <c r="E594" s="1126"/>
      <c r="F594" s="1132"/>
      <c r="G594" s="100"/>
      <c r="H594" s="98"/>
      <c r="I594" s="1126"/>
      <c r="J594" s="1135"/>
      <c r="K594" s="1135"/>
      <c r="L594" s="916"/>
      <c r="P594"/>
      <c r="Q594"/>
      <c r="R594"/>
      <c r="S594"/>
      <c r="T594"/>
      <c r="U594"/>
      <c r="V594"/>
      <c r="W594"/>
      <c r="X594"/>
    </row>
    <row r="595" spans="1:24" s="103" customFormat="1" ht="15.75" hidden="1" customHeight="1" outlineLevel="1">
      <c r="A595" s="916"/>
      <c r="B595" s="1123">
        <v>195</v>
      </c>
      <c r="C595" s="1127"/>
      <c r="D595" s="1125"/>
      <c r="E595" s="1125" t="s">
        <v>18</v>
      </c>
      <c r="F595" s="1130" t="str">
        <f>VLOOKUP(E595,$N$13:$O$17,2,0)</f>
        <v>-</v>
      </c>
      <c r="G595" s="92"/>
      <c r="H595" s="90"/>
      <c r="I595" s="1125"/>
      <c r="J595" s="1133"/>
      <c r="K595" s="1133"/>
      <c r="L595" s="916"/>
      <c r="P595"/>
      <c r="Q595"/>
      <c r="R595"/>
      <c r="S595"/>
      <c r="T595"/>
      <c r="U595"/>
      <c r="V595"/>
      <c r="W595"/>
      <c r="X595"/>
    </row>
    <row r="596" spans="1:24" s="103" customFormat="1" ht="15.75" hidden="1" customHeight="1" outlineLevel="1">
      <c r="A596" s="916"/>
      <c r="B596" s="1123"/>
      <c r="C596" s="1127"/>
      <c r="D596" s="1125"/>
      <c r="E596" s="1125"/>
      <c r="F596" s="1130"/>
      <c r="G596" s="95"/>
      <c r="H596" s="90"/>
      <c r="I596" s="1125"/>
      <c r="J596" s="1134"/>
      <c r="K596" s="1134"/>
      <c r="L596" s="916"/>
      <c r="P596"/>
      <c r="Q596"/>
      <c r="R596"/>
      <c r="S596"/>
      <c r="T596"/>
      <c r="U596"/>
      <c r="V596"/>
      <c r="W596"/>
      <c r="X596"/>
    </row>
    <row r="597" spans="1:24" s="103" customFormat="1" ht="15.75" hidden="1" customHeight="1" outlineLevel="1">
      <c r="A597" s="916"/>
      <c r="B597" s="1124"/>
      <c r="C597" s="1128"/>
      <c r="D597" s="1126"/>
      <c r="E597" s="1126"/>
      <c r="F597" s="1132"/>
      <c r="G597" s="100"/>
      <c r="H597" s="98"/>
      <c r="I597" s="1126"/>
      <c r="J597" s="1135"/>
      <c r="K597" s="1135"/>
      <c r="L597" s="916"/>
      <c r="P597"/>
      <c r="Q597"/>
      <c r="R597"/>
      <c r="S597"/>
      <c r="T597"/>
      <c r="U597"/>
      <c r="V597"/>
      <c r="W597"/>
      <c r="X597"/>
    </row>
    <row r="598" spans="1:24" s="103" customFormat="1" ht="15.75" hidden="1" customHeight="1" outlineLevel="1">
      <c r="A598" s="916"/>
      <c r="B598" s="1123">
        <v>196</v>
      </c>
      <c r="C598" s="1127"/>
      <c r="D598" s="1125"/>
      <c r="E598" s="1125" t="s">
        <v>18</v>
      </c>
      <c r="F598" s="1130" t="str">
        <f>VLOOKUP(E598,$N$13:$O$17,2,0)</f>
        <v>-</v>
      </c>
      <c r="G598" s="92"/>
      <c r="H598" s="90"/>
      <c r="I598" s="1125"/>
      <c r="J598" s="1133"/>
      <c r="K598" s="1133"/>
      <c r="L598" s="916"/>
      <c r="P598"/>
      <c r="Q598"/>
      <c r="R598"/>
      <c r="S598"/>
      <c r="T598"/>
      <c r="U598"/>
      <c r="V598"/>
      <c r="W598"/>
      <c r="X598"/>
    </row>
    <row r="599" spans="1:24" s="103" customFormat="1" ht="15.75" hidden="1" customHeight="1" outlineLevel="1">
      <c r="A599" s="916"/>
      <c r="B599" s="1123"/>
      <c r="C599" s="1127"/>
      <c r="D599" s="1125"/>
      <c r="E599" s="1125"/>
      <c r="F599" s="1130"/>
      <c r="G599" s="95"/>
      <c r="H599" s="90"/>
      <c r="I599" s="1125"/>
      <c r="J599" s="1134"/>
      <c r="K599" s="1134"/>
      <c r="L599" s="916"/>
      <c r="P599"/>
      <c r="Q599"/>
      <c r="R599"/>
      <c r="S599"/>
      <c r="T599"/>
      <c r="U599"/>
      <c r="V599"/>
      <c r="W599"/>
      <c r="X599"/>
    </row>
    <row r="600" spans="1:24" s="103" customFormat="1" ht="15.75" hidden="1" customHeight="1" outlineLevel="1">
      <c r="A600" s="916"/>
      <c r="B600" s="1124"/>
      <c r="C600" s="1128"/>
      <c r="D600" s="1126"/>
      <c r="E600" s="1126"/>
      <c r="F600" s="1132"/>
      <c r="G600" s="100"/>
      <c r="H600" s="98"/>
      <c r="I600" s="1126"/>
      <c r="J600" s="1135"/>
      <c r="K600" s="1135"/>
      <c r="L600" s="916"/>
      <c r="P600"/>
      <c r="Q600"/>
      <c r="R600"/>
      <c r="S600"/>
      <c r="T600"/>
      <c r="U600"/>
      <c r="V600"/>
      <c r="W600"/>
      <c r="X600"/>
    </row>
    <row r="601" spans="1:24" s="103" customFormat="1" ht="15.75" hidden="1" customHeight="1" outlineLevel="1">
      <c r="A601" s="916"/>
      <c r="B601" s="1123">
        <v>197</v>
      </c>
      <c r="C601" s="1127"/>
      <c r="D601" s="1125"/>
      <c r="E601" s="1125" t="s">
        <v>18</v>
      </c>
      <c r="F601" s="1130" t="str">
        <f>VLOOKUP(E601,$N$13:$O$17,2,0)</f>
        <v>-</v>
      </c>
      <c r="G601" s="92"/>
      <c r="H601" s="90"/>
      <c r="I601" s="1125"/>
      <c r="J601" s="1133"/>
      <c r="K601" s="1133"/>
      <c r="L601" s="916"/>
      <c r="P601"/>
      <c r="Q601"/>
      <c r="R601"/>
      <c r="S601"/>
      <c r="T601"/>
      <c r="U601"/>
      <c r="V601"/>
      <c r="W601"/>
      <c r="X601"/>
    </row>
    <row r="602" spans="1:24" s="103" customFormat="1" ht="15.75" hidden="1" customHeight="1" outlineLevel="1">
      <c r="A602" s="916"/>
      <c r="B602" s="1123"/>
      <c r="C602" s="1127"/>
      <c r="D602" s="1125"/>
      <c r="E602" s="1125"/>
      <c r="F602" s="1130"/>
      <c r="G602" s="95"/>
      <c r="H602" s="90"/>
      <c r="I602" s="1125"/>
      <c r="J602" s="1134"/>
      <c r="K602" s="1134"/>
      <c r="L602" s="916"/>
      <c r="P602"/>
      <c r="Q602"/>
      <c r="R602"/>
      <c r="S602"/>
      <c r="T602"/>
      <c r="U602"/>
      <c r="V602"/>
      <c r="W602"/>
      <c r="X602"/>
    </row>
    <row r="603" spans="1:24" s="103" customFormat="1" ht="15.75" hidden="1" customHeight="1" outlineLevel="1">
      <c r="A603" s="916"/>
      <c r="B603" s="1124"/>
      <c r="C603" s="1128"/>
      <c r="D603" s="1126"/>
      <c r="E603" s="1126"/>
      <c r="F603" s="1132"/>
      <c r="G603" s="100"/>
      <c r="H603" s="98"/>
      <c r="I603" s="1126"/>
      <c r="J603" s="1135"/>
      <c r="K603" s="1135"/>
      <c r="L603" s="916"/>
      <c r="P603"/>
      <c r="Q603"/>
      <c r="R603"/>
      <c r="S603"/>
      <c r="T603"/>
      <c r="U603"/>
      <c r="V603"/>
      <c r="W603"/>
      <c r="X603"/>
    </row>
    <row r="604" spans="1:24" s="103" customFormat="1" ht="15.75" hidden="1" customHeight="1" outlineLevel="1">
      <c r="A604" s="916"/>
      <c r="B604" s="1123">
        <v>198</v>
      </c>
      <c r="C604" s="1127"/>
      <c r="D604" s="1125"/>
      <c r="E604" s="1125" t="s">
        <v>18</v>
      </c>
      <c r="F604" s="1130" t="str">
        <f>VLOOKUP(E604,$N$13:$O$17,2,0)</f>
        <v>-</v>
      </c>
      <c r="G604" s="92"/>
      <c r="H604" s="90"/>
      <c r="I604" s="1125"/>
      <c r="J604" s="1133"/>
      <c r="K604" s="1133"/>
      <c r="L604" s="916"/>
      <c r="P604"/>
      <c r="Q604"/>
      <c r="R604"/>
      <c r="S604"/>
      <c r="T604"/>
      <c r="U604"/>
      <c r="V604"/>
      <c r="W604"/>
      <c r="X604"/>
    </row>
    <row r="605" spans="1:24" s="103" customFormat="1" ht="15.75" hidden="1" customHeight="1" outlineLevel="1">
      <c r="A605" s="916"/>
      <c r="B605" s="1123"/>
      <c r="C605" s="1127"/>
      <c r="D605" s="1125"/>
      <c r="E605" s="1125"/>
      <c r="F605" s="1130"/>
      <c r="G605" s="95"/>
      <c r="H605" s="90"/>
      <c r="I605" s="1125"/>
      <c r="J605" s="1134"/>
      <c r="K605" s="1134"/>
      <c r="L605" s="916"/>
      <c r="P605"/>
      <c r="Q605"/>
      <c r="R605"/>
      <c r="S605"/>
      <c r="T605"/>
      <c r="U605"/>
      <c r="V605"/>
      <c r="W605"/>
      <c r="X605"/>
    </row>
    <row r="606" spans="1:24" s="103" customFormat="1" ht="15.75" hidden="1" customHeight="1" outlineLevel="1">
      <c r="A606" s="916"/>
      <c r="B606" s="1124"/>
      <c r="C606" s="1128"/>
      <c r="D606" s="1126"/>
      <c r="E606" s="1126"/>
      <c r="F606" s="1132"/>
      <c r="G606" s="100"/>
      <c r="H606" s="98"/>
      <c r="I606" s="1126"/>
      <c r="J606" s="1135"/>
      <c r="K606" s="1135"/>
      <c r="L606" s="916"/>
      <c r="P606"/>
      <c r="Q606"/>
      <c r="R606"/>
      <c r="S606"/>
      <c r="T606"/>
      <c r="U606"/>
      <c r="V606"/>
      <c r="W606"/>
      <c r="X606"/>
    </row>
    <row r="607" spans="1:24" s="103" customFormat="1" ht="15.75" hidden="1" customHeight="1" outlineLevel="1">
      <c r="A607" s="916"/>
      <c r="B607" s="1123">
        <v>199</v>
      </c>
      <c r="C607" s="1127"/>
      <c r="D607" s="1125"/>
      <c r="E607" s="1125" t="s">
        <v>18</v>
      </c>
      <c r="F607" s="1130" t="str">
        <f>VLOOKUP(E607,$N$13:$O$17,2,0)</f>
        <v>-</v>
      </c>
      <c r="G607" s="92"/>
      <c r="H607" s="90"/>
      <c r="I607" s="1125"/>
      <c r="J607" s="1133"/>
      <c r="K607" s="1133"/>
      <c r="L607" s="916"/>
      <c r="P607"/>
      <c r="Q607"/>
      <c r="R607"/>
      <c r="S607"/>
      <c r="T607"/>
      <c r="U607"/>
      <c r="V607"/>
      <c r="W607"/>
      <c r="X607"/>
    </row>
    <row r="608" spans="1:24" s="103" customFormat="1" ht="15.75" hidden="1" customHeight="1" outlineLevel="1">
      <c r="A608" s="916"/>
      <c r="B608" s="1123"/>
      <c r="C608" s="1127"/>
      <c r="D608" s="1125"/>
      <c r="E608" s="1125"/>
      <c r="F608" s="1130"/>
      <c r="G608" s="95"/>
      <c r="H608" s="90"/>
      <c r="I608" s="1125"/>
      <c r="J608" s="1134"/>
      <c r="K608" s="1134"/>
      <c r="L608" s="916"/>
      <c r="P608"/>
      <c r="Q608"/>
      <c r="R608"/>
      <c r="S608"/>
      <c r="T608"/>
      <c r="U608"/>
      <c r="V608"/>
      <c r="W608"/>
      <c r="X608"/>
    </row>
    <row r="609" spans="1:24" s="103" customFormat="1" ht="15.75" hidden="1" customHeight="1" outlineLevel="1">
      <c r="A609" s="916"/>
      <c r="B609" s="1124"/>
      <c r="C609" s="1128"/>
      <c r="D609" s="1126"/>
      <c r="E609" s="1126"/>
      <c r="F609" s="1132"/>
      <c r="G609" s="100"/>
      <c r="H609" s="98"/>
      <c r="I609" s="1126"/>
      <c r="J609" s="1135"/>
      <c r="K609" s="1135"/>
      <c r="L609" s="916"/>
      <c r="P609"/>
      <c r="Q609"/>
      <c r="R609"/>
      <c r="S609"/>
      <c r="T609"/>
      <c r="U609"/>
      <c r="V609"/>
      <c r="W609"/>
      <c r="X609"/>
    </row>
    <row r="610" spans="1:24" s="103" customFormat="1" ht="15.75" hidden="1" customHeight="1" outlineLevel="1">
      <c r="A610" s="916"/>
      <c r="B610" s="1123">
        <v>200</v>
      </c>
      <c r="C610" s="1149" t="e">
        <f>CONCATENATE("Inne ",IF(#REF!=0,0,ROUND(#REF!/#REF!*100,1))," %")</f>
        <v>#REF!</v>
      </c>
      <c r="D610" s="1125"/>
      <c r="E610" s="1125" t="s">
        <v>18</v>
      </c>
      <c r="F610" s="1130" t="str">
        <f>VLOOKUP(E610,$N$13:$O$17,2,0)</f>
        <v>-</v>
      </c>
      <c r="G610" s="92"/>
      <c r="H610" s="90"/>
      <c r="I610" s="1125"/>
      <c r="J610" s="1133"/>
      <c r="K610" s="1133"/>
      <c r="L610" s="916"/>
      <c r="P610"/>
      <c r="Q610"/>
      <c r="R610"/>
      <c r="S610"/>
      <c r="T610"/>
      <c r="U610"/>
      <c r="V610"/>
      <c r="W610"/>
      <c r="X610"/>
    </row>
    <row r="611" spans="1:24" s="103" customFormat="1" ht="15.75" hidden="1" customHeight="1" outlineLevel="1">
      <c r="A611" s="916"/>
      <c r="B611" s="1123"/>
      <c r="C611" s="1150"/>
      <c r="D611" s="1125"/>
      <c r="E611" s="1125"/>
      <c r="F611" s="1130"/>
      <c r="G611" s="95"/>
      <c r="H611" s="90"/>
      <c r="I611" s="1125"/>
      <c r="J611" s="1134"/>
      <c r="K611" s="1134"/>
      <c r="L611" s="916"/>
      <c r="P611"/>
      <c r="Q611"/>
      <c r="R611"/>
      <c r="S611"/>
      <c r="T611"/>
      <c r="U611"/>
      <c r="V611"/>
      <c r="W611"/>
      <c r="X611"/>
    </row>
    <row r="612" spans="1:24" s="103" customFormat="1" ht="15.75" hidden="1" customHeight="1" outlineLevel="1" thickBot="1">
      <c r="A612" s="916"/>
      <c r="B612" s="1124"/>
      <c r="C612" s="1151"/>
      <c r="D612" s="1126"/>
      <c r="E612" s="1126"/>
      <c r="F612" s="1132"/>
      <c r="G612" s="100"/>
      <c r="H612" s="98"/>
      <c r="I612" s="1126"/>
      <c r="J612" s="1135"/>
      <c r="K612" s="1135"/>
      <c r="L612" s="916"/>
      <c r="P612"/>
      <c r="Q612"/>
      <c r="R612"/>
      <c r="S612"/>
      <c r="T612"/>
      <c r="U612"/>
      <c r="V612"/>
      <c r="W612"/>
      <c r="X612"/>
    </row>
    <row r="613" spans="1:24" s="103" customFormat="1" ht="16.5" collapsed="1" thickBot="1">
      <c r="A613" s="916"/>
      <c r="B613" s="916"/>
      <c r="C613" s="916"/>
      <c r="D613" s="918"/>
      <c r="E613" s="916"/>
      <c r="F613" s="919"/>
      <c r="G613" s="920"/>
      <c r="H613" s="918"/>
      <c r="I613" s="71" t="s">
        <v>5</v>
      </c>
      <c r="J613" s="72">
        <f>SUM(J13:J612)</f>
        <v>0</v>
      </c>
      <c r="K613" s="72"/>
      <c r="L613" s="916"/>
      <c r="P613"/>
      <c r="Q613"/>
      <c r="R613"/>
      <c r="S613"/>
      <c r="T613"/>
      <c r="U613"/>
      <c r="V613"/>
      <c r="W613"/>
      <c r="X613"/>
    </row>
    <row r="614" spans="1:24" s="106" customFormat="1">
      <c r="A614" s="917"/>
      <c r="B614" s="921"/>
      <c r="C614" s="917"/>
      <c r="D614" s="922"/>
      <c r="E614" s="917"/>
      <c r="F614" s="916"/>
      <c r="G614" s="918"/>
      <c r="H614" s="922"/>
      <c r="I614" s="922"/>
      <c r="J614" s="917"/>
      <c r="K614" s="917"/>
      <c r="L614" s="917"/>
      <c r="P614"/>
      <c r="Q614"/>
      <c r="R614"/>
      <c r="S614"/>
      <c r="T614"/>
      <c r="U614"/>
      <c r="V614"/>
      <c r="W614"/>
      <c r="X614"/>
    </row>
    <row r="615" spans="1:24">
      <c r="A615" s="880"/>
      <c r="B615" s="913"/>
      <c r="C615" s="913"/>
      <c r="D615" s="909"/>
      <c r="E615" s="913"/>
      <c r="F615" s="919"/>
      <c r="G615" s="923"/>
      <c r="H615" s="903"/>
      <c r="I615" s="903"/>
      <c r="J615" s="880"/>
      <c r="K615" s="880"/>
      <c r="L615" s="880"/>
    </row>
    <row r="616" spans="1:24">
      <c r="A616" s="880"/>
      <c r="B616" s="880"/>
      <c r="C616" s="880"/>
      <c r="D616" s="922"/>
      <c r="E616" s="916"/>
      <c r="F616" s="919"/>
      <c r="G616" s="923"/>
      <c r="H616" s="903"/>
      <c r="I616" s="903"/>
      <c r="J616" s="880"/>
      <c r="K616" s="880"/>
      <c r="L616" s="880"/>
    </row>
    <row r="617" spans="1:24">
      <c r="F617" s="105"/>
    </row>
    <row r="618" spans="1:24">
      <c r="F618" s="105"/>
    </row>
    <row r="619" spans="1:24">
      <c r="F619" s="105"/>
    </row>
    <row r="620" spans="1:24">
      <c r="F620" s="105"/>
    </row>
    <row r="621" spans="1:24">
      <c r="F621" s="1145"/>
      <c r="G621" s="1146"/>
      <c r="H621" s="1146"/>
      <c r="I621" s="1146"/>
      <c r="J621" s="77"/>
      <c r="K621" s="76"/>
    </row>
    <row r="622" spans="1:24">
      <c r="F622" s="105"/>
    </row>
    <row r="623" spans="1:24">
      <c r="F623" s="105"/>
    </row>
    <row r="624" spans="1:24">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s>
  <phoneticPr fontId="2" type="noConversion"/>
  <dataValidations count="1">
    <dataValidation type="list" allowBlank="1" showInputMessage="1" showErrorMessage="1" sqref="E13:E612" xr:uid="{00000000-0002-0000-1600-000000000000}">
      <formula1>$N$13:$N$17</formula1>
    </dataValidation>
  </dataValidations>
  <hyperlinks>
    <hyperlink ref="C1" location="Spis!B47" display="&gt;&gt; powrót do spisu treści" xr:uid="{00000000-0004-0000-16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73">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18" width="10.77734375" style="78" customWidth="1"/>
    <col min="19" max="16384" width="15.77734375" style="78"/>
  </cols>
  <sheetData>
    <row r="1" spans="1:24">
      <c r="A1" s="898"/>
      <c r="B1" s="898"/>
      <c r="C1" s="925" t="s">
        <v>9</v>
      </c>
      <c r="D1" s="899"/>
      <c r="E1" s="900"/>
      <c r="F1" s="900"/>
      <c r="G1" s="901"/>
      <c r="H1" s="902"/>
      <c r="I1" s="903"/>
      <c r="J1" s="880"/>
      <c r="K1" s="880"/>
      <c r="L1" s="880"/>
      <c r="P1"/>
      <c r="Q1"/>
      <c r="R1"/>
      <c r="S1"/>
      <c r="T1"/>
      <c r="U1"/>
      <c r="V1"/>
      <c r="W1"/>
      <c r="X1"/>
    </row>
    <row r="2" spans="1:24" ht="9.9499999999999993" customHeight="1">
      <c r="A2" s="898"/>
      <c r="B2" s="898"/>
      <c r="C2" s="924"/>
      <c r="D2" s="899"/>
      <c r="E2" s="900"/>
      <c r="F2" s="900"/>
      <c r="G2" s="901"/>
      <c r="H2" s="902"/>
      <c r="I2" s="903"/>
      <c r="J2" s="880"/>
      <c r="K2" s="880"/>
      <c r="L2" s="880"/>
      <c r="P2"/>
      <c r="Q2"/>
      <c r="R2"/>
      <c r="S2"/>
      <c r="T2"/>
      <c r="U2"/>
      <c r="V2"/>
      <c r="W2"/>
      <c r="X2"/>
    </row>
    <row r="3" spans="1:24" ht="15" customHeight="1">
      <c r="A3" s="898"/>
      <c r="B3" s="914" t="s">
        <v>13</v>
      </c>
      <c r="C3" s="1147" t="s">
        <v>19</v>
      </c>
      <c r="D3" s="1147"/>
      <c r="E3" s="1147"/>
      <c r="F3" s="1147"/>
      <c r="G3" s="1147"/>
      <c r="H3" s="1148"/>
      <c r="I3" s="903"/>
      <c r="J3" s="880"/>
      <c r="K3" s="880"/>
      <c r="L3" s="880"/>
      <c r="P3"/>
      <c r="Q3"/>
      <c r="R3"/>
      <c r="S3"/>
      <c r="T3"/>
      <c r="U3"/>
      <c r="V3"/>
      <c r="W3"/>
      <c r="X3"/>
    </row>
    <row r="4" spans="1:24" ht="15" customHeight="1">
      <c r="A4" s="898"/>
      <c r="B4" s="915" t="s">
        <v>27</v>
      </c>
      <c r="C4" s="1147" t="s">
        <v>177</v>
      </c>
      <c r="D4" s="1147"/>
      <c r="E4" s="1147"/>
      <c r="F4" s="1147"/>
      <c r="G4" s="1147"/>
      <c r="H4" s="1148"/>
      <c r="I4" s="903"/>
      <c r="J4" s="880"/>
      <c r="K4" s="880"/>
      <c r="L4" s="880"/>
      <c r="P4"/>
      <c r="Q4"/>
      <c r="R4"/>
      <c r="S4"/>
      <c r="T4"/>
      <c r="U4"/>
      <c r="V4"/>
      <c r="W4"/>
      <c r="X4"/>
    </row>
    <row r="5" spans="1:24" ht="15" customHeight="1">
      <c r="A5" s="880"/>
      <c r="B5" s="897" t="s">
        <v>28</v>
      </c>
      <c r="C5" s="1116" t="s">
        <v>104</v>
      </c>
      <c r="D5" s="1116"/>
      <c r="E5" s="1116"/>
      <c r="F5" s="1116"/>
      <c r="G5" s="1116"/>
      <c r="H5" s="1148"/>
      <c r="I5" s="903"/>
      <c r="J5" s="880"/>
      <c r="K5" s="880"/>
      <c r="L5" s="880"/>
      <c r="P5"/>
      <c r="Q5"/>
      <c r="R5"/>
      <c r="S5"/>
      <c r="T5"/>
      <c r="U5"/>
      <c r="V5"/>
      <c r="W5"/>
      <c r="X5"/>
    </row>
    <row r="6" spans="1:24" ht="50.1" customHeight="1">
      <c r="A6" s="880"/>
      <c r="B6" s="897" t="s">
        <v>35</v>
      </c>
      <c r="C6" s="1116" t="s">
        <v>175</v>
      </c>
      <c r="D6" s="1120"/>
      <c r="E6" s="1120"/>
      <c r="F6" s="1120"/>
      <c r="G6" s="1120"/>
      <c r="H6" s="1148"/>
      <c r="I6" s="903"/>
      <c r="J6" s="880"/>
      <c r="K6" s="880"/>
      <c r="L6" s="880"/>
      <c r="P6"/>
      <c r="Q6"/>
      <c r="R6"/>
      <c r="S6"/>
      <c r="T6"/>
      <c r="U6"/>
      <c r="V6"/>
      <c r="W6"/>
      <c r="X6"/>
    </row>
    <row r="7" spans="1:24" s="79" customFormat="1" ht="30" customHeight="1" thickBot="1">
      <c r="A7" s="907"/>
      <c r="B7" s="908" t="s">
        <v>258</v>
      </c>
      <c r="C7" s="911"/>
      <c r="D7" s="909"/>
      <c r="E7" s="907"/>
      <c r="F7" s="910"/>
      <c r="G7" s="911"/>
      <c r="H7" s="912"/>
      <c r="I7" s="912"/>
      <c r="J7" s="913"/>
      <c r="K7" s="913"/>
      <c r="L7" s="913"/>
      <c r="M7" s="81"/>
      <c r="P7"/>
      <c r="Q7"/>
      <c r="R7"/>
      <c r="S7"/>
      <c r="T7"/>
      <c r="U7"/>
      <c r="V7"/>
      <c r="W7"/>
      <c r="X7"/>
    </row>
    <row r="8" spans="1:24"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c r="P8"/>
      <c r="Q8"/>
      <c r="R8"/>
      <c r="S8"/>
      <c r="T8"/>
      <c r="U8"/>
      <c r="V8"/>
      <c r="W8"/>
      <c r="X8"/>
    </row>
    <row r="9" spans="1:24" ht="20.100000000000001" customHeight="1" thickBot="1">
      <c r="A9" s="880"/>
      <c r="B9" s="1152"/>
      <c r="C9" s="1106"/>
      <c r="D9" s="1106"/>
      <c r="E9" s="1106"/>
      <c r="F9" s="1106"/>
      <c r="G9" s="1106"/>
      <c r="H9" s="1106"/>
      <c r="I9" s="1103"/>
      <c r="J9" s="628">
        <f>Rok_ZPR</f>
        <v>2023</v>
      </c>
      <c r="K9" s="1102"/>
      <c r="L9" s="860"/>
      <c r="M9" s="84"/>
      <c r="N9" s="76"/>
      <c r="O9" s="76"/>
      <c r="P9"/>
      <c r="Q9"/>
      <c r="R9"/>
      <c r="S9"/>
      <c r="T9"/>
      <c r="U9"/>
      <c r="V9"/>
      <c r="W9"/>
      <c r="X9"/>
    </row>
    <row r="10" spans="1:24" ht="20.100000000000001" customHeight="1">
      <c r="A10" s="880"/>
      <c r="B10" s="1152"/>
      <c r="C10" s="1106"/>
      <c r="D10" s="1106"/>
      <c r="E10" s="1106"/>
      <c r="F10" s="1106"/>
      <c r="G10" s="1106"/>
      <c r="H10" s="1106"/>
      <c r="I10" s="1104"/>
      <c r="J10" s="628" t="str">
        <f>'Tab.G1.1-4'!$D$11</f>
        <v>[tys. zł]</v>
      </c>
      <c r="K10" s="1102"/>
      <c r="L10" s="891"/>
      <c r="M10" s="85"/>
      <c r="N10" s="76"/>
      <c r="O10" s="76"/>
      <c r="P10"/>
      <c r="Q10"/>
      <c r="R10"/>
      <c r="S10"/>
      <c r="T10"/>
      <c r="U10"/>
      <c r="V10"/>
      <c r="W10"/>
      <c r="X10"/>
    </row>
    <row r="11" spans="1:24"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c r="Q11"/>
      <c r="R11"/>
      <c r="S11"/>
      <c r="T11"/>
      <c r="U11"/>
      <c r="V11"/>
      <c r="W11"/>
      <c r="X11"/>
    </row>
    <row r="12" spans="1:24" s="82" customFormat="1" ht="16.5" thickBot="1">
      <c r="A12" s="900"/>
      <c r="B12" s="87"/>
      <c r="C12" s="87"/>
      <c r="D12" s="88"/>
      <c r="E12" s="87"/>
      <c r="F12" s="87"/>
      <c r="G12" s="88"/>
      <c r="H12" s="88"/>
      <c r="I12" s="88"/>
      <c r="J12" s="89"/>
      <c r="K12" s="89"/>
      <c r="L12" s="892"/>
      <c r="M12" s="86"/>
      <c r="P12"/>
      <c r="Q12"/>
      <c r="R12"/>
      <c r="S12"/>
      <c r="T12"/>
      <c r="U12"/>
      <c r="V12"/>
      <c r="W12"/>
      <c r="X12"/>
    </row>
    <row r="13" spans="1:24"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c r="P13"/>
      <c r="Q13"/>
      <c r="R13"/>
      <c r="S13"/>
      <c r="T13"/>
      <c r="U13"/>
      <c r="V13"/>
      <c r="W13"/>
      <c r="X13"/>
    </row>
    <row r="14" spans="1:24" s="82" customFormat="1" ht="12.75" customHeight="1">
      <c r="A14" s="900"/>
      <c r="B14" s="1123"/>
      <c r="C14" s="1153"/>
      <c r="D14" s="1125"/>
      <c r="E14" s="1125"/>
      <c r="F14" s="1130"/>
      <c r="G14" s="95"/>
      <c r="H14" s="1125"/>
      <c r="I14" s="1125"/>
      <c r="J14" s="1134"/>
      <c r="K14" s="1134"/>
      <c r="L14" s="892"/>
      <c r="M14" s="86"/>
      <c r="N14" s="96" t="s">
        <v>22</v>
      </c>
      <c r="O14" s="97" t="s">
        <v>59</v>
      </c>
      <c r="P14"/>
      <c r="Q14"/>
      <c r="R14"/>
      <c r="S14"/>
      <c r="T14"/>
      <c r="U14"/>
      <c r="V14"/>
      <c r="W14"/>
      <c r="X14"/>
    </row>
    <row r="15" spans="1:24" s="82" customFormat="1" ht="12.75" customHeight="1">
      <c r="A15" s="900"/>
      <c r="B15" s="1124"/>
      <c r="C15" s="1154"/>
      <c r="D15" s="1126"/>
      <c r="E15" s="1126"/>
      <c r="F15" s="1132"/>
      <c r="G15" s="100"/>
      <c r="H15" s="1126"/>
      <c r="I15" s="1126"/>
      <c r="J15" s="1135"/>
      <c r="K15" s="1135"/>
      <c r="L15" s="892"/>
      <c r="M15" s="86"/>
      <c r="N15" s="96" t="s">
        <v>23</v>
      </c>
      <c r="O15" s="97" t="s">
        <v>24</v>
      </c>
      <c r="P15"/>
      <c r="Q15"/>
      <c r="R15"/>
      <c r="S15"/>
      <c r="T15"/>
      <c r="U15"/>
      <c r="V15"/>
      <c r="W15"/>
      <c r="X15"/>
    </row>
    <row r="16" spans="1:24"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c r="P16"/>
      <c r="Q16"/>
      <c r="R16"/>
      <c r="S16"/>
      <c r="T16"/>
      <c r="U16"/>
      <c r="V16"/>
      <c r="W16"/>
      <c r="X16"/>
    </row>
    <row r="17" spans="1:24" s="82" customFormat="1" ht="12.75" customHeight="1" thickBot="1">
      <c r="A17" s="900"/>
      <c r="B17" s="1123"/>
      <c r="C17" s="1127"/>
      <c r="D17" s="1125"/>
      <c r="E17" s="1125"/>
      <c r="F17" s="1130"/>
      <c r="G17" s="95"/>
      <c r="H17" s="1125"/>
      <c r="I17" s="1125"/>
      <c r="J17" s="1134"/>
      <c r="K17" s="1134"/>
      <c r="L17" s="892"/>
      <c r="M17" s="86"/>
      <c r="N17" s="101" t="s">
        <v>18</v>
      </c>
      <c r="O17" s="102" t="s">
        <v>18</v>
      </c>
      <c r="P17"/>
      <c r="Q17"/>
      <c r="R17"/>
      <c r="S17"/>
      <c r="T17"/>
      <c r="U17"/>
      <c r="V17"/>
      <c r="W17"/>
      <c r="X17"/>
    </row>
    <row r="18" spans="1:24" s="82" customFormat="1" ht="12.75" customHeight="1">
      <c r="A18" s="900"/>
      <c r="B18" s="1124"/>
      <c r="C18" s="1128"/>
      <c r="D18" s="1126"/>
      <c r="E18" s="1126"/>
      <c r="F18" s="1132"/>
      <c r="G18" s="100"/>
      <c r="H18" s="1126"/>
      <c r="I18" s="1126"/>
      <c r="J18" s="1135"/>
      <c r="K18" s="1135"/>
      <c r="L18" s="892"/>
      <c r="M18" s="86"/>
      <c r="N18" s="103"/>
      <c r="O18" s="104"/>
      <c r="P18"/>
      <c r="Q18"/>
      <c r="R18"/>
      <c r="S18"/>
      <c r="T18"/>
      <c r="U18"/>
      <c r="V18"/>
      <c r="W18"/>
      <c r="X18"/>
    </row>
    <row r="19" spans="1:24" s="82" customFormat="1" ht="12.75" customHeight="1">
      <c r="A19" s="900"/>
      <c r="B19" s="1123">
        <v>3</v>
      </c>
      <c r="C19" s="1127"/>
      <c r="D19" s="1125"/>
      <c r="E19" s="1125" t="s">
        <v>18</v>
      </c>
      <c r="F19" s="1130" t="str">
        <f>VLOOKUP(E19,$N$13:$O$17,2,0)</f>
        <v>-</v>
      </c>
      <c r="G19" s="92"/>
      <c r="H19" s="1125"/>
      <c r="I19" s="1125"/>
      <c r="J19" s="1133"/>
      <c r="K19" s="1133"/>
      <c r="L19" s="892"/>
      <c r="M19" s="86"/>
      <c r="N19" s="103"/>
      <c r="O19" s="104"/>
      <c r="P19"/>
      <c r="Q19"/>
      <c r="R19"/>
      <c r="S19"/>
      <c r="T19"/>
      <c r="U19"/>
      <c r="V19"/>
      <c r="W19"/>
      <c r="X19"/>
    </row>
    <row r="20" spans="1:24" s="82" customFormat="1" ht="12.75" customHeight="1">
      <c r="A20" s="900"/>
      <c r="B20" s="1123"/>
      <c r="C20" s="1127"/>
      <c r="D20" s="1125"/>
      <c r="E20" s="1125"/>
      <c r="F20" s="1130"/>
      <c r="G20" s="95"/>
      <c r="H20" s="1125"/>
      <c r="I20" s="1125"/>
      <c r="J20" s="1134"/>
      <c r="K20" s="1134"/>
      <c r="L20" s="892"/>
      <c r="M20" s="86"/>
      <c r="N20" s="103"/>
      <c r="O20" s="104"/>
      <c r="P20"/>
      <c r="Q20"/>
      <c r="R20"/>
      <c r="S20"/>
      <c r="T20"/>
      <c r="U20"/>
      <c r="V20"/>
      <c r="W20"/>
      <c r="X20"/>
    </row>
    <row r="21" spans="1:24" s="82" customFormat="1" ht="12.75" customHeight="1">
      <c r="A21" s="900"/>
      <c r="B21" s="1124"/>
      <c r="C21" s="1128"/>
      <c r="D21" s="1126"/>
      <c r="E21" s="1126"/>
      <c r="F21" s="1132"/>
      <c r="G21" s="100"/>
      <c r="H21" s="1126"/>
      <c r="I21" s="1126"/>
      <c r="J21" s="1135"/>
      <c r="K21" s="1135"/>
      <c r="L21" s="892"/>
      <c r="M21" s="86"/>
      <c r="N21" s="103"/>
      <c r="O21" s="104"/>
      <c r="P21"/>
      <c r="Q21"/>
      <c r="R21"/>
      <c r="S21"/>
      <c r="T21"/>
      <c r="U21"/>
      <c r="V21"/>
      <c r="W21"/>
      <c r="X21"/>
    </row>
    <row r="22" spans="1:24" s="82" customFormat="1" ht="12.75" customHeight="1">
      <c r="A22" s="900"/>
      <c r="B22" s="1123">
        <v>4</v>
      </c>
      <c r="C22" s="1127"/>
      <c r="D22" s="1125"/>
      <c r="E22" s="1125" t="s">
        <v>18</v>
      </c>
      <c r="F22" s="1130" t="str">
        <f>VLOOKUP(E22,$N$13:$O$17,2,0)</f>
        <v>-</v>
      </c>
      <c r="G22" s="92"/>
      <c r="H22" s="1125"/>
      <c r="I22" s="1125"/>
      <c r="J22" s="1133"/>
      <c r="K22" s="1133"/>
      <c r="L22" s="892"/>
      <c r="M22" s="86"/>
      <c r="N22" s="103"/>
      <c r="O22" s="104"/>
      <c r="P22"/>
      <c r="Q22"/>
      <c r="R22"/>
      <c r="S22"/>
      <c r="T22"/>
      <c r="U22"/>
      <c r="V22"/>
      <c r="W22"/>
      <c r="X22"/>
    </row>
    <row r="23" spans="1:24" s="82" customFormat="1" ht="12.75" customHeight="1">
      <c r="A23" s="900"/>
      <c r="B23" s="1123"/>
      <c r="C23" s="1127"/>
      <c r="D23" s="1125"/>
      <c r="E23" s="1125"/>
      <c r="F23" s="1130"/>
      <c r="G23" s="95"/>
      <c r="H23" s="1125"/>
      <c r="I23" s="1125"/>
      <c r="J23" s="1134"/>
      <c r="K23" s="1134"/>
      <c r="L23" s="892"/>
      <c r="M23" s="86"/>
      <c r="N23" s="103"/>
      <c r="O23" s="104"/>
      <c r="P23"/>
      <c r="Q23"/>
      <c r="R23"/>
      <c r="S23"/>
      <c r="T23"/>
      <c r="U23"/>
      <c r="V23"/>
      <c r="W23"/>
      <c r="X23"/>
    </row>
    <row r="24" spans="1:24" s="82" customFormat="1" ht="12.75" customHeight="1">
      <c r="A24" s="900"/>
      <c r="B24" s="1124"/>
      <c r="C24" s="1128"/>
      <c r="D24" s="1126"/>
      <c r="E24" s="1126"/>
      <c r="F24" s="1132"/>
      <c r="G24" s="100"/>
      <c r="H24" s="1126"/>
      <c r="I24" s="1126"/>
      <c r="J24" s="1135"/>
      <c r="K24" s="1135"/>
      <c r="L24" s="892"/>
      <c r="M24" s="86"/>
      <c r="N24" s="103"/>
      <c r="O24" s="104"/>
      <c r="P24"/>
      <c r="Q24"/>
      <c r="R24"/>
      <c r="S24"/>
      <c r="T24"/>
      <c r="U24"/>
      <c r="V24"/>
      <c r="W24"/>
      <c r="X24"/>
    </row>
    <row r="25" spans="1:24" s="82" customFormat="1" ht="12.75" customHeight="1">
      <c r="A25" s="900"/>
      <c r="B25" s="1123">
        <v>5</v>
      </c>
      <c r="C25" s="1127"/>
      <c r="D25" s="1125"/>
      <c r="E25" s="1125" t="s">
        <v>18</v>
      </c>
      <c r="F25" s="1130" t="str">
        <f>VLOOKUP(E25,$N$13:$O$17,2,0)</f>
        <v>-</v>
      </c>
      <c r="G25" s="92"/>
      <c r="H25" s="1125"/>
      <c r="I25" s="1125"/>
      <c r="J25" s="1133"/>
      <c r="K25" s="1133"/>
      <c r="L25" s="892"/>
      <c r="M25" s="86"/>
      <c r="N25" s="103"/>
      <c r="O25" s="104"/>
      <c r="P25"/>
      <c r="Q25"/>
      <c r="R25"/>
      <c r="S25"/>
      <c r="T25"/>
      <c r="U25"/>
      <c r="V25"/>
      <c r="W25"/>
      <c r="X25"/>
    </row>
    <row r="26" spans="1:24" s="82" customFormat="1" ht="12.75" customHeight="1">
      <c r="A26" s="900"/>
      <c r="B26" s="1123"/>
      <c r="C26" s="1127"/>
      <c r="D26" s="1125"/>
      <c r="E26" s="1125"/>
      <c r="F26" s="1130"/>
      <c r="G26" s="95"/>
      <c r="H26" s="1125"/>
      <c r="I26" s="1125"/>
      <c r="J26" s="1134"/>
      <c r="K26" s="1134"/>
      <c r="L26" s="892"/>
      <c r="M26" s="86"/>
      <c r="N26" s="103"/>
      <c r="O26" s="104"/>
      <c r="P26"/>
      <c r="Q26"/>
      <c r="R26"/>
      <c r="S26"/>
      <c r="T26"/>
      <c r="U26"/>
      <c r="V26"/>
      <c r="W26"/>
      <c r="X26"/>
    </row>
    <row r="27" spans="1:24" s="82" customFormat="1" ht="12.75" customHeight="1">
      <c r="A27" s="900"/>
      <c r="B27" s="1124"/>
      <c r="C27" s="1128"/>
      <c r="D27" s="1126"/>
      <c r="E27" s="1126"/>
      <c r="F27" s="1132"/>
      <c r="G27" s="100"/>
      <c r="H27" s="1126"/>
      <c r="I27" s="1126"/>
      <c r="J27" s="1135"/>
      <c r="K27" s="1135"/>
      <c r="L27" s="892"/>
      <c r="M27" s="86"/>
      <c r="N27" s="103"/>
      <c r="O27" s="104"/>
      <c r="P27"/>
      <c r="Q27"/>
      <c r="R27"/>
      <c r="S27"/>
      <c r="T27"/>
      <c r="U27"/>
      <c r="V27"/>
      <c r="W27"/>
      <c r="X27"/>
    </row>
    <row r="28" spans="1:24" s="82" customFormat="1" ht="12.75" customHeight="1">
      <c r="A28" s="900"/>
      <c r="B28" s="1123">
        <v>6</v>
      </c>
      <c r="C28" s="1127"/>
      <c r="D28" s="1125"/>
      <c r="E28" s="1125" t="s">
        <v>18</v>
      </c>
      <c r="F28" s="1130" t="str">
        <f>VLOOKUP(E28,$N$13:$O$17,2,0)</f>
        <v>-</v>
      </c>
      <c r="G28" s="92"/>
      <c r="H28" s="1125"/>
      <c r="I28" s="1125"/>
      <c r="J28" s="1133"/>
      <c r="K28" s="1133"/>
      <c r="L28" s="892"/>
      <c r="M28" s="86"/>
      <c r="N28" s="103"/>
      <c r="O28" s="104"/>
      <c r="P28"/>
      <c r="Q28"/>
      <c r="R28"/>
      <c r="S28"/>
      <c r="T28"/>
      <c r="U28"/>
      <c r="V28"/>
      <c r="W28"/>
      <c r="X28"/>
    </row>
    <row r="29" spans="1:24" s="82" customFormat="1" ht="12.75" customHeight="1">
      <c r="A29" s="900"/>
      <c r="B29" s="1123"/>
      <c r="C29" s="1127"/>
      <c r="D29" s="1125"/>
      <c r="E29" s="1125"/>
      <c r="F29" s="1130"/>
      <c r="G29" s="95"/>
      <c r="H29" s="1125"/>
      <c r="I29" s="1125"/>
      <c r="J29" s="1134"/>
      <c r="K29" s="1134"/>
      <c r="L29" s="892"/>
      <c r="M29" s="86"/>
      <c r="N29" s="103"/>
      <c r="O29" s="104"/>
      <c r="P29"/>
      <c r="Q29"/>
      <c r="R29"/>
      <c r="S29"/>
      <c r="T29"/>
      <c r="U29"/>
      <c r="V29"/>
      <c r="W29"/>
      <c r="X29"/>
    </row>
    <row r="30" spans="1:24" s="82" customFormat="1" ht="12.75" customHeight="1">
      <c r="A30" s="900"/>
      <c r="B30" s="1124"/>
      <c r="C30" s="1128"/>
      <c r="D30" s="1126"/>
      <c r="E30" s="1126"/>
      <c r="F30" s="1132"/>
      <c r="G30" s="100"/>
      <c r="H30" s="1126"/>
      <c r="I30" s="1126"/>
      <c r="J30" s="1135"/>
      <c r="K30" s="1135"/>
      <c r="L30" s="892"/>
      <c r="M30" s="86"/>
      <c r="N30" s="103"/>
      <c r="O30" s="104"/>
      <c r="P30"/>
      <c r="Q30"/>
      <c r="R30"/>
      <c r="S30"/>
      <c r="T30"/>
      <c r="U30"/>
      <c r="V30"/>
      <c r="W30"/>
      <c r="X30"/>
    </row>
    <row r="31" spans="1:24" s="82" customFormat="1" ht="12.75" customHeight="1">
      <c r="A31" s="900"/>
      <c r="B31" s="1123">
        <v>7</v>
      </c>
      <c r="C31" s="1127"/>
      <c r="D31" s="1125"/>
      <c r="E31" s="1125" t="s">
        <v>18</v>
      </c>
      <c r="F31" s="1130" t="str">
        <f>VLOOKUP(E31,$N$13:$O$17,2,0)</f>
        <v>-</v>
      </c>
      <c r="G31" s="92"/>
      <c r="H31" s="1125"/>
      <c r="I31" s="1125"/>
      <c r="J31" s="1133"/>
      <c r="K31" s="1133"/>
      <c r="L31" s="892"/>
      <c r="M31" s="86"/>
      <c r="N31" s="103"/>
      <c r="O31" s="104"/>
      <c r="P31"/>
      <c r="Q31"/>
      <c r="R31"/>
      <c r="S31"/>
      <c r="T31"/>
      <c r="U31"/>
      <c r="V31"/>
      <c r="W31"/>
      <c r="X31"/>
    </row>
    <row r="32" spans="1:24" s="82" customFormat="1" ht="12.75" customHeight="1">
      <c r="A32" s="900"/>
      <c r="B32" s="1123"/>
      <c r="C32" s="1127"/>
      <c r="D32" s="1125"/>
      <c r="E32" s="1125"/>
      <c r="F32" s="1130"/>
      <c r="G32" s="95"/>
      <c r="H32" s="1125"/>
      <c r="I32" s="1125"/>
      <c r="J32" s="1134"/>
      <c r="K32" s="1134"/>
      <c r="L32" s="892"/>
      <c r="M32" s="86"/>
      <c r="N32" s="103"/>
      <c r="O32" s="104"/>
      <c r="P32"/>
      <c r="Q32"/>
      <c r="R32"/>
      <c r="S32"/>
      <c r="T32"/>
      <c r="U32"/>
      <c r="V32"/>
      <c r="W32"/>
      <c r="X32"/>
    </row>
    <row r="33" spans="1:24" s="82" customFormat="1" ht="12.75" customHeight="1">
      <c r="A33" s="900"/>
      <c r="B33" s="1124"/>
      <c r="C33" s="1128"/>
      <c r="D33" s="1126"/>
      <c r="E33" s="1126"/>
      <c r="F33" s="1132"/>
      <c r="G33" s="100"/>
      <c r="H33" s="1126"/>
      <c r="I33" s="1126"/>
      <c r="J33" s="1135"/>
      <c r="K33" s="1135"/>
      <c r="L33" s="892"/>
      <c r="M33" s="86"/>
      <c r="N33" s="103"/>
      <c r="O33" s="104"/>
      <c r="P33"/>
      <c r="Q33"/>
      <c r="R33"/>
      <c r="S33"/>
      <c r="T33"/>
      <c r="U33"/>
      <c r="V33"/>
      <c r="W33"/>
      <c r="X33"/>
    </row>
    <row r="34" spans="1:24" s="82" customFormat="1" ht="12.75" customHeight="1">
      <c r="A34" s="900"/>
      <c r="B34" s="1123">
        <v>8</v>
      </c>
      <c r="C34" s="1127"/>
      <c r="D34" s="1125"/>
      <c r="E34" s="1125" t="s">
        <v>18</v>
      </c>
      <c r="F34" s="1130" t="str">
        <f>VLOOKUP(E34,$N$13:$O$17,2,0)</f>
        <v>-</v>
      </c>
      <c r="G34" s="92"/>
      <c r="H34" s="1125"/>
      <c r="I34" s="1125"/>
      <c r="J34" s="1133"/>
      <c r="K34" s="1133"/>
      <c r="L34" s="892"/>
      <c r="M34" s="86"/>
      <c r="N34" s="103"/>
      <c r="O34" s="104"/>
      <c r="P34"/>
      <c r="Q34"/>
      <c r="R34"/>
      <c r="S34"/>
      <c r="T34"/>
      <c r="U34"/>
      <c r="V34"/>
      <c r="W34"/>
      <c r="X34"/>
    </row>
    <row r="35" spans="1:24" s="82" customFormat="1" ht="12.75" customHeight="1">
      <c r="A35" s="900"/>
      <c r="B35" s="1123"/>
      <c r="C35" s="1127"/>
      <c r="D35" s="1125"/>
      <c r="E35" s="1125"/>
      <c r="F35" s="1130"/>
      <c r="G35" s="91"/>
      <c r="H35" s="1125"/>
      <c r="I35" s="1125"/>
      <c r="J35" s="1134"/>
      <c r="K35" s="1134"/>
      <c r="L35" s="892"/>
      <c r="M35" s="86"/>
      <c r="N35" s="103"/>
      <c r="O35" s="104"/>
      <c r="P35"/>
      <c r="Q35"/>
      <c r="R35"/>
      <c r="S35"/>
      <c r="T35"/>
      <c r="U35"/>
      <c r="V35"/>
      <c r="W35"/>
      <c r="X35"/>
    </row>
    <row r="36" spans="1:24" s="82" customFormat="1" ht="12.75" customHeight="1">
      <c r="A36" s="900"/>
      <c r="B36" s="1124"/>
      <c r="C36" s="1128"/>
      <c r="D36" s="1126"/>
      <c r="E36" s="1126"/>
      <c r="F36" s="1132"/>
      <c r="G36" s="100"/>
      <c r="H36" s="1126"/>
      <c r="I36" s="1126"/>
      <c r="J36" s="1135"/>
      <c r="K36" s="1135"/>
      <c r="L36" s="892"/>
      <c r="M36" s="86"/>
      <c r="N36" s="103"/>
      <c r="O36" s="104"/>
      <c r="P36"/>
      <c r="Q36"/>
      <c r="R36"/>
      <c r="S36"/>
      <c r="T36"/>
      <c r="U36"/>
      <c r="V36"/>
      <c r="W36"/>
      <c r="X36"/>
    </row>
    <row r="37" spans="1:24" s="82" customFormat="1" ht="12.75" customHeight="1">
      <c r="A37" s="900"/>
      <c r="B37" s="1123">
        <v>9</v>
      </c>
      <c r="C37" s="1127"/>
      <c r="D37" s="1125"/>
      <c r="E37" s="1125" t="s">
        <v>18</v>
      </c>
      <c r="F37" s="1130" t="str">
        <f>VLOOKUP(E37,$N$13:$O$17,2,0)</f>
        <v>-</v>
      </c>
      <c r="G37" s="92"/>
      <c r="H37" s="1125"/>
      <c r="I37" s="1125"/>
      <c r="J37" s="1133"/>
      <c r="K37" s="1133"/>
      <c r="L37" s="892"/>
      <c r="M37" s="86"/>
      <c r="N37" s="103"/>
      <c r="O37" s="104"/>
      <c r="P37"/>
      <c r="Q37"/>
      <c r="R37"/>
      <c r="S37"/>
      <c r="T37"/>
      <c r="U37"/>
      <c r="V37"/>
      <c r="W37"/>
      <c r="X37"/>
    </row>
    <row r="38" spans="1:24" s="82" customFormat="1" ht="12.75" customHeight="1">
      <c r="A38" s="900"/>
      <c r="B38" s="1123"/>
      <c r="C38" s="1127"/>
      <c r="D38" s="1125"/>
      <c r="E38" s="1125"/>
      <c r="F38" s="1130"/>
      <c r="G38" s="95"/>
      <c r="H38" s="1125"/>
      <c r="I38" s="1125"/>
      <c r="J38" s="1134"/>
      <c r="K38" s="1134"/>
      <c r="L38" s="892"/>
      <c r="M38" s="86"/>
      <c r="N38" s="103"/>
      <c r="O38" s="104"/>
      <c r="P38"/>
      <c r="Q38"/>
      <c r="R38"/>
      <c r="S38"/>
      <c r="T38"/>
      <c r="U38"/>
      <c r="V38"/>
      <c r="W38"/>
      <c r="X38"/>
    </row>
    <row r="39" spans="1:24" s="82" customFormat="1" ht="12.75" customHeight="1">
      <c r="A39" s="900"/>
      <c r="B39" s="1124"/>
      <c r="C39" s="1128"/>
      <c r="D39" s="1126"/>
      <c r="E39" s="1126"/>
      <c r="F39" s="1132"/>
      <c r="G39" s="100"/>
      <c r="H39" s="1126"/>
      <c r="I39" s="1126"/>
      <c r="J39" s="1135"/>
      <c r="K39" s="1135"/>
      <c r="L39" s="892"/>
      <c r="M39" s="86"/>
      <c r="N39" s="103"/>
      <c r="O39" s="104"/>
      <c r="P39"/>
      <c r="Q39"/>
      <c r="R39"/>
      <c r="S39"/>
      <c r="T39"/>
      <c r="U39"/>
      <c r="V39"/>
      <c r="W39"/>
      <c r="X39"/>
    </row>
    <row r="40" spans="1:24" s="82" customFormat="1" ht="12.75" customHeight="1">
      <c r="A40" s="900"/>
      <c r="B40" s="1123">
        <v>10</v>
      </c>
      <c r="C40" s="1127"/>
      <c r="D40" s="1125"/>
      <c r="E40" s="1125" t="s">
        <v>18</v>
      </c>
      <c r="F40" s="1130" t="str">
        <f>VLOOKUP(E40,$N$13:$O$17,2,0)</f>
        <v>-</v>
      </c>
      <c r="G40" s="92"/>
      <c r="H40" s="1125"/>
      <c r="I40" s="1125"/>
      <c r="J40" s="1133"/>
      <c r="K40" s="1133"/>
      <c r="L40" s="892"/>
      <c r="M40" s="86"/>
      <c r="N40" s="103"/>
      <c r="O40" s="104"/>
      <c r="P40"/>
      <c r="Q40"/>
      <c r="R40"/>
      <c r="S40"/>
      <c r="T40"/>
      <c r="U40"/>
      <c r="V40"/>
      <c r="W40"/>
      <c r="X40"/>
    </row>
    <row r="41" spans="1:24" s="82" customFormat="1" ht="12.75" customHeight="1">
      <c r="A41" s="900"/>
      <c r="B41" s="1123"/>
      <c r="C41" s="1127"/>
      <c r="D41" s="1125"/>
      <c r="E41" s="1125"/>
      <c r="F41" s="1130"/>
      <c r="G41" s="95"/>
      <c r="H41" s="1125"/>
      <c r="I41" s="1125"/>
      <c r="J41" s="1134"/>
      <c r="K41" s="1134"/>
      <c r="L41" s="892"/>
      <c r="M41" s="86"/>
      <c r="N41" s="103"/>
      <c r="O41" s="104"/>
      <c r="P41"/>
      <c r="Q41"/>
      <c r="R41"/>
      <c r="S41"/>
      <c r="T41"/>
      <c r="U41"/>
      <c r="V41"/>
      <c r="W41"/>
      <c r="X41"/>
    </row>
    <row r="42" spans="1:24" s="82" customFormat="1" ht="12.75" customHeight="1" thickBot="1">
      <c r="A42" s="900"/>
      <c r="B42" s="1124"/>
      <c r="C42" s="1128"/>
      <c r="D42" s="1126"/>
      <c r="E42" s="1126"/>
      <c r="F42" s="1132"/>
      <c r="G42" s="100"/>
      <c r="H42" s="1126"/>
      <c r="I42" s="1126"/>
      <c r="J42" s="1135"/>
      <c r="K42" s="1135"/>
      <c r="L42" s="892"/>
      <c r="M42" s="86"/>
      <c r="N42" s="103"/>
      <c r="O42" s="104"/>
    </row>
    <row r="43" spans="1:24" s="103" customFormat="1" ht="15.75" hidden="1" customHeight="1" outlineLevel="1">
      <c r="A43" s="916"/>
      <c r="B43" s="1123">
        <v>11</v>
      </c>
      <c r="C43" s="1127"/>
      <c r="D43" s="1125"/>
      <c r="E43" s="1125" t="s">
        <v>18</v>
      </c>
      <c r="F43" s="1130" t="str">
        <f>VLOOKUP(E43,$N$13:$O$17,2,0)</f>
        <v>-</v>
      </c>
      <c r="G43" s="92"/>
      <c r="H43" s="1125"/>
      <c r="I43" s="1125"/>
      <c r="J43" s="1133"/>
      <c r="K43" s="1133"/>
      <c r="L43" s="916"/>
    </row>
    <row r="44" spans="1:24" s="103" customFormat="1" ht="15.75" hidden="1" customHeight="1" outlineLevel="1">
      <c r="A44" s="916"/>
      <c r="B44" s="1123"/>
      <c r="C44" s="1127"/>
      <c r="D44" s="1125"/>
      <c r="E44" s="1125"/>
      <c r="F44" s="1130"/>
      <c r="G44" s="95"/>
      <c r="H44" s="1125"/>
      <c r="I44" s="1125"/>
      <c r="J44" s="1134"/>
      <c r="K44" s="1134"/>
      <c r="L44" s="916"/>
    </row>
    <row r="45" spans="1:24" s="80" customFormat="1" ht="15.75" hidden="1" customHeight="1" outlineLevel="1">
      <c r="A45" s="910"/>
      <c r="B45" s="1124"/>
      <c r="C45" s="1128"/>
      <c r="D45" s="1126"/>
      <c r="E45" s="1126"/>
      <c r="F45" s="1132"/>
      <c r="G45" s="100"/>
      <c r="H45" s="1126"/>
      <c r="I45" s="1126"/>
      <c r="J45" s="1135"/>
      <c r="K45" s="1135"/>
      <c r="L45" s="910"/>
    </row>
    <row r="46" spans="1:24" s="80" customFormat="1" ht="15.75" hidden="1" customHeight="1" outlineLevel="1">
      <c r="A46" s="910"/>
      <c r="B46" s="1123">
        <v>12</v>
      </c>
      <c r="C46" s="1127"/>
      <c r="D46" s="1125"/>
      <c r="E46" s="1125" t="s">
        <v>18</v>
      </c>
      <c r="F46" s="1130" t="str">
        <f>VLOOKUP(E46,$N$13:$O$17,2,0)</f>
        <v>-</v>
      </c>
      <c r="G46" s="92"/>
      <c r="H46" s="1125"/>
      <c r="I46" s="1125"/>
      <c r="J46" s="1133"/>
      <c r="K46" s="1133"/>
      <c r="L46" s="910"/>
    </row>
    <row r="47" spans="1:24" s="103" customFormat="1" ht="15.75" hidden="1" customHeight="1" outlineLevel="1">
      <c r="A47" s="916"/>
      <c r="B47" s="1123"/>
      <c r="C47" s="1127"/>
      <c r="D47" s="1125"/>
      <c r="E47" s="1125"/>
      <c r="F47" s="1130"/>
      <c r="G47" s="95"/>
      <c r="H47" s="1125"/>
      <c r="I47" s="1125"/>
      <c r="J47" s="1134"/>
      <c r="K47" s="1134"/>
      <c r="L47" s="916"/>
    </row>
    <row r="48" spans="1:24" s="103" customFormat="1" ht="15.75" hidden="1" customHeight="1" outlineLevel="1">
      <c r="A48" s="916"/>
      <c r="B48" s="1124"/>
      <c r="C48" s="1128"/>
      <c r="D48" s="1126"/>
      <c r="E48" s="1126"/>
      <c r="F48" s="1132"/>
      <c r="G48" s="100"/>
      <c r="H48" s="1126"/>
      <c r="I48" s="1126"/>
      <c r="J48" s="1135"/>
      <c r="K48" s="1135"/>
      <c r="L48" s="916"/>
    </row>
    <row r="49" spans="1:12" s="103" customFormat="1" ht="15.75" hidden="1" customHeight="1" outlineLevel="1">
      <c r="A49" s="916"/>
      <c r="B49" s="1123">
        <v>13</v>
      </c>
      <c r="C49" s="1127"/>
      <c r="D49" s="1125"/>
      <c r="E49" s="1125" t="s">
        <v>18</v>
      </c>
      <c r="F49" s="1130" t="str">
        <f>VLOOKUP(E49,$N$13:$O$17,2,0)</f>
        <v>-</v>
      </c>
      <c r="G49" s="92"/>
      <c r="H49" s="1125"/>
      <c r="I49" s="1125"/>
      <c r="J49" s="1133"/>
      <c r="K49" s="1133"/>
      <c r="L49" s="916"/>
    </row>
    <row r="50" spans="1:12" s="103" customFormat="1" ht="15.75" hidden="1" customHeight="1" outlineLevel="1">
      <c r="A50" s="916"/>
      <c r="B50" s="1123"/>
      <c r="C50" s="1127"/>
      <c r="D50" s="1125"/>
      <c r="E50" s="1125"/>
      <c r="F50" s="1130"/>
      <c r="G50" s="95"/>
      <c r="H50" s="1125"/>
      <c r="I50" s="1125"/>
      <c r="J50" s="1134"/>
      <c r="K50" s="1134"/>
      <c r="L50" s="916"/>
    </row>
    <row r="51" spans="1:12" s="103" customFormat="1" ht="15.75" hidden="1" customHeight="1" outlineLevel="1">
      <c r="A51" s="916"/>
      <c r="B51" s="1124"/>
      <c r="C51" s="1128"/>
      <c r="D51" s="1126"/>
      <c r="E51" s="1126"/>
      <c r="F51" s="1132"/>
      <c r="G51" s="100"/>
      <c r="H51" s="1126"/>
      <c r="I51" s="1126"/>
      <c r="J51" s="1135"/>
      <c r="K51" s="1135"/>
      <c r="L51" s="916"/>
    </row>
    <row r="52" spans="1:12" s="103" customFormat="1" ht="15.75" hidden="1" customHeight="1" outlineLevel="1">
      <c r="A52" s="916"/>
      <c r="B52" s="1123">
        <v>14</v>
      </c>
      <c r="C52" s="1127"/>
      <c r="D52" s="1125"/>
      <c r="E52" s="1125" t="s">
        <v>18</v>
      </c>
      <c r="F52" s="1130" t="str">
        <f>VLOOKUP(E52,$N$13:$O$17,2,0)</f>
        <v>-</v>
      </c>
      <c r="G52" s="92"/>
      <c r="H52" s="1125"/>
      <c r="I52" s="1125"/>
      <c r="J52" s="1133"/>
      <c r="K52" s="1133"/>
      <c r="L52" s="916"/>
    </row>
    <row r="53" spans="1:12" s="103" customFormat="1" ht="15.75" hidden="1" customHeight="1" outlineLevel="1">
      <c r="A53" s="916"/>
      <c r="B53" s="1123"/>
      <c r="C53" s="1127"/>
      <c r="D53" s="1125"/>
      <c r="E53" s="1125"/>
      <c r="F53" s="1130"/>
      <c r="G53" s="95"/>
      <c r="H53" s="1125"/>
      <c r="I53" s="1125"/>
      <c r="J53" s="1134"/>
      <c r="K53" s="1134"/>
      <c r="L53" s="916"/>
    </row>
    <row r="54" spans="1:12" s="103" customFormat="1" ht="15.75" hidden="1" customHeight="1" outlineLevel="1">
      <c r="A54" s="916"/>
      <c r="B54" s="1124"/>
      <c r="C54" s="1128"/>
      <c r="D54" s="1126"/>
      <c r="E54" s="1126"/>
      <c r="F54" s="1132"/>
      <c r="G54" s="100"/>
      <c r="H54" s="1126"/>
      <c r="I54" s="1126"/>
      <c r="J54" s="1135"/>
      <c r="K54" s="1135"/>
      <c r="L54" s="916"/>
    </row>
    <row r="55" spans="1:12" s="103" customFormat="1" ht="15.75" hidden="1" customHeight="1" outlineLevel="1">
      <c r="A55" s="916"/>
      <c r="B55" s="1123">
        <v>15</v>
      </c>
      <c r="C55" s="1127"/>
      <c r="D55" s="1125"/>
      <c r="E55" s="1125" t="s">
        <v>18</v>
      </c>
      <c r="F55" s="1130" t="str">
        <f>VLOOKUP(E55,$N$13:$O$17,2,0)</f>
        <v>-</v>
      </c>
      <c r="G55" s="92"/>
      <c r="H55" s="1125"/>
      <c r="I55" s="1125"/>
      <c r="J55" s="1133"/>
      <c r="K55" s="1133"/>
      <c r="L55" s="916"/>
    </row>
    <row r="56" spans="1:12" s="103" customFormat="1" ht="15.75" hidden="1" customHeight="1" outlineLevel="1">
      <c r="A56" s="916"/>
      <c r="B56" s="1123"/>
      <c r="C56" s="1127"/>
      <c r="D56" s="1125"/>
      <c r="E56" s="1125"/>
      <c r="F56" s="1130"/>
      <c r="G56" s="95"/>
      <c r="H56" s="1125"/>
      <c r="I56" s="1125"/>
      <c r="J56" s="1134"/>
      <c r="K56" s="1134"/>
      <c r="L56" s="916"/>
    </row>
    <row r="57" spans="1:12" s="103" customFormat="1" ht="15.75" hidden="1" customHeight="1" outlineLevel="1">
      <c r="A57" s="916"/>
      <c r="B57" s="1124"/>
      <c r="C57" s="1128"/>
      <c r="D57" s="1126"/>
      <c r="E57" s="1126"/>
      <c r="F57" s="1132"/>
      <c r="G57" s="100"/>
      <c r="H57" s="1126"/>
      <c r="I57" s="1126"/>
      <c r="J57" s="1135"/>
      <c r="K57" s="1135"/>
      <c r="L57" s="916"/>
    </row>
    <row r="58" spans="1:12" s="103" customFormat="1" ht="15.75" hidden="1" customHeight="1" outlineLevel="1">
      <c r="A58" s="916"/>
      <c r="B58" s="1123">
        <v>16</v>
      </c>
      <c r="C58" s="1127"/>
      <c r="D58" s="1125"/>
      <c r="E58" s="1125" t="s">
        <v>18</v>
      </c>
      <c r="F58" s="1130" t="e">
        <f>IF(F$25=0,0,F32/F$25)</f>
        <v>#VALUE!</v>
      </c>
      <c r="G58" s="92"/>
      <c r="H58" s="1125"/>
      <c r="I58" s="1125"/>
      <c r="J58" s="1133"/>
      <c r="K58" s="1133"/>
      <c r="L58" s="916"/>
    </row>
    <row r="59" spans="1:12" s="103" customFormat="1" ht="15.75" hidden="1" customHeight="1" outlineLevel="1">
      <c r="A59" s="916"/>
      <c r="B59" s="1123"/>
      <c r="C59" s="1127"/>
      <c r="D59" s="1125"/>
      <c r="E59" s="1125"/>
      <c r="F59" s="1130"/>
      <c r="G59" s="95"/>
      <c r="H59" s="1125"/>
      <c r="I59" s="1125"/>
      <c r="J59" s="1134"/>
      <c r="K59" s="1134"/>
      <c r="L59" s="916"/>
    </row>
    <row r="60" spans="1:12" s="103" customFormat="1" ht="15.75" hidden="1" customHeight="1" outlineLevel="1">
      <c r="A60" s="916"/>
      <c r="B60" s="1124"/>
      <c r="C60" s="1128"/>
      <c r="D60" s="1126"/>
      <c r="E60" s="1126"/>
      <c r="F60" s="1132"/>
      <c r="G60" s="100"/>
      <c r="H60" s="1126"/>
      <c r="I60" s="1126"/>
      <c r="J60" s="1135"/>
      <c r="K60" s="1135"/>
      <c r="L60" s="916"/>
    </row>
    <row r="61" spans="1:12" s="103" customFormat="1" ht="15.75" hidden="1" customHeight="1" outlineLevel="1">
      <c r="A61" s="916"/>
      <c r="B61" s="1123">
        <v>17</v>
      </c>
      <c r="C61" s="1127"/>
      <c r="D61" s="1125"/>
      <c r="E61" s="1125" t="s">
        <v>18</v>
      </c>
      <c r="F61" s="1130" t="str">
        <f>VLOOKUP(E61,$N$13:$O$17,2,0)</f>
        <v>-</v>
      </c>
      <c r="G61" s="92"/>
      <c r="H61" s="1125"/>
      <c r="I61" s="1125"/>
      <c r="J61" s="1133"/>
      <c r="K61" s="1133"/>
      <c r="L61" s="916"/>
    </row>
    <row r="62" spans="1:12" s="103" customFormat="1" ht="15.75" hidden="1" customHeight="1" outlineLevel="1">
      <c r="A62" s="916"/>
      <c r="B62" s="1123"/>
      <c r="C62" s="1127"/>
      <c r="D62" s="1125"/>
      <c r="E62" s="1125"/>
      <c r="F62" s="1130"/>
      <c r="G62" s="95"/>
      <c r="H62" s="1125"/>
      <c r="I62" s="1125"/>
      <c r="J62" s="1134"/>
      <c r="K62" s="1134"/>
      <c r="L62" s="916"/>
    </row>
    <row r="63" spans="1:12" s="103" customFormat="1" ht="15.75" hidden="1" customHeight="1" outlineLevel="1">
      <c r="A63" s="916"/>
      <c r="B63" s="1124"/>
      <c r="C63" s="1128"/>
      <c r="D63" s="1126"/>
      <c r="E63" s="1126"/>
      <c r="F63" s="1132"/>
      <c r="G63" s="100"/>
      <c r="H63" s="1126"/>
      <c r="I63" s="1126"/>
      <c r="J63" s="1135"/>
      <c r="K63" s="1135"/>
      <c r="L63" s="916"/>
    </row>
    <row r="64" spans="1:12" s="103" customFormat="1" ht="15.75" hidden="1" customHeight="1" outlineLevel="1">
      <c r="A64" s="916"/>
      <c r="B64" s="1123">
        <v>18</v>
      </c>
      <c r="C64" s="1127"/>
      <c r="D64" s="1125"/>
      <c r="E64" s="1125" t="s">
        <v>18</v>
      </c>
      <c r="F64" s="1130" t="str">
        <f>VLOOKUP(E64,$N$13:$O$17,2,0)</f>
        <v>-</v>
      </c>
      <c r="G64" s="92"/>
      <c r="H64" s="1125"/>
      <c r="I64" s="1125"/>
      <c r="J64" s="1133"/>
      <c r="K64" s="1133"/>
      <c r="L64" s="916"/>
    </row>
    <row r="65" spans="1:12" s="103" customFormat="1" ht="15.75" hidden="1" customHeight="1" outlineLevel="1">
      <c r="A65" s="916"/>
      <c r="B65" s="1123"/>
      <c r="C65" s="1127"/>
      <c r="D65" s="1125"/>
      <c r="E65" s="1125"/>
      <c r="F65" s="1130"/>
      <c r="G65" s="95"/>
      <c r="H65" s="1125"/>
      <c r="I65" s="1125"/>
      <c r="J65" s="1134"/>
      <c r="K65" s="1134"/>
      <c r="L65" s="916"/>
    </row>
    <row r="66" spans="1:12" s="103" customFormat="1" ht="15.75" hidden="1" customHeight="1" outlineLevel="1">
      <c r="A66" s="916"/>
      <c r="B66" s="1124"/>
      <c r="C66" s="1128"/>
      <c r="D66" s="1126"/>
      <c r="E66" s="1126"/>
      <c r="F66" s="1132"/>
      <c r="G66" s="100"/>
      <c r="H66" s="1126"/>
      <c r="I66" s="1126"/>
      <c r="J66" s="1135"/>
      <c r="K66" s="1135"/>
      <c r="L66" s="916"/>
    </row>
    <row r="67" spans="1:12" s="103" customFormat="1" ht="15.75" hidden="1" customHeight="1" outlineLevel="1">
      <c r="A67" s="916"/>
      <c r="B67" s="1123">
        <v>19</v>
      </c>
      <c r="C67" s="1127"/>
      <c r="D67" s="1125"/>
      <c r="E67" s="1125" t="s">
        <v>18</v>
      </c>
      <c r="F67" s="1130" t="str">
        <f>VLOOKUP(E67,$N$13:$O$17,2,0)</f>
        <v>-</v>
      </c>
      <c r="G67" s="92"/>
      <c r="H67" s="1125"/>
      <c r="I67" s="1125"/>
      <c r="J67" s="1133"/>
      <c r="K67" s="1133"/>
      <c r="L67" s="916"/>
    </row>
    <row r="68" spans="1:12" s="103" customFormat="1" ht="15.75" hidden="1" customHeight="1" outlineLevel="1">
      <c r="A68" s="916"/>
      <c r="B68" s="1123"/>
      <c r="C68" s="1127"/>
      <c r="D68" s="1125"/>
      <c r="E68" s="1125"/>
      <c r="F68" s="1130"/>
      <c r="G68" s="95"/>
      <c r="H68" s="1125"/>
      <c r="I68" s="1125"/>
      <c r="J68" s="1134"/>
      <c r="K68" s="1134"/>
      <c r="L68" s="916"/>
    </row>
    <row r="69" spans="1:12" s="103" customFormat="1" ht="15.75" hidden="1" customHeight="1" outlineLevel="1">
      <c r="A69" s="916"/>
      <c r="B69" s="1124"/>
      <c r="C69" s="1128"/>
      <c r="D69" s="1126"/>
      <c r="E69" s="1126"/>
      <c r="F69" s="1132"/>
      <c r="G69" s="100"/>
      <c r="H69" s="1126"/>
      <c r="I69" s="1126"/>
      <c r="J69" s="1135"/>
      <c r="K69" s="1135"/>
      <c r="L69" s="916"/>
    </row>
    <row r="70" spans="1:12" s="103" customFormat="1" ht="15.75" hidden="1" customHeight="1" outlineLevel="1">
      <c r="A70" s="916"/>
      <c r="B70" s="1123">
        <v>20</v>
      </c>
      <c r="C70" s="1127"/>
      <c r="D70" s="1125"/>
      <c r="E70" s="1125" t="s">
        <v>18</v>
      </c>
      <c r="F70" s="1130" t="str">
        <f>VLOOKUP(E70,$N$13:$O$17,2,0)</f>
        <v>-</v>
      </c>
      <c r="G70" s="92"/>
      <c r="H70" s="1125"/>
      <c r="I70" s="1125"/>
      <c r="J70" s="1133"/>
      <c r="K70" s="1133"/>
      <c r="L70" s="916"/>
    </row>
    <row r="71" spans="1:12" s="103" customFormat="1" ht="15.75" hidden="1" customHeight="1" outlineLevel="1">
      <c r="A71" s="916"/>
      <c r="B71" s="1123"/>
      <c r="C71" s="1127"/>
      <c r="D71" s="1125"/>
      <c r="E71" s="1125"/>
      <c r="F71" s="1130"/>
      <c r="G71" s="95"/>
      <c r="H71" s="1125"/>
      <c r="I71" s="1125"/>
      <c r="J71" s="1134"/>
      <c r="K71" s="1134"/>
      <c r="L71" s="916"/>
    </row>
    <row r="72" spans="1:12" s="103" customFormat="1" ht="15.75" hidden="1" customHeight="1" outlineLevel="1">
      <c r="A72" s="916"/>
      <c r="B72" s="1124"/>
      <c r="C72" s="1128"/>
      <c r="D72" s="1126"/>
      <c r="E72" s="1126"/>
      <c r="F72" s="1132"/>
      <c r="G72" s="100"/>
      <c r="H72" s="1126"/>
      <c r="I72" s="1126"/>
      <c r="J72" s="1135"/>
      <c r="K72" s="1135"/>
      <c r="L72" s="916"/>
    </row>
    <row r="73" spans="1:12" s="103" customFormat="1" ht="15.75" hidden="1" customHeight="1" outlineLevel="1">
      <c r="A73" s="916"/>
      <c r="B73" s="1123">
        <v>21</v>
      </c>
      <c r="C73" s="1127"/>
      <c r="D73" s="1125"/>
      <c r="E73" s="1125" t="s">
        <v>18</v>
      </c>
      <c r="F73" s="1130" t="str">
        <f>VLOOKUP(E73,$N$13:$O$17,2,0)</f>
        <v>-</v>
      </c>
      <c r="G73" s="92"/>
      <c r="H73" s="1125"/>
      <c r="I73" s="1125"/>
      <c r="J73" s="1133"/>
      <c r="K73" s="1133"/>
      <c r="L73" s="916"/>
    </row>
    <row r="74" spans="1:12" s="103" customFormat="1" ht="15.75" hidden="1" customHeight="1" outlineLevel="1">
      <c r="A74" s="916"/>
      <c r="B74" s="1123"/>
      <c r="C74" s="1127"/>
      <c r="D74" s="1125"/>
      <c r="E74" s="1125"/>
      <c r="F74" s="1130"/>
      <c r="G74" s="95"/>
      <c r="H74" s="1125"/>
      <c r="I74" s="1125"/>
      <c r="J74" s="1134"/>
      <c r="K74" s="1134"/>
      <c r="L74" s="916"/>
    </row>
    <row r="75" spans="1:12" s="103" customFormat="1" ht="15.75" hidden="1" customHeight="1" outlineLevel="1">
      <c r="A75" s="916"/>
      <c r="B75" s="1124"/>
      <c r="C75" s="1128"/>
      <c r="D75" s="1126"/>
      <c r="E75" s="1126"/>
      <c r="F75" s="1132"/>
      <c r="G75" s="100"/>
      <c r="H75" s="1126"/>
      <c r="I75" s="1126"/>
      <c r="J75" s="1135"/>
      <c r="K75" s="1135"/>
      <c r="L75" s="916"/>
    </row>
    <row r="76" spans="1:12" s="103" customFormat="1" ht="15.75" hidden="1" customHeight="1" outlineLevel="1">
      <c r="A76" s="916"/>
      <c r="B76" s="1123">
        <v>22</v>
      </c>
      <c r="C76" s="1127"/>
      <c r="D76" s="1125"/>
      <c r="E76" s="1125" t="s">
        <v>18</v>
      </c>
      <c r="F76" s="1130" t="str">
        <f>VLOOKUP(E76,$N$13:$O$17,2,0)</f>
        <v>-</v>
      </c>
      <c r="G76" s="92"/>
      <c r="H76" s="1125"/>
      <c r="I76" s="1125"/>
      <c r="J76" s="1133"/>
      <c r="K76" s="1133"/>
      <c r="L76" s="916"/>
    </row>
    <row r="77" spans="1:12" s="103" customFormat="1" ht="15.75" hidden="1" customHeight="1" outlineLevel="1">
      <c r="A77" s="916"/>
      <c r="B77" s="1123"/>
      <c r="C77" s="1127"/>
      <c r="D77" s="1125"/>
      <c r="E77" s="1125"/>
      <c r="F77" s="1130"/>
      <c r="G77" s="95"/>
      <c r="H77" s="1125"/>
      <c r="I77" s="1125"/>
      <c r="J77" s="1134"/>
      <c r="K77" s="1134"/>
      <c r="L77" s="916"/>
    </row>
    <row r="78" spans="1:12" s="103" customFormat="1" ht="15.75" hidden="1" customHeight="1" outlineLevel="1">
      <c r="A78" s="916"/>
      <c r="B78" s="1124"/>
      <c r="C78" s="1128"/>
      <c r="D78" s="1126"/>
      <c r="E78" s="1126"/>
      <c r="F78" s="1132"/>
      <c r="G78" s="100"/>
      <c r="H78" s="1126"/>
      <c r="I78" s="1126"/>
      <c r="J78" s="1135"/>
      <c r="K78" s="1135"/>
      <c r="L78" s="916"/>
    </row>
    <row r="79" spans="1:12" s="103" customFormat="1" ht="15.75" hidden="1" customHeight="1" outlineLevel="1">
      <c r="A79" s="916"/>
      <c r="B79" s="1123">
        <v>23</v>
      </c>
      <c r="C79" s="1127"/>
      <c r="D79" s="1125"/>
      <c r="E79" s="1125" t="s">
        <v>18</v>
      </c>
      <c r="F79" s="1130" t="str">
        <f>VLOOKUP(E79,$N$13:$O$17,2,0)</f>
        <v>-</v>
      </c>
      <c r="G79" s="92"/>
      <c r="H79" s="1125"/>
      <c r="I79" s="1125"/>
      <c r="J79" s="1133"/>
      <c r="K79" s="1133"/>
      <c r="L79" s="916"/>
    </row>
    <row r="80" spans="1:12" s="103" customFormat="1" ht="15.75" hidden="1" customHeight="1" outlineLevel="1">
      <c r="A80" s="916"/>
      <c r="B80" s="1123"/>
      <c r="C80" s="1127"/>
      <c r="D80" s="1125"/>
      <c r="E80" s="1125"/>
      <c r="F80" s="1130"/>
      <c r="G80" s="95"/>
      <c r="H80" s="1125"/>
      <c r="I80" s="1125"/>
      <c r="J80" s="1134"/>
      <c r="K80" s="1134"/>
      <c r="L80" s="916"/>
    </row>
    <row r="81" spans="1:12" s="103" customFormat="1" ht="15.75" hidden="1" customHeight="1" outlineLevel="1">
      <c r="A81" s="916"/>
      <c r="B81" s="1124"/>
      <c r="C81" s="1128"/>
      <c r="D81" s="1126"/>
      <c r="E81" s="1126"/>
      <c r="F81" s="1132"/>
      <c r="G81" s="100"/>
      <c r="H81" s="1126"/>
      <c r="I81" s="1126"/>
      <c r="J81" s="1135"/>
      <c r="K81" s="1135"/>
      <c r="L81" s="916"/>
    </row>
    <row r="82" spans="1:12" s="103" customFormat="1" ht="15.75" hidden="1" customHeight="1" outlineLevel="1">
      <c r="A82" s="916"/>
      <c r="B82" s="1123">
        <v>24</v>
      </c>
      <c r="C82" s="1127"/>
      <c r="D82" s="1125"/>
      <c r="E82" s="1125" t="s">
        <v>18</v>
      </c>
      <c r="F82" s="1130" t="str">
        <f>VLOOKUP(E82,$N$13:$O$17,2,0)</f>
        <v>-</v>
      </c>
      <c r="G82" s="92"/>
      <c r="H82" s="1125"/>
      <c r="I82" s="1125"/>
      <c r="J82" s="1133"/>
      <c r="K82" s="1133"/>
      <c r="L82" s="916"/>
    </row>
    <row r="83" spans="1:12" s="103" customFormat="1" ht="15.75" hidden="1" customHeight="1" outlineLevel="1">
      <c r="A83" s="916"/>
      <c r="B83" s="1123"/>
      <c r="C83" s="1127"/>
      <c r="D83" s="1125"/>
      <c r="E83" s="1125"/>
      <c r="F83" s="1130"/>
      <c r="G83" s="95"/>
      <c r="H83" s="1125"/>
      <c r="I83" s="1125"/>
      <c r="J83" s="1134"/>
      <c r="K83" s="1134"/>
      <c r="L83" s="916"/>
    </row>
    <row r="84" spans="1:12" s="103" customFormat="1" ht="15.75" hidden="1" customHeight="1" outlineLevel="1">
      <c r="A84" s="916"/>
      <c r="B84" s="1124"/>
      <c r="C84" s="1128"/>
      <c r="D84" s="1126"/>
      <c r="E84" s="1126"/>
      <c r="F84" s="1132"/>
      <c r="G84" s="100"/>
      <c r="H84" s="1126"/>
      <c r="I84" s="1126"/>
      <c r="J84" s="1135"/>
      <c r="K84" s="1135"/>
      <c r="L84" s="916"/>
    </row>
    <row r="85" spans="1:12" s="103" customFormat="1" ht="15.75" hidden="1" customHeight="1" outlineLevel="1">
      <c r="A85" s="916"/>
      <c r="B85" s="1123">
        <v>25</v>
      </c>
      <c r="C85" s="1127"/>
      <c r="D85" s="1125"/>
      <c r="E85" s="1125" t="s">
        <v>18</v>
      </c>
      <c r="F85" s="1130" t="str">
        <f>VLOOKUP(E85,$N$13:$O$17,2,0)</f>
        <v>-</v>
      </c>
      <c r="G85" s="92"/>
      <c r="H85" s="1125"/>
      <c r="I85" s="1125"/>
      <c r="J85" s="1133"/>
      <c r="K85" s="1133"/>
      <c r="L85" s="916"/>
    </row>
    <row r="86" spans="1:12" s="103" customFormat="1" ht="15.75" hidden="1" customHeight="1" outlineLevel="1">
      <c r="A86" s="916"/>
      <c r="B86" s="1123"/>
      <c r="C86" s="1127"/>
      <c r="D86" s="1125"/>
      <c r="E86" s="1125"/>
      <c r="F86" s="1130"/>
      <c r="G86" s="95"/>
      <c r="H86" s="1125"/>
      <c r="I86" s="1125"/>
      <c r="J86" s="1134"/>
      <c r="K86" s="1134"/>
      <c r="L86" s="916"/>
    </row>
    <row r="87" spans="1:12" s="103" customFormat="1" ht="15.75" hidden="1" customHeight="1" outlineLevel="1">
      <c r="A87" s="916"/>
      <c r="B87" s="1124"/>
      <c r="C87" s="1128"/>
      <c r="D87" s="1126"/>
      <c r="E87" s="1126"/>
      <c r="F87" s="1132"/>
      <c r="G87" s="100"/>
      <c r="H87" s="1126"/>
      <c r="I87" s="1126"/>
      <c r="J87" s="1135"/>
      <c r="K87" s="1135"/>
      <c r="L87" s="916"/>
    </row>
    <row r="88" spans="1:12" s="103" customFormat="1" ht="15.75" hidden="1" customHeight="1" outlineLevel="1">
      <c r="A88" s="916"/>
      <c r="B88" s="1123">
        <v>26</v>
      </c>
      <c r="C88" s="1127"/>
      <c r="D88" s="1125"/>
      <c r="E88" s="1125" t="s">
        <v>18</v>
      </c>
      <c r="F88" s="1130" t="str">
        <f>VLOOKUP(E88,$N$13:$O$17,2,0)</f>
        <v>-</v>
      </c>
      <c r="G88" s="92"/>
      <c r="H88" s="1125"/>
      <c r="I88" s="1125"/>
      <c r="J88" s="1133"/>
      <c r="K88" s="1133"/>
      <c r="L88" s="916"/>
    </row>
    <row r="89" spans="1:12" s="103" customFormat="1" ht="15.75" hidden="1" customHeight="1" outlineLevel="1">
      <c r="A89" s="916"/>
      <c r="B89" s="1123"/>
      <c r="C89" s="1127"/>
      <c r="D89" s="1125"/>
      <c r="E89" s="1125"/>
      <c r="F89" s="1130"/>
      <c r="G89" s="95"/>
      <c r="H89" s="1125"/>
      <c r="I89" s="1125"/>
      <c r="J89" s="1134"/>
      <c r="K89" s="1134"/>
      <c r="L89" s="916"/>
    </row>
    <row r="90" spans="1:12" s="103" customFormat="1" ht="15.75" hidden="1" customHeight="1" outlineLevel="1">
      <c r="A90" s="916"/>
      <c r="B90" s="1124"/>
      <c r="C90" s="1128"/>
      <c r="D90" s="1126"/>
      <c r="E90" s="1126"/>
      <c r="F90" s="1132"/>
      <c r="G90" s="100"/>
      <c r="H90" s="1126"/>
      <c r="I90" s="1126"/>
      <c r="J90" s="1135"/>
      <c r="K90" s="1135"/>
      <c r="L90" s="916"/>
    </row>
    <row r="91" spans="1:12" s="103" customFormat="1" ht="15.75" hidden="1" customHeight="1" outlineLevel="1">
      <c r="A91" s="916"/>
      <c r="B91" s="1123">
        <v>27</v>
      </c>
      <c r="C91" s="1127"/>
      <c r="D91" s="1125"/>
      <c r="E91" s="1125" t="s">
        <v>18</v>
      </c>
      <c r="F91" s="1130" t="str">
        <f>VLOOKUP(E91,$N$13:$O$17,2,0)</f>
        <v>-</v>
      </c>
      <c r="G91" s="92"/>
      <c r="H91" s="1125"/>
      <c r="I91" s="1125"/>
      <c r="J91" s="1133"/>
      <c r="K91" s="1133"/>
      <c r="L91" s="916"/>
    </row>
    <row r="92" spans="1:12" s="103" customFormat="1" ht="15.75" hidden="1" customHeight="1" outlineLevel="1">
      <c r="A92" s="916"/>
      <c r="B92" s="1123"/>
      <c r="C92" s="1127"/>
      <c r="D92" s="1125"/>
      <c r="E92" s="1125"/>
      <c r="F92" s="1130"/>
      <c r="G92" s="95"/>
      <c r="H92" s="1125"/>
      <c r="I92" s="1125"/>
      <c r="J92" s="1134"/>
      <c r="K92" s="1134"/>
      <c r="L92" s="916"/>
    </row>
    <row r="93" spans="1:12" s="103" customFormat="1" ht="15.75" hidden="1" customHeight="1" outlineLevel="1">
      <c r="A93" s="916"/>
      <c r="B93" s="1124"/>
      <c r="C93" s="1128"/>
      <c r="D93" s="1126"/>
      <c r="E93" s="1126"/>
      <c r="F93" s="1132"/>
      <c r="G93" s="100"/>
      <c r="H93" s="1126"/>
      <c r="I93" s="1126"/>
      <c r="J93" s="1135"/>
      <c r="K93" s="1135"/>
      <c r="L93" s="916"/>
    </row>
    <row r="94" spans="1:12" s="103" customFormat="1" ht="15.75" hidden="1" customHeight="1" outlineLevel="1">
      <c r="A94" s="916"/>
      <c r="B94" s="1123">
        <v>28</v>
      </c>
      <c r="C94" s="1127"/>
      <c r="D94" s="1125"/>
      <c r="E94" s="1125" t="s">
        <v>18</v>
      </c>
      <c r="F94" s="1130" t="str">
        <f>VLOOKUP(E94,$N$13:$O$17,2,0)</f>
        <v>-</v>
      </c>
      <c r="G94" s="92"/>
      <c r="H94" s="1125"/>
      <c r="I94" s="1125"/>
      <c r="J94" s="1133"/>
      <c r="K94" s="1133"/>
      <c r="L94" s="916"/>
    </row>
    <row r="95" spans="1:12" s="103" customFormat="1" ht="15.75" hidden="1" customHeight="1" outlineLevel="1">
      <c r="A95" s="916"/>
      <c r="B95" s="1123"/>
      <c r="C95" s="1127"/>
      <c r="D95" s="1125"/>
      <c r="E95" s="1125"/>
      <c r="F95" s="1130"/>
      <c r="G95" s="95"/>
      <c r="H95" s="1125"/>
      <c r="I95" s="1125"/>
      <c r="J95" s="1134"/>
      <c r="K95" s="1134"/>
      <c r="L95" s="916"/>
    </row>
    <row r="96" spans="1:12" s="103" customFormat="1" ht="15.75" hidden="1" customHeight="1" outlineLevel="1">
      <c r="A96" s="916"/>
      <c r="B96" s="1124"/>
      <c r="C96" s="1128"/>
      <c r="D96" s="1126"/>
      <c r="E96" s="1126"/>
      <c r="F96" s="1132"/>
      <c r="G96" s="100"/>
      <c r="H96" s="1126"/>
      <c r="I96" s="1126"/>
      <c r="J96" s="1135"/>
      <c r="K96" s="1135"/>
      <c r="L96" s="916"/>
    </row>
    <row r="97" spans="1:12" s="103" customFormat="1" ht="15.75" hidden="1" customHeight="1" outlineLevel="1">
      <c r="A97" s="916"/>
      <c r="B97" s="1123">
        <v>29</v>
      </c>
      <c r="C97" s="1127"/>
      <c r="D97" s="1125"/>
      <c r="E97" s="1125" t="s">
        <v>18</v>
      </c>
      <c r="F97" s="1130" t="str">
        <f>VLOOKUP(E97,$N$13:$O$17,2,0)</f>
        <v>-</v>
      </c>
      <c r="G97" s="92"/>
      <c r="H97" s="1125"/>
      <c r="I97" s="1125"/>
      <c r="J97" s="1133"/>
      <c r="K97" s="1133"/>
      <c r="L97" s="916"/>
    </row>
    <row r="98" spans="1:12" s="103" customFormat="1" ht="15.75" hidden="1" customHeight="1" outlineLevel="1">
      <c r="A98" s="916"/>
      <c r="B98" s="1123"/>
      <c r="C98" s="1127"/>
      <c r="D98" s="1125"/>
      <c r="E98" s="1125"/>
      <c r="F98" s="1130"/>
      <c r="G98" s="95"/>
      <c r="H98" s="1125"/>
      <c r="I98" s="1125"/>
      <c r="J98" s="1134"/>
      <c r="K98" s="1134"/>
      <c r="L98" s="916"/>
    </row>
    <row r="99" spans="1:12" s="103" customFormat="1" ht="15.75" hidden="1" customHeight="1" outlineLevel="1">
      <c r="A99" s="916"/>
      <c r="B99" s="1124"/>
      <c r="C99" s="1128"/>
      <c r="D99" s="1126"/>
      <c r="E99" s="1126"/>
      <c r="F99" s="1132"/>
      <c r="G99" s="100"/>
      <c r="H99" s="1126"/>
      <c r="I99" s="1126"/>
      <c r="J99" s="1135"/>
      <c r="K99" s="1135"/>
      <c r="L99" s="916"/>
    </row>
    <row r="100" spans="1:12" s="103" customFormat="1" ht="15.75" hidden="1" customHeight="1" outlineLevel="1">
      <c r="A100" s="916"/>
      <c r="B100" s="1123">
        <v>30</v>
      </c>
      <c r="C100" s="1127"/>
      <c r="D100" s="1125"/>
      <c r="E100" s="1125" t="s">
        <v>18</v>
      </c>
      <c r="F100" s="1130" t="str">
        <f>VLOOKUP(E100,$N$13:$O$17,2,0)</f>
        <v>-</v>
      </c>
      <c r="G100" s="92"/>
      <c r="H100" s="1125"/>
      <c r="I100" s="1125"/>
      <c r="J100" s="1133"/>
      <c r="K100" s="1133"/>
      <c r="L100" s="916"/>
    </row>
    <row r="101" spans="1:12" s="103" customFormat="1" ht="15.75" hidden="1" customHeight="1" outlineLevel="1">
      <c r="A101" s="916"/>
      <c r="B101" s="1123"/>
      <c r="C101" s="1127"/>
      <c r="D101" s="1125"/>
      <c r="E101" s="1125"/>
      <c r="F101" s="1130"/>
      <c r="G101" s="95"/>
      <c r="H101" s="1125"/>
      <c r="I101" s="1125"/>
      <c r="J101" s="1134"/>
      <c r="K101" s="1134"/>
      <c r="L101" s="916"/>
    </row>
    <row r="102" spans="1:12" s="103" customFormat="1" ht="15.75" hidden="1" customHeight="1" outlineLevel="1">
      <c r="A102" s="916"/>
      <c r="B102" s="1124"/>
      <c r="C102" s="1128"/>
      <c r="D102" s="1126"/>
      <c r="E102" s="1126"/>
      <c r="F102" s="1132"/>
      <c r="G102" s="100"/>
      <c r="H102" s="1126"/>
      <c r="I102" s="1126"/>
      <c r="J102" s="1135"/>
      <c r="K102" s="1135"/>
      <c r="L102" s="916"/>
    </row>
    <row r="103" spans="1:12" s="103" customFormat="1" ht="15.75" hidden="1" customHeight="1" outlineLevel="1">
      <c r="A103" s="916"/>
      <c r="B103" s="1123">
        <v>31</v>
      </c>
      <c r="C103" s="1127"/>
      <c r="D103" s="1125"/>
      <c r="E103" s="1125" t="s">
        <v>18</v>
      </c>
      <c r="F103" s="1130" t="str">
        <f>VLOOKUP(E103,$N$13:$O$17,2,0)</f>
        <v>-</v>
      </c>
      <c r="G103" s="92"/>
      <c r="H103" s="1125"/>
      <c r="I103" s="1125"/>
      <c r="J103" s="1133"/>
      <c r="K103" s="1133"/>
      <c r="L103" s="916"/>
    </row>
    <row r="104" spans="1:12" s="103" customFormat="1" ht="15.75" hidden="1" customHeight="1" outlineLevel="1">
      <c r="A104" s="916"/>
      <c r="B104" s="1123"/>
      <c r="C104" s="1127"/>
      <c r="D104" s="1125"/>
      <c r="E104" s="1125"/>
      <c r="F104" s="1130"/>
      <c r="G104" s="95"/>
      <c r="H104" s="1125"/>
      <c r="I104" s="1125"/>
      <c r="J104" s="1134"/>
      <c r="K104" s="1134"/>
      <c r="L104" s="916"/>
    </row>
    <row r="105" spans="1:12" s="103" customFormat="1" ht="15.75" hidden="1" customHeight="1" outlineLevel="1">
      <c r="A105" s="916"/>
      <c r="B105" s="1124"/>
      <c r="C105" s="1128"/>
      <c r="D105" s="1126"/>
      <c r="E105" s="1126"/>
      <c r="F105" s="1132"/>
      <c r="G105" s="100"/>
      <c r="H105" s="1126"/>
      <c r="I105" s="1126"/>
      <c r="J105" s="1135"/>
      <c r="K105" s="1135"/>
      <c r="L105" s="916"/>
    </row>
    <row r="106" spans="1:12" s="103" customFormat="1" ht="15.75" hidden="1" customHeight="1" outlineLevel="1">
      <c r="A106" s="916"/>
      <c r="B106" s="1123">
        <v>32</v>
      </c>
      <c r="C106" s="1127"/>
      <c r="D106" s="1125"/>
      <c r="E106" s="1125" t="s">
        <v>18</v>
      </c>
      <c r="F106" s="1130" t="str">
        <f>VLOOKUP(E106,$N$13:$O$17,2,0)</f>
        <v>-</v>
      </c>
      <c r="G106" s="92"/>
      <c r="H106" s="1125"/>
      <c r="I106" s="1125"/>
      <c r="J106" s="1133"/>
      <c r="K106" s="1133"/>
      <c r="L106" s="916"/>
    </row>
    <row r="107" spans="1:12" s="103" customFormat="1" ht="15.75" hidden="1" customHeight="1" outlineLevel="1">
      <c r="A107" s="916"/>
      <c r="B107" s="1123"/>
      <c r="C107" s="1127"/>
      <c r="D107" s="1125"/>
      <c r="E107" s="1125"/>
      <c r="F107" s="1130"/>
      <c r="G107" s="95"/>
      <c r="H107" s="1125"/>
      <c r="I107" s="1125"/>
      <c r="J107" s="1134"/>
      <c r="K107" s="1134"/>
      <c r="L107" s="916"/>
    </row>
    <row r="108" spans="1:12" s="103" customFormat="1" ht="15.75" hidden="1" customHeight="1" outlineLevel="1">
      <c r="A108" s="916"/>
      <c r="B108" s="1124"/>
      <c r="C108" s="1128"/>
      <c r="D108" s="1126"/>
      <c r="E108" s="1126"/>
      <c r="F108" s="1132"/>
      <c r="G108" s="100"/>
      <c r="H108" s="1126"/>
      <c r="I108" s="1126"/>
      <c r="J108" s="1135"/>
      <c r="K108" s="1135"/>
      <c r="L108" s="916"/>
    </row>
    <row r="109" spans="1:12" s="103" customFormat="1" ht="15.75" hidden="1" customHeight="1" outlineLevel="1">
      <c r="A109" s="916"/>
      <c r="B109" s="1123">
        <v>33</v>
      </c>
      <c r="C109" s="1127"/>
      <c r="D109" s="1125"/>
      <c r="E109" s="1125" t="s">
        <v>18</v>
      </c>
      <c r="F109" s="1130" t="str">
        <f>VLOOKUP(E109,$N$13:$O$17,2,0)</f>
        <v>-</v>
      </c>
      <c r="G109" s="92"/>
      <c r="H109" s="1125"/>
      <c r="I109" s="1125"/>
      <c r="J109" s="1133"/>
      <c r="K109" s="1133"/>
      <c r="L109" s="916"/>
    </row>
    <row r="110" spans="1:12" s="103" customFormat="1" ht="15.75" hidden="1" customHeight="1" outlineLevel="1">
      <c r="A110" s="916"/>
      <c r="B110" s="1123"/>
      <c r="C110" s="1127"/>
      <c r="D110" s="1125"/>
      <c r="E110" s="1125"/>
      <c r="F110" s="1130"/>
      <c r="G110" s="95"/>
      <c r="H110" s="1125"/>
      <c r="I110" s="1125"/>
      <c r="J110" s="1134"/>
      <c r="K110" s="1134"/>
      <c r="L110" s="916"/>
    </row>
    <row r="111" spans="1:12" s="103" customFormat="1" ht="15.75" hidden="1" customHeight="1" outlineLevel="1">
      <c r="A111" s="916"/>
      <c r="B111" s="1124"/>
      <c r="C111" s="1128"/>
      <c r="D111" s="1126"/>
      <c r="E111" s="1126"/>
      <c r="F111" s="1132"/>
      <c r="G111" s="100"/>
      <c r="H111" s="1126"/>
      <c r="I111" s="1126"/>
      <c r="J111" s="1135"/>
      <c r="K111" s="1135"/>
      <c r="L111" s="916"/>
    </row>
    <row r="112" spans="1:12" s="103" customFormat="1" ht="15.75" hidden="1" customHeight="1" outlineLevel="1">
      <c r="A112" s="916"/>
      <c r="B112" s="1123">
        <v>34</v>
      </c>
      <c r="C112" s="1127"/>
      <c r="D112" s="1125"/>
      <c r="E112" s="1125" t="s">
        <v>18</v>
      </c>
      <c r="F112" s="1130" t="str">
        <f>VLOOKUP(E112,$N$13:$O$17,2,0)</f>
        <v>-</v>
      </c>
      <c r="G112" s="92"/>
      <c r="H112" s="1125"/>
      <c r="I112" s="1125"/>
      <c r="J112" s="1133"/>
      <c r="K112" s="1133"/>
      <c r="L112" s="916"/>
    </row>
    <row r="113" spans="1:12" s="103" customFormat="1" ht="15.75" hidden="1" customHeight="1" outlineLevel="1">
      <c r="A113" s="916"/>
      <c r="B113" s="1123"/>
      <c r="C113" s="1127"/>
      <c r="D113" s="1125"/>
      <c r="E113" s="1125"/>
      <c r="F113" s="1130"/>
      <c r="G113" s="95"/>
      <c r="H113" s="1125"/>
      <c r="I113" s="1125"/>
      <c r="J113" s="1134"/>
      <c r="K113" s="1134"/>
      <c r="L113" s="916"/>
    </row>
    <row r="114" spans="1:12" s="103" customFormat="1" ht="15.75" hidden="1" customHeight="1" outlineLevel="1">
      <c r="A114" s="916"/>
      <c r="B114" s="1124"/>
      <c r="C114" s="1128"/>
      <c r="D114" s="1126"/>
      <c r="E114" s="1126"/>
      <c r="F114" s="1132"/>
      <c r="G114" s="100"/>
      <c r="H114" s="1126"/>
      <c r="I114" s="1126"/>
      <c r="J114" s="1135"/>
      <c r="K114" s="1135"/>
      <c r="L114" s="916"/>
    </row>
    <row r="115" spans="1:12" s="103" customFormat="1" ht="15.75" hidden="1" customHeight="1" outlineLevel="1">
      <c r="A115" s="916"/>
      <c r="B115" s="1123">
        <v>35</v>
      </c>
      <c r="C115" s="1127"/>
      <c r="D115" s="1125"/>
      <c r="E115" s="1125" t="s">
        <v>18</v>
      </c>
      <c r="F115" s="1130" t="str">
        <f>VLOOKUP(E115,$N$13:$O$17,2,0)</f>
        <v>-</v>
      </c>
      <c r="G115" s="92"/>
      <c r="H115" s="1125"/>
      <c r="I115" s="1125"/>
      <c r="J115" s="1133"/>
      <c r="K115" s="1133"/>
      <c r="L115" s="916"/>
    </row>
    <row r="116" spans="1:12" s="103" customFormat="1" ht="15.75" hidden="1" customHeight="1" outlineLevel="1">
      <c r="A116" s="916"/>
      <c r="B116" s="1123"/>
      <c r="C116" s="1127"/>
      <c r="D116" s="1125"/>
      <c r="E116" s="1125"/>
      <c r="F116" s="1130"/>
      <c r="G116" s="95"/>
      <c r="H116" s="1125"/>
      <c r="I116" s="1125"/>
      <c r="J116" s="1134"/>
      <c r="K116" s="1134"/>
      <c r="L116" s="916"/>
    </row>
    <row r="117" spans="1:12" s="103" customFormat="1" ht="15.75" hidden="1" customHeight="1" outlineLevel="1">
      <c r="A117" s="916"/>
      <c r="B117" s="1124"/>
      <c r="C117" s="1128"/>
      <c r="D117" s="1126"/>
      <c r="E117" s="1126"/>
      <c r="F117" s="1132"/>
      <c r="G117" s="100"/>
      <c r="H117" s="1126"/>
      <c r="I117" s="1126"/>
      <c r="J117" s="1135"/>
      <c r="K117" s="1135"/>
      <c r="L117" s="916"/>
    </row>
    <row r="118" spans="1:12" s="103" customFormat="1" ht="15.75" hidden="1" customHeight="1" outlineLevel="1">
      <c r="A118" s="916"/>
      <c r="B118" s="1123">
        <v>36</v>
      </c>
      <c r="C118" s="1127"/>
      <c r="D118" s="1125"/>
      <c r="E118" s="1125" t="s">
        <v>18</v>
      </c>
      <c r="F118" s="1130" t="str">
        <f>VLOOKUP(E118,$N$13:$O$17,2,0)</f>
        <v>-</v>
      </c>
      <c r="G118" s="92"/>
      <c r="H118" s="1125"/>
      <c r="I118" s="1125"/>
      <c r="J118" s="1133"/>
      <c r="K118" s="1133"/>
      <c r="L118" s="916"/>
    </row>
    <row r="119" spans="1:12" s="103" customFormat="1" ht="15.75" hidden="1" customHeight="1" outlineLevel="1">
      <c r="A119" s="916"/>
      <c r="B119" s="1123"/>
      <c r="C119" s="1127"/>
      <c r="D119" s="1125"/>
      <c r="E119" s="1125"/>
      <c r="F119" s="1130"/>
      <c r="G119" s="95"/>
      <c r="H119" s="1125"/>
      <c r="I119" s="1125"/>
      <c r="J119" s="1134"/>
      <c r="K119" s="1134"/>
      <c r="L119" s="916"/>
    </row>
    <row r="120" spans="1:12" s="103" customFormat="1" ht="15.75" hidden="1" customHeight="1" outlineLevel="1">
      <c r="A120" s="916"/>
      <c r="B120" s="1124"/>
      <c r="C120" s="1128"/>
      <c r="D120" s="1126"/>
      <c r="E120" s="1126"/>
      <c r="F120" s="1132"/>
      <c r="G120" s="100"/>
      <c r="H120" s="1126"/>
      <c r="I120" s="1126"/>
      <c r="J120" s="1135"/>
      <c r="K120" s="1135"/>
      <c r="L120" s="916"/>
    </row>
    <row r="121" spans="1:12" s="103" customFormat="1" ht="15.75" hidden="1" customHeight="1" outlineLevel="1">
      <c r="A121" s="916"/>
      <c r="B121" s="1123">
        <v>37</v>
      </c>
      <c r="C121" s="1127"/>
      <c r="D121" s="1125"/>
      <c r="E121" s="1125" t="s">
        <v>18</v>
      </c>
      <c r="F121" s="1130" t="str">
        <f>VLOOKUP(E121,$N$13:$O$17,2,0)</f>
        <v>-</v>
      </c>
      <c r="G121" s="92"/>
      <c r="H121" s="1125"/>
      <c r="I121" s="1125"/>
      <c r="J121" s="1133"/>
      <c r="K121" s="1133"/>
      <c r="L121" s="916"/>
    </row>
    <row r="122" spans="1:12" s="103" customFormat="1" ht="15.75" hidden="1" customHeight="1" outlineLevel="1">
      <c r="A122" s="916"/>
      <c r="B122" s="1123"/>
      <c r="C122" s="1127"/>
      <c r="D122" s="1125"/>
      <c r="E122" s="1125"/>
      <c r="F122" s="1130"/>
      <c r="G122" s="95"/>
      <c r="H122" s="1125"/>
      <c r="I122" s="1125"/>
      <c r="J122" s="1134"/>
      <c r="K122" s="1134"/>
      <c r="L122" s="916"/>
    </row>
    <row r="123" spans="1:12" s="103" customFormat="1" ht="15.75" hidden="1" customHeight="1" outlineLevel="1">
      <c r="A123" s="916"/>
      <c r="B123" s="1124"/>
      <c r="C123" s="1128"/>
      <c r="D123" s="1126"/>
      <c r="E123" s="1126"/>
      <c r="F123" s="1132"/>
      <c r="G123" s="100"/>
      <c r="H123" s="1126"/>
      <c r="I123" s="1126"/>
      <c r="J123" s="1135"/>
      <c r="K123" s="1135"/>
      <c r="L123" s="916"/>
    </row>
    <row r="124" spans="1:12" s="103" customFormat="1" ht="15.75" hidden="1" customHeight="1" outlineLevel="1">
      <c r="A124" s="916"/>
      <c r="B124" s="1123">
        <v>38</v>
      </c>
      <c r="C124" s="1127"/>
      <c r="D124" s="1125"/>
      <c r="E124" s="1125" t="s">
        <v>18</v>
      </c>
      <c r="F124" s="1130" t="str">
        <f>VLOOKUP(E124,$N$13:$O$17,2,0)</f>
        <v>-</v>
      </c>
      <c r="G124" s="92"/>
      <c r="H124" s="1125"/>
      <c r="I124" s="1125"/>
      <c r="J124" s="1133"/>
      <c r="K124" s="1133"/>
      <c r="L124" s="916"/>
    </row>
    <row r="125" spans="1:12" s="103" customFormat="1" ht="15.75" hidden="1" customHeight="1" outlineLevel="1">
      <c r="A125" s="916"/>
      <c r="B125" s="1123"/>
      <c r="C125" s="1127"/>
      <c r="D125" s="1125"/>
      <c r="E125" s="1125"/>
      <c r="F125" s="1130"/>
      <c r="G125" s="95"/>
      <c r="H125" s="1125"/>
      <c r="I125" s="1125"/>
      <c r="J125" s="1134"/>
      <c r="K125" s="1134"/>
      <c r="L125" s="916"/>
    </row>
    <row r="126" spans="1:12" s="103" customFormat="1" ht="15.75" hidden="1" customHeight="1" outlineLevel="1">
      <c r="A126" s="916"/>
      <c r="B126" s="1124"/>
      <c r="C126" s="1128"/>
      <c r="D126" s="1126"/>
      <c r="E126" s="1126"/>
      <c r="F126" s="1132"/>
      <c r="G126" s="100"/>
      <c r="H126" s="1126"/>
      <c r="I126" s="1126"/>
      <c r="J126" s="1135"/>
      <c r="K126" s="1135"/>
      <c r="L126" s="916"/>
    </row>
    <row r="127" spans="1:12" s="103" customFormat="1" ht="15.75" hidden="1" customHeight="1" outlineLevel="1">
      <c r="A127" s="916"/>
      <c r="B127" s="1123">
        <v>39</v>
      </c>
      <c r="C127" s="1127"/>
      <c r="D127" s="1125"/>
      <c r="E127" s="1125" t="s">
        <v>18</v>
      </c>
      <c r="F127" s="1130" t="str">
        <f>VLOOKUP(E127,$N$13:$O$17,2,0)</f>
        <v>-</v>
      </c>
      <c r="G127" s="92"/>
      <c r="H127" s="1125"/>
      <c r="I127" s="1125"/>
      <c r="J127" s="1133"/>
      <c r="K127" s="1133"/>
      <c r="L127" s="916"/>
    </row>
    <row r="128" spans="1:12" s="103" customFormat="1" ht="15.75" hidden="1" customHeight="1" outlineLevel="1">
      <c r="A128" s="916"/>
      <c r="B128" s="1123"/>
      <c r="C128" s="1127"/>
      <c r="D128" s="1125"/>
      <c r="E128" s="1125"/>
      <c r="F128" s="1130"/>
      <c r="G128" s="95"/>
      <c r="H128" s="1125"/>
      <c r="I128" s="1125"/>
      <c r="J128" s="1134"/>
      <c r="K128" s="1134"/>
      <c r="L128" s="916"/>
    </row>
    <row r="129" spans="1:12" s="103" customFormat="1" ht="15.75" hidden="1" customHeight="1" outlineLevel="1">
      <c r="A129" s="916"/>
      <c r="B129" s="1124"/>
      <c r="C129" s="1128"/>
      <c r="D129" s="1126"/>
      <c r="E129" s="1126"/>
      <c r="F129" s="1132"/>
      <c r="G129" s="100"/>
      <c r="H129" s="1126"/>
      <c r="I129" s="1126"/>
      <c r="J129" s="1135"/>
      <c r="K129" s="1135"/>
      <c r="L129" s="916"/>
    </row>
    <row r="130" spans="1:12" s="103" customFormat="1" ht="15.75" hidden="1" customHeight="1" outlineLevel="1">
      <c r="A130" s="916"/>
      <c r="B130" s="1123">
        <v>40</v>
      </c>
      <c r="C130" s="1127"/>
      <c r="D130" s="1125"/>
      <c r="E130" s="1125" t="s">
        <v>18</v>
      </c>
      <c r="F130" s="1130" t="str">
        <f>VLOOKUP(E130,$N$13:$O$17,2,0)</f>
        <v>-</v>
      </c>
      <c r="G130" s="92"/>
      <c r="H130" s="1125"/>
      <c r="I130" s="1125"/>
      <c r="J130" s="1133"/>
      <c r="K130" s="1133"/>
      <c r="L130" s="916"/>
    </row>
    <row r="131" spans="1:12" s="103" customFormat="1" ht="15.75" hidden="1" customHeight="1" outlineLevel="1">
      <c r="A131" s="916"/>
      <c r="B131" s="1123"/>
      <c r="C131" s="1127"/>
      <c r="D131" s="1125"/>
      <c r="E131" s="1125"/>
      <c r="F131" s="1130"/>
      <c r="G131" s="95"/>
      <c r="H131" s="1125"/>
      <c r="I131" s="1125"/>
      <c r="J131" s="1134"/>
      <c r="K131" s="1134"/>
      <c r="L131" s="916"/>
    </row>
    <row r="132" spans="1:12" s="103" customFormat="1" ht="15.75" hidden="1" customHeight="1" outlineLevel="1">
      <c r="A132" s="916"/>
      <c r="B132" s="1124"/>
      <c r="C132" s="1128"/>
      <c r="D132" s="1126"/>
      <c r="E132" s="1126"/>
      <c r="F132" s="1132"/>
      <c r="G132" s="100"/>
      <c r="H132" s="1126"/>
      <c r="I132" s="1126"/>
      <c r="J132" s="1135"/>
      <c r="K132" s="1135"/>
      <c r="L132" s="916"/>
    </row>
    <row r="133" spans="1:12" s="103" customFormat="1" ht="15.75" hidden="1" customHeight="1" outlineLevel="1">
      <c r="A133" s="916"/>
      <c r="B133" s="1123">
        <v>41</v>
      </c>
      <c r="C133" s="1127"/>
      <c r="D133" s="1125"/>
      <c r="E133" s="1125" t="s">
        <v>18</v>
      </c>
      <c r="F133" s="1130" t="str">
        <f>VLOOKUP(E133,$N$13:$O$17,2,0)</f>
        <v>-</v>
      </c>
      <c r="G133" s="92"/>
      <c r="H133" s="1125"/>
      <c r="I133" s="1125"/>
      <c r="J133" s="1133"/>
      <c r="K133" s="1133"/>
      <c r="L133" s="916"/>
    </row>
    <row r="134" spans="1:12" s="103" customFormat="1" ht="15.75" hidden="1" customHeight="1" outlineLevel="1">
      <c r="A134" s="916"/>
      <c r="B134" s="1123"/>
      <c r="C134" s="1127"/>
      <c r="D134" s="1125"/>
      <c r="E134" s="1125"/>
      <c r="F134" s="1130"/>
      <c r="G134" s="95"/>
      <c r="H134" s="1125"/>
      <c r="I134" s="1125"/>
      <c r="J134" s="1134"/>
      <c r="K134" s="1134"/>
      <c r="L134" s="916"/>
    </row>
    <row r="135" spans="1:12" s="103" customFormat="1" ht="15.75" hidden="1" customHeight="1" outlineLevel="1">
      <c r="A135" s="916"/>
      <c r="B135" s="1124"/>
      <c r="C135" s="1128"/>
      <c r="D135" s="1126"/>
      <c r="E135" s="1126"/>
      <c r="F135" s="1132"/>
      <c r="G135" s="100"/>
      <c r="H135" s="1126"/>
      <c r="I135" s="1126"/>
      <c r="J135" s="1135"/>
      <c r="K135" s="1135"/>
      <c r="L135" s="916"/>
    </row>
    <row r="136" spans="1:12" s="103" customFormat="1" ht="15.75" hidden="1" customHeight="1" outlineLevel="1">
      <c r="A136" s="916"/>
      <c r="B136" s="1123">
        <v>42</v>
      </c>
      <c r="C136" s="1127"/>
      <c r="D136" s="1125"/>
      <c r="E136" s="1125" t="s">
        <v>18</v>
      </c>
      <c r="F136" s="1130" t="str">
        <f>VLOOKUP(E136,$N$13:$O$17,2,0)</f>
        <v>-</v>
      </c>
      <c r="G136" s="92"/>
      <c r="H136" s="1125"/>
      <c r="I136" s="1125"/>
      <c r="J136" s="1133"/>
      <c r="K136" s="1133"/>
      <c r="L136" s="916"/>
    </row>
    <row r="137" spans="1:12" s="103" customFormat="1" ht="15.75" hidden="1" customHeight="1" outlineLevel="1">
      <c r="A137" s="916"/>
      <c r="B137" s="1123"/>
      <c r="C137" s="1127"/>
      <c r="D137" s="1125"/>
      <c r="E137" s="1125"/>
      <c r="F137" s="1130"/>
      <c r="G137" s="95"/>
      <c r="H137" s="1125"/>
      <c r="I137" s="1125"/>
      <c r="J137" s="1134"/>
      <c r="K137" s="1134"/>
      <c r="L137" s="916"/>
    </row>
    <row r="138" spans="1:12" s="103" customFormat="1" ht="15.75" hidden="1" customHeight="1" outlineLevel="1">
      <c r="A138" s="916"/>
      <c r="B138" s="1124"/>
      <c r="C138" s="1128"/>
      <c r="D138" s="1126"/>
      <c r="E138" s="1126"/>
      <c r="F138" s="1132"/>
      <c r="G138" s="100"/>
      <c r="H138" s="1126"/>
      <c r="I138" s="1126"/>
      <c r="J138" s="1135"/>
      <c r="K138" s="1135"/>
      <c r="L138" s="916"/>
    </row>
    <row r="139" spans="1:12" s="103" customFormat="1" ht="15.75" hidden="1" customHeight="1" outlineLevel="1">
      <c r="A139" s="916"/>
      <c r="B139" s="1123">
        <v>43</v>
      </c>
      <c r="C139" s="1127"/>
      <c r="D139" s="1125"/>
      <c r="E139" s="1125" t="s">
        <v>18</v>
      </c>
      <c r="F139" s="1130" t="str">
        <f>VLOOKUP(E139,$N$13:$O$17,2,0)</f>
        <v>-</v>
      </c>
      <c r="G139" s="92"/>
      <c r="H139" s="1125"/>
      <c r="I139" s="1125"/>
      <c r="J139" s="1133"/>
      <c r="K139" s="1133"/>
      <c r="L139" s="916"/>
    </row>
    <row r="140" spans="1:12" s="103" customFormat="1" ht="15.75" hidden="1" customHeight="1" outlineLevel="1">
      <c r="A140" s="916"/>
      <c r="B140" s="1123"/>
      <c r="C140" s="1127"/>
      <c r="D140" s="1125"/>
      <c r="E140" s="1125"/>
      <c r="F140" s="1130"/>
      <c r="G140" s="95"/>
      <c r="H140" s="1125"/>
      <c r="I140" s="1125"/>
      <c r="J140" s="1134"/>
      <c r="K140" s="1134"/>
      <c r="L140" s="916"/>
    </row>
    <row r="141" spans="1:12" s="103" customFormat="1" ht="15.75" hidden="1" customHeight="1" outlineLevel="1">
      <c r="A141" s="916"/>
      <c r="B141" s="1124"/>
      <c r="C141" s="1128"/>
      <c r="D141" s="1126"/>
      <c r="E141" s="1126"/>
      <c r="F141" s="1132"/>
      <c r="G141" s="100"/>
      <c r="H141" s="1126"/>
      <c r="I141" s="1126"/>
      <c r="J141" s="1135"/>
      <c r="K141" s="1135"/>
      <c r="L141" s="916"/>
    </row>
    <row r="142" spans="1:12" s="103" customFormat="1" ht="15.75" hidden="1" customHeight="1" outlineLevel="1">
      <c r="A142" s="916"/>
      <c r="B142" s="1123">
        <v>44</v>
      </c>
      <c r="C142" s="1127"/>
      <c r="D142" s="1125"/>
      <c r="E142" s="1125" t="s">
        <v>18</v>
      </c>
      <c r="F142" s="1130" t="str">
        <f>VLOOKUP(E142,$N$13:$O$17,2,0)</f>
        <v>-</v>
      </c>
      <c r="G142" s="92"/>
      <c r="H142" s="90"/>
      <c r="I142" s="1125"/>
      <c r="J142" s="1133"/>
      <c r="K142" s="1133"/>
      <c r="L142" s="916"/>
    </row>
    <row r="143" spans="1:12" s="103" customFormat="1" ht="15.75" hidden="1" customHeight="1" outlineLevel="1">
      <c r="A143" s="916"/>
      <c r="B143" s="1123"/>
      <c r="C143" s="1127"/>
      <c r="D143" s="1125"/>
      <c r="E143" s="1125"/>
      <c r="F143" s="1130"/>
      <c r="G143" s="95"/>
      <c r="H143" s="90"/>
      <c r="I143" s="1125"/>
      <c r="J143" s="1134"/>
      <c r="K143" s="1134"/>
      <c r="L143" s="916"/>
    </row>
    <row r="144" spans="1:12" s="103" customFormat="1" ht="15.75" hidden="1" customHeight="1" outlineLevel="1">
      <c r="A144" s="916"/>
      <c r="B144" s="1124"/>
      <c r="C144" s="1128"/>
      <c r="D144" s="1126"/>
      <c r="E144" s="1126"/>
      <c r="F144" s="1132"/>
      <c r="G144" s="100"/>
      <c r="H144" s="98"/>
      <c r="I144" s="1126"/>
      <c r="J144" s="1135"/>
      <c r="K144" s="1135"/>
      <c r="L144" s="916"/>
    </row>
    <row r="145" spans="1:12" s="103" customFormat="1" ht="15.75" hidden="1" customHeight="1" outlineLevel="1">
      <c r="A145" s="916"/>
      <c r="B145" s="1123">
        <v>45</v>
      </c>
      <c r="C145" s="1127"/>
      <c r="D145" s="1125"/>
      <c r="E145" s="1125" t="s">
        <v>18</v>
      </c>
      <c r="F145" s="1130" t="str">
        <f>VLOOKUP(E145,$N$13:$O$17,2,0)</f>
        <v>-</v>
      </c>
      <c r="G145" s="92"/>
      <c r="H145" s="90"/>
      <c r="I145" s="1125"/>
      <c r="J145" s="1133"/>
      <c r="K145" s="1133"/>
      <c r="L145" s="916"/>
    </row>
    <row r="146" spans="1:12" s="103" customFormat="1" ht="15.75" hidden="1" customHeight="1" outlineLevel="1">
      <c r="A146" s="916"/>
      <c r="B146" s="1123"/>
      <c r="C146" s="1127"/>
      <c r="D146" s="1125"/>
      <c r="E146" s="1125"/>
      <c r="F146" s="1130"/>
      <c r="G146" s="95"/>
      <c r="H146" s="90"/>
      <c r="I146" s="1125"/>
      <c r="J146" s="1134"/>
      <c r="K146" s="1134"/>
      <c r="L146" s="916"/>
    </row>
    <row r="147" spans="1:12" s="103" customFormat="1" ht="15.75" hidden="1" customHeight="1" outlineLevel="1">
      <c r="A147" s="916"/>
      <c r="B147" s="1124"/>
      <c r="C147" s="1128"/>
      <c r="D147" s="1126"/>
      <c r="E147" s="1126"/>
      <c r="F147" s="1132"/>
      <c r="G147" s="100"/>
      <c r="H147" s="98"/>
      <c r="I147" s="1126"/>
      <c r="J147" s="1135"/>
      <c r="K147" s="1135"/>
      <c r="L147" s="916"/>
    </row>
    <row r="148" spans="1:12" s="103" customFormat="1" ht="15.75" hidden="1" customHeight="1" outlineLevel="1">
      <c r="A148" s="916"/>
      <c r="B148" s="1123">
        <v>46</v>
      </c>
      <c r="C148" s="1127"/>
      <c r="D148" s="1125"/>
      <c r="E148" s="1125" t="s">
        <v>18</v>
      </c>
      <c r="F148" s="1130" t="str">
        <f>VLOOKUP(E148,$N$13:$O$17,2,0)</f>
        <v>-</v>
      </c>
      <c r="G148" s="92"/>
      <c r="H148" s="90"/>
      <c r="I148" s="1125"/>
      <c r="J148" s="1133"/>
      <c r="K148" s="1133"/>
      <c r="L148" s="916"/>
    </row>
    <row r="149" spans="1:12" s="103" customFormat="1" ht="15.75" hidden="1" customHeight="1" outlineLevel="1">
      <c r="A149" s="916"/>
      <c r="B149" s="1123"/>
      <c r="C149" s="1127"/>
      <c r="D149" s="1125"/>
      <c r="E149" s="1125"/>
      <c r="F149" s="1130"/>
      <c r="G149" s="95"/>
      <c r="H149" s="90"/>
      <c r="I149" s="1125"/>
      <c r="J149" s="1134"/>
      <c r="K149" s="1134"/>
      <c r="L149" s="916"/>
    </row>
    <row r="150" spans="1:12" s="103" customFormat="1" ht="15.75" hidden="1" customHeight="1" outlineLevel="1">
      <c r="A150" s="916"/>
      <c r="B150" s="1124"/>
      <c r="C150" s="1128"/>
      <c r="D150" s="1126"/>
      <c r="E150" s="1126"/>
      <c r="F150" s="1132"/>
      <c r="G150" s="100"/>
      <c r="H150" s="98"/>
      <c r="I150" s="1126"/>
      <c r="J150" s="1135"/>
      <c r="K150" s="1135"/>
      <c r="L150" s="916"/>
    </row>
    <row r="151" spans="1:12" s="103" customFormat="1" ht="15.75" hidden="1" customHeight="1" outlineLevel="1">
      <c r="A151" s="916"/>
      <c r="B151" s="1123">
        <v>47</v>
      </c>
      <c r="C151" s="1127"/>
      <c r="D151" s="1125"/>
      <c r="E151" s="1125" t="s">
        <v>18</v>
      </c>
      <c r="F151" s="1130" t="str">
        <f>VLOOKUP(E151,$N$13:$O$17,2,0)</f>
        <v>-</v>
      </c>
      <c r="G151" s="92"/>
      <c r="H151" s="90"/>
      <c r="I151" s="1125"/>
      <c r="J151" s="1133"/>
      <c r="K151" s="1133"/>
      <c r="L151" s="916"/>
    </row>
    <row r="152" spans="1:12" s="103" customFormat="1" ht="15.75" hidden="1" customHeight="1" outlineLevel="1">
      <c r="A152" s="916"/>
      <c r="B152" s="1123"/>
      <c r="C152" s="1127"/>
      <c r="D152" s="1125"/>
      <c r="E152" s="1125"/>
      <c r="F152" s="1130"/>
      <c r="G152" s="95"/>
      <c r="H152" s="90"/>
      <c r="I152" s="1125"/>
      <c r="J152" s="1134"/>
      <c r="K152" s="1134"/>
      <c r="L152" s="916"/>
    </row>
    <row r="153" spans="1:12" s="103" customFormat="1" ht="15.75" hidden="1" customHeight="1" outlineLevel="1">
      <c r="A153" s="916"/>
      <c r="B153" s="1124"/>
      <c r="C153" s="1128"/>
      <c r="D153" s="1126"/>
      <c r="E153" s="1126"/>
      <c r="F153" s="1132"/>
      <c r="G153" s="100"/>
      <c r="H153" s="98"/>
      <c r="I153" s="1126"/>
      <c r="J153" s="1135"/>
      <c r="K153" s="1135"/>
      <c r="L153" s="916"/>
    </row>
    <row r="154" spans="1:12" s="103" customFormat="1" ht="15.75" hidden="1" customHeight="1" outlineLevel="1">
      <c r="A154" s="916"/>
      <c r="B154" s="1123">
        <v>48</v>
      </c>
      <c r="C154" s="1127"/>
      <c r="D154" s="1125"/>
      <c r="E154" s="1125" t="s">
        <v>18</v>
      </c>
      <c r="F154" s="1130" t="str">
        <f>VLOOKUP(E154,$N$13:$O$17,2,0)</f>
        <v>-</v>
      </c>
      <c r="G154" s="92"/>
      <c r="H154" s="90"/>
      <c r="I154" s="1125"/>
      <c r="J154" s="1133"/>
      <c r="K154" s="1133"/>
      <c r="L154" s="916"/>
    </row>
    <row r="155" spans="1:12" s="103" customFormat="1" ht="15.75" hidden="1" customHeight="1" outlineLevel="1">
      <c r="A155" s="916"/>
      <c r="B155" s="1123"/>
      <c r="C155" s="1127"/>
      <c r="D155" s="1125"/>
      <c r="E155" s="1125"/>
      <c r="F155" s="1130"/>
      <c r="G155" s="95"/>
      <c r="H155" s="90"/>
      <c r="I155" s="1125"/>
      <c r="J155" s="1134"/>
      <c r="K155" s="1134"/>
      <c r="L155" s="916"/>
    </row>
    <row r="156" spans="1:12" s="103" customFormat="1" ht="15.75" hidden="1" customHeight="1" outlineLevel="1">
      <c r="A156" s="916"/>
      <c r="B156" s="1124"/>
      <c r="C156" s="1128"/>
      <c r="D156" s="1126"/>
      <c r="E156" s="1126"/>
      <c r="F156" s="1132"/>
      <c r="G156" s="100"/>
      <c r="H156" s="98"/>
      <c r="I156" s="1126"/>
      <c r="J156" s="1135"/>
      <c r="K156" s="1135"/>
      <c r="L156" s="916"/>
    </row>
    <row r="157" spans="1:12" s="103" customFormat="1" ht="15.75" hidden="1" customHeight="1" outlineLevel="1">
      <c r="A157" s="916"/>
      <c r="B157" s="1123">
        <v>49</v>
      </c>
      <c r="C157" s="1127"/>
      <c r="D157" s="1125"/>
      <c r="E157" s="1125" t="s">
        <v>18</v>
      </c>
      <c r="F157" s="1130" t="str">
        <f>VLOOKUP(E157,$N$13:$O$17,2,0)</f>
        <v>-</v>
      </c>
      <c r="G157" s="92"/>
      <c r="H157" s="90"/>
      <c r="I157" s="1125"/>
      <c r="J157" s="1133"/>
      <c r="K157" s="1133"/>
      <c r="L157" s="916"/>
    </row>
    <row r="158" spans="1:12" s="103" customFormat="1" ht="15.75" hidden="1" customHeight="1" outlineLevel="1">
      <c r="A158" s="916"/>
      <c r="B158" s="1123"/>
      <c r="C158" s="1127"/>
      <c r="D158" s="1125"/>
      <c r="E158" s="1125"/>
      <c r="F158" s="1130"/>
      <c r="G158" s="95"/>
      <c r="H158" s="90"/>
      <c r="I158" s="1125"/>
      <c r="J158" s="1134"/>
      <c r="K158" s="1134"/>
      <c r="L158" s="916"/>
    </row>
    <row r="159" spans="1:12" s="103" customFormat="1" ht="15.75" hidden="1" customHeight="1" outlineLevel="1">
      <c r="A159" s="916"/>
      <c r="B159" s="1124"/>
      <c r="C159" s="1128"/>
      <c r="D159" s="1126"/>
      <c r="E159" s="1126"/>
      <c r="F159" s="1132"/>
      <c r="G159" s="100"/>
      <c r="H159" s="98"/>
      <c r="I159" s="1126"/>
      <c r="J159" s="1135"/>
      <c r="K159" s="1135"/>
      <c r="L159" s="916"/>
    </row>
    <row r="160" spans="1:12" s="103" customFormat="1" ht="15.75" hidden="1" customHeight="1" outlineLevel="1">
      <c r="A160" s="916"/>
      <c r="B160" s="1123">
        <v>50</v>
      </c>
      <c r="C160" s="1127"/>
      <c r="D160" s="1125"/>
      <c r="E160" s="1125" t="s">
        <v>18</v>
      </c>
      <c r="F160" s="1130" t="str">
        <f>VLOOKUP(E160,$N$13:$O$17,2,0)</f>
        <v>-</v>
      </c>
      <c r="G160" s="92"/>
      <c r="H160" s="90"/>
      <c r="I160" s="1125"/>
      <c r="J160" s="1133"/>
      <c r="K160" s="1133"/>
      <c r="L160" s="916"/>
    </row>
    <row r="161" spans="1:12" s="103" customFormat="1" ht="15.75" hidden="1" customHeight="1" outlineLevel="1">
      <c r="A161" s="916"/>
      <c r="B161" s="1123"/>
      <c r="C161" s="1127"/>
      <c r="D161" s="1125"/>
      <c r="E161" s="1125"/>
      <c r="F161" s="1130"/>
      <c r="G161" s="95"/>
      <c r="H161" s="90"/>
      <c r="I161" s="1125"/>
      <c r="J161" s="1134"/>
      <c r="K161" s="1134"/>
      <c r="L161" s="916"/>
    </row>
    <row r="162" spans="1:12" s="103" customFormat="1" ht="15.75" hidden="1" customHeight="1" outlineLevel="1">
      <c r="A162" s="916"/>
      <c r="B162" s="1124"/>
      <c r="C162" s="1128"/>
      <c r="D162" s="1126"/>
      <c r="E162" s="1126"/>
      <c r="F162" s="1132"/>
      <c r="G162" s="100"/>
      <c r="H162" s="98"/>
      <c r="I162" s="1126"/>
      <c r="J162" s="1135"/>
      <c r="K162" s="1135"/>
      <c r="L162" s="916"/>
    </row>
    <row r="163" spans="1:12" s="103" customFormat="1" ht="15.75" hidden="1" customHeight="1" outlineLevel="1">
      <c r="A163" s="916"/>
      <c r="B163" s="1123">
        <v>51</v>
      </c>
      <c r="C163" s="1127"/>
      <c r="D163" s="1125"/>
      <c r="E163" s="1125" t="s">
        <v>18</v>
      </c>
      <c r="F163" s="1130" t="str">
        <f>VLOOKUP(E163,$N$13:$O$17,2,0)</f>
        <v>-</v>
      </c>
      <c r="G163" s="92"/>
      <c r="H163" s="90"/>
      <c r="I163" s="1125"/>
      <c r="J163" s="1133"/>
      <c r="K163" s="1133"/>
      <c r="L163" s="916"/>
    </row>
    <row r="164" spans="1:12" s="103" customFormat="1" ht="15.75" hidden="1" customHeight="1" outlineLevel="1">
      <c r="A164" s="916"/>
      <c r="B164" s="1123"/>
      <c r="C164" s="1127"/>
      <c r="D164" s="1125"/>
      <c r="E164" s="1125"/>
      <c r="F164" s="1130"/>
      <c r="G164" s="95"/>
      <c r="H164" s="90"/>
      <c r="I164" s="1125"/>
      <c r="J164" s="1134"/>
      <c r="K164" s="1134"/>
      <c r="L164" s="916"/>
    </row>
    <row r="165" spans="1:12" s="103" customFormat="1" ht="15.75" hidden="1" customHeight="1" outlineLevel="1">
      <c r="A165" s="916"/>
      <c r="B165" s="1124"/>
      <c r="C165" s="1128"/>
      <c r="D165" s="1126"/>
      <c r="E165" s="1126"/>
      <c r="F165" s="1132"/>
      <c r="G165" s="100"/>
      <c r="H165" s="98"/>
      <c r="I165" s="1126"/>
      <c r="J165" s="1135"/>
      <c r="K165" s="1135"/>
      <c r="L165" s="916"/>
    </row>
    <row r="166" spans="1:12" s="103" customFormat="1" ht="15.75" hidden="1" customHeight="1" outlineLevel="1">
      <c r="A166" s="916"/>
      <c r="B166" s="1123">
        <v>52</v>
      </c>
      <c r="C166" s="1127"/>
      <c r="D166" s="1125"/>
      <c r="E166" s="1125" t="s">
        <v>18</v>
      </c>
      <c r="F166" s="1130" t="str">
        <f>VLOOKUP(E166,$N$13:$O$17,2,0)</f>
        <v>-</v>
      </c>
      <c r="G166" s="92"/>
      <c r="H166" s="90"/>
      <c r="I166" s="1125"/>
      <c r="J166" s="1133"/>
      <c r="K166" s="1133"/>
      <c r="L166" s="916"/>
    </row>
    <row r="167" spans="1:12" s="103" customFormat="1" ht="15.75" hidden="1" customHeight="1" outlineLevel="1">
      <c r="A167" s="916"/>
      <c r="B167" s="1123"/>
      <c r="C167" s="1127"/>
      <c r="D167" s="1125"/>
      <c r="E167" s="1125"/>
      <c r="F167" s="1130"/>
      <c r="G167" s="95"/>
      <c r="H167" s="90"/>
      <c r="I167" s="1125"/>
      <c r="J167" s="1134"/>
      <c r="K167" s="1134"/>
      <c r="L167" s="916"/>
    </row>
    <row r="168" spans="1:12" s="103" customFormat="1" ht="15.75" hidden="1" customHeight="1" outlineLevel="1">
      <c r="A168" s="916"/>
      <c r="B168" s="1124"/>
      <c r="C168" s="1128"/>
      <c r="D168" s="1126"/>
      <c r="E168" s="1126"/>
      <c r="F168" s="1132"/>
      <c r="G168" s="100"/>
      <c r="H168" s="98"/>
      <c r="I168" s="1126"/>
      <c r="J168" s="1135"/>
      <c r="K168" s="1135"/>
      <c r="L168" s="916"/>
    </row>
    <row r="169" spans="1:12" s="103" customFormat="1" ht="15.75" hidden="1" customHeight="1" outlineLevel="1">
      <c r="A169" s="916"/>
      <c r="B169" s="1123">
        <v>53</v>
      </c>
      <c r="C169" s="1127"/>
      <c r="D169" s="1125"/>
      <c r="E169" s="1125" t="s">
        <v>18</v>
      </c>
      <c r="F169" s="1130" t="str">
        <f>VLOOKUP(E169,$N$13:$O$17,2,0)</f>
        <v>-</v>
      </c>
      <c r="G169" s="92"/>
      <c r="H169" s="90"/>
      <c r="I169" s="1125"/>
      <c r="J169" s="1133"/>
      <c r="K169" s="1133"/>
      <c r="L169" s="916"/>
    </row>
    <row r="170" spans="1:12" s="103" customFormat="1" ht="15.75" hidden="1" customHeight="1" outlineLevel="1">
      <c r="A170" s="916"/>
      <c r="B170" s="1123"/>
      <c r="C170" s="1127"/>
      <c r="D170" s="1125"/>
      <c r="E170" s="1125"/>
      <c r="F170" s="1130"/>
      <c r="G170" s="95"/>
      <c r="H170" s="90"/>
      <c r="I170" s="1125"/>
      <c r="J170" s="1134"/>
      <c r="K170" s="1134"/>
      <c r="L170" s="916"/>
    </row>
    <row r="171" spans="1:12" s="103" customFormat="1" ht="15.75" hidden="1" customHeight="1" outlineLevel="1">
      <c r="A171" s="916"/>
      <c r="B171" s="1124"/>
      <c r="C171" s="1128"/>
      <c r="D171" s="1126"/>
      <c r="E171" s="1126"/>
      <c r="F171" s="1132"/>
      <c r="G171" s="100"/>
      <c r="H171" s="98"/>
      <c r="I171" s="1126"/>
      <c r="J171" s="1135"/>
      <c r="K171" s="1135"/>
      <c r="L171" s="916"/>
    </row>
    <row r="172" spans="1:12" s="103" customFormat="1" ht="15.75" hidden="1" customHeight="1" outlineLevel="1">
      <c r="A172" s="916"/>
      <c r="B172" s="1123">
        <v>54</v>
      </c>
      <c r="C172" s="1127"/>
      <c r="D172" s="1125"/>
      <c r="E172" s="1125" t="s">
        <v>18</v>
      </c>
      <c r="F172" s="1130" t="str">
        <f>VLOOKUP(E172,$N$13:$O$17,2,0)</f>
        <v>-</v>
      </c>
      <c r="G172" s="92"/>
      <c r="H172" s="90"/>
      <c r="I172" s="1125"/>
      <c r="J172" s="1133"/>
      <c r="K172" s="1133"/>
      <c r="L172" s="916"/>
    </row>
    <row r="173" spans="1:12" s="103" customFormat="1" ht="15.75" hidden="1" customHeight="1" outlineLevel="1">
      <c r="A173" s="916"/>
      <c r="B173" s="1123"/>
      <c r="C173" s="1127"/>
      <c r="D173" s="1125"/>
      <c r="E173" s="1125"/>
      <c r="F173" s="1130"/>
      <c r="G173" s="95"/>
      <c r="H173" s="90"/>
      <c r="I173" s="1125"/>
      <c r="J173" s="1134"/>
      <c r="K173" s="1134"/>
      <c r="L173" s="916"/>
    </row>
    <row r="174" spans="1:12" s="103" customFormat="1" ht="15.75" hidden="1" customHeight="1" outlineLevel="1">
      <c r="A174" s="916"/>
      <c r="B174" s="1124"/>
      <c r="C174" s="1128"/>
      <c r="D174" s="1126"/>
      <c r="E174" s="1126"/>
      <c r="F174" s="1132"/>
      <c r="G174" s="100"/>
      <c r="H174" s="98"/>
      <c r="I174" s="1126"/>
      <c r="J174" s="1135"/>
      <c r="K174" s="1135"/>
      <c r="L174" s="916"/>
    </row>
    <row r="175" spans="1:12" s="103" customFormat="1" ht="15.75" hidden="1" customHeight="1" outlineLevel="1">
      <c r="A175" s="916"/>
      <c r="B175" s="1123">
        <v>55</v>
      </c>
      <c r="C175" s="1127"/>
      <c r="D175" s="1125"/>
      <c r="E175" s="1125" t="s">
        <v>18</v>
      </c>
      <c r="F175" s="1130" t="str">
        <f>VLOOKUP(E175,$N$13:$O$17,2,0)</f>
        <v>-</v>
      </c>
      <c r="G175" s="92"/>
      <c r="H175" s="90"/>
      <c r="I175" s="1125"/>
      <c r="J175" s="1133"/>
      <c r="K175" s="1133"/>
      <c r="L175" s="916"/>
    </row>
    <row r="176" spans="1:12" s="103" customFormat="1" ht="15.75" hidden="1" customHeight="1" outlineLevel="1">
      <c r="A176" s="916"/>
      <c r="B176" s="1123"/>
      <c r="C176" s="1127"/>
      <c r="D176" s="1125"/>
      <c r="E176" s="1125"/>
      <c r="F176" s="1130"/>
      <c r="G176" s="95"/>
      <c r="H176" s="90"/>
      <c r="I176" s="1125"/>
      <c r="J176" s="1134"/>
      <c r="K176" s="1134"/>
      <c r="L176" s="916"/>
    </row>
    <row r="177" spans="1:12" s="103" customFormat="1" ht="15.75" hidden="1" customHeight="1" outlineLevel="1">
      <c r="A177" s="916"/>
      <c r="B177" s="1124"/>
      <c r="C177" s="1128"/>
      <c r="D177" s="1126"/>
      <c r="E177" s="1126"/>
      <c r="F177" s="1132"/>
      <c r="G177" s="100"/>
      <c r="H177" s="98"/>
      <c r="I177" s="1126"/>
      <c r="J177" s="1135"/>
      <c r="K177" s="1135"/>
      <c r="L177" s="916"/>
    </row>
    <row r="178" spans="1:12" s="103" customFormat="1" ht="15.75" hidden="1" customHeight="1" outlineLevel="1">
      <c r="A178" s="916"/>
      <c r="B178" s="1123">
        <v>56</v>
      </c>
      <c r="C178" s="1127"/>
      <c r="D178" s="1125"/>
      <c r="E178" s="1125" t="s">
        <v>18</v>
      </c>
      <c r="F178" s="1130" t="str">
        <f>VLOOKUP(E178,$N$13:$O$17,2,0)</f>
        <v>-</v>
      </c>
      <c r="G178" s="92"/>
      <c r="H178" s="90"/>
      <c r="I178" s="1125"/>
      <c r="J178" s="1133"/>
      <c r="K178" s="1133"/>
      <c r="L178" s="916"/>
    </row>
    <row r="179" spans="1:12" s="103" customFormat="1" ht="15.75" hidden="1" customHeight="1" outlineLevel="1">
      <c r="A179" s="916"/>
      <c r="B179" s="1123"/>
      <c r="C179" s="1127"/>
      <c r="D179" s="1125"/>
      <c r="E179" s="1125"/>
      <c r="F179" s="1130"/>
      <c r="G179" s="95"/>
      <c r="H179" s="90"/>
      <c r="I179" s="1125"/>
      <c r="J179" s="1134"/>
      <c r="K179" s="1134"/>
      <c r="L179" s="916"/>
    </row>
    <row r="180" spans="1:12" s="103" customFormat="1" ht="15.75" hidden="1" customHeight="1" outlineLevel="1">
      <c r="A180" s="916"/>
      <c r="B180" s="1124"/>
      <c r="C180" s="1128"/>
      <c r="D180" s="1126"/>
      <c r="E180" s="1126"/>
      <c r="F180" s="1132"/>
      <c r="G180" s="100"/>
      <c r="H180" s="98"/>
      <c r="I180" s="1126"/>
      <c r="J180" s="1135"/>
      <c r="K180" s="1135"/>
      <c r="L180" s="916"/>
    </row>
    <row r="181" spans="1:12" s="103" customFormat="1" ht="15.75" hidden="1" customHeight="1" outlineLevel="1">
      <c r="A181" s="916"/>
      <c r="B181" s="1123">
        <v>57</v>
      </c>
      <c r="C181" s="1127"/>
      <c r="D181" s="1125"/>
      <c r="E181" s="1125" t="s">
        <v>18</v>
      </c>
      <c r="F181" s="1130" t="str">
        <f>VLOOKUP(E181,$N$13:$O$17,2,0)</f>
        <v>-</v>
      </c>
      <c r="G181" s="92"/>
      <c r="H181" s="90"/>
      <c r="I181" s="1125"/>
      <c r="J181" s="1133"/>
      <c r="K181" s="1133"/>
      <c r="L181" s="916"/>
    </row>
    <row r="182" spans="1:12" s="103" customFormat="1" ht="15.75" hidden="1" customHeight="1" outlineLevel="1">
      <c r="A182" s="916"/>
      <c r="B182" s="1123"/>
      <c r="C182" s="1127"/>
      <c r="D182" s="1125"/>
      <c r="E182" s="1125"/>
      <c r="F182" s="1130"/>
      <c r="G182" s="95"/>
      <c r="H182" s="90"/>
      <c r="I182" s="1125"/>
      <c r="J182" s="1134"/>
      <c r="K182" s="1134"/>
      <c r="L182" s="916"/>
    </row>
    <row r="183" spans="1:12" s="103" customFormat="1" ht="15.75" hidden="1" customHeight="1" outlineLevel="1">
      <c r="A183" s="916"/>
      <c r="B183" s="1124"/>
      <c r="C183" s="1128"/>
      <c r="D183" s="1126"/>
      <c r="E183" s="1126"/>
      <c r="F183" s="1132"/>
      <c r="G183" s="100"/>
      <c r="H183" s="98"/>
      <c r="I183" s="1126"/>
      <c r="J183" s="1135"/>
      <c r="K183" s="1135"/>
      <c r="L183" s="916"/>
    </row>
    <row r="184" spans="1:12" s="103" customFormat="1" ht="15.75" hidden="1" customHeight="1" outlineLevel="1">
      <c r="A184" s="916"/>
      <c r="B184" s="1123">
        <v>58</v>
      </c>
      <c r="C184" s="1127"/>
      <c r="D184" s="1125"/>
      <c r="E184" s="1125" t="s">
        <v>18</v>
      </c>
      <c r="F184" s="1130" t="str">
        <f>VLOOKUP(E184,$N$13:$O$17,2,0)</f>
        <v>-</v>
      </c>
      <c r="G184" s="92"/>
      <c r="H184" s="90"/>
      <c r="I184" s="1125"/>
      <c r="J184" s="1133"/>
      <c r="K184" s="1133"/>
      <c r="L184" s="916"/>
    </row>
    <row r="185" spans="1:12" s="103" customFormat="1" ht="15.75" hidden="1" customHeight="1" outlineLevel="1">
      <c r="A185" s="916"/>
      <c r="B185" s="1123"/>
      <c r="C185" s="1127"/>
      <c r="D185" s="1125"/>
      <c r="E185" s="1125"/>
      <c r="F185" s="1130"/>
      <c r="G185" s="95"/>
      <c r="H185" s="90"/>
      <c r="I185" s="1125"/>
      <c r="J185" s="1134"/>
      <c r="K185" s="1134"/>
      <c r="L185" s="916"/>
    </row>
    <row r="186" spans="1:12" s="103" customFormat="1" ht="15.75" hidden="1" customHeight="1" outlineLevel="1">
      <c r="A186" s="916"/>
      <c r="B186" s="1124"/>
      <c r="C186" s="1128"/>
      <c r="D186" s="1126"/>
      <c r="E186" s="1126"/>
      <c r="F186" s="1132"/>
      <c r="G186" s="100"/>
      <c r="H186" s="98"/>
      <c r="I186" s="1126"/>
      <c r="J186" s="1135"/>
      <c r="K186" s="1135"/>
      <c r="L186" s="916"/>
    </row>
    <row r="187" spans="1:12" s="103" customFormat="1" ht="15.75" hidden="1" customHeight="1" outlineLevel="1">
      <c r="A187" s="916"/>
      <c r="B187" s="1123">
        <v>59</v>
      </c>
      <c r="C187" s="1127"/>
      <c r="D187" s="1125"/>
      <c r="E187" s="1125" t="s">
        <v>18</v>
      </c>
      <c r="F187" s="1130" t="str">
        <f>VLOOKUP(E187,$N$13:$O$17,2,0)</f>
        <v>-</v>
      </c>
      <c r="G187" s="92"/>
      <c r="H187" s="90"/>
      <c r="I187" s="1125"/>
      <c r="J187" s="1133"/>
      <c r="K187" s="1133"/>
      <c r="L187" s="916"/>
    </row>
    <row r="188" spans="1:12" s="103" customFormat="1" ht="15.75" hidden="1" customHeight="1" outlineLevel="1">
      <c r="A188" s="916"/>
      <c r="B188" s="1123"/>
      <c r="C188" s="1127"/>
      <c r="D188" s="1125"/>
      <c r="E188" s="1125"/>
      <c r="F188" s="1130"/>
      <c r="G188" s="95"/>
      <c r="H188" s="90"/>
      <c r="I188" s="1125"/>
      <c r="J188" s="1134"/>
      <c r="K188" s="1134"/>
      <c r="L188" s="916"/>
    </row>
    <row r="189" spans="1:12" s="103" customFormat="1" ht="15.75" hidden="1" customHeight="1" outlineLevel="1">
      <c r="A189" s="916"/>
      <c r="B189" s="1124"/>
      <c r="C189" s="1128"/>
      <c r="D189" s="1126"/>
      <c r="E189" s="1126"/>
      <c r="F189" s="1132"/>
      <c r="G189" s="100"/>
      <c r="H189" s="98"/>
      <c r="I189" s="1126"/>
      <c r="J189" s="1135"/>
      <c r="K189" s="1135"/>
      <c r="L189" s="916"/>
    </row>
    <row r="190" spans="1:12" s="103" customFormat="1" ht="15.75" hidden="1" customHeight="1" outlineLevel="1">
      <c r="A190" s="916"/>
      <c r="B190" s="1123">
        <v>60</v>
      </c>
      <c r="C190" s="1127"/>
      <c r="D190" s="1125"/>
      <c r="E190" s="1125" t="s">
        <v>18</v>
      </c>
      <c r="F190" s="1130" t="str">
        <f>VLOOKUP(E190,$N$13:$O$17,2,0)</f>
        <v>-</v>
      </c>
      <c r="G190" s="92"/>
      <c r="H190" s="90"/>
      <c r="I190" s="1125"/>
      <c r="J190" s="1133"/>
      <c r="K190" s="1133"/>
      <c r="L190" s="916"/>
    </row>
    <row r="191" spans="1:12" s="103" customFormat="1" ht="15.75" hidden="1" customHeight="1" outlineLevel="1">
      <c r="A191" s="916"/>
      <c r="B191" s="1123"/>
      <c r="C191" s="1127"/>
      <c r="D191" s="1125"/>
      <c r="E191" s="1125"/>
      <c r="F191" s="1130"/>
      <c r="G191" s="95"/>
      <c r="H191" s="90"/>
      <c r="I191" s="1125"/>
      <c r="J191" s="1134"/>
      <c r="K191" s="1134"/>
      <c r="L191" s="916"/>
    </row>
    <row r="192" spans="1:12" s="103" customFormat="1" ht="15.75" hidden="1" customHeight="1" outlineLevel="1">
      <c r="A192" s="916"/>
      <c r="B192" s="1124"/>
      <c r="C192" s="1128"/>
      <c r="D192" s="1126"/>
      <c r="E192" s="1126"/>
      <c r="F192" s="1132"/>
      <c r="G192" s="100"/>
      <c r="H192" s="98"/>
      <c r="I192" s="1126"/>
      <c r="J192" s="1135"/>
      <c r="K192" s="1135"/>
      <c r="L192" s="916"/>
    </row>
    <row r="193" spans="1:12" s="103" customFormat="1" ht="15.75" hidden="1" customHeight="1" outlineLevel="1">
      <c r="A193" s="916"/>
      <c r="B193" s="1123">
        <v>61</v>
      </c>
      <c r="C193" s="1127"/>
      <c r="D193" s="1125"/>
      <c r="E193" s="1125" t="s">
        <v>18</v>
      </c>
      <c r="F193" s="1130" t="str">
        <f>VLOOKUP(E193,$N$13:$O$17,2,0)</f>
        <v>-</v>
      </c>
      <c r="G193" s="92"/>
      <c r="H193" s="90"/>
      <c r="I193" s="1125"/>
      <c r="J193" s="1133"/>
      <c r="K193" s="1133"/>
      <c r="L193" s="916"/>
    </row>
    <row r="194" spans="1:12" s="103" customFormat="1" ht="15.75" hidden="1" customHeight="1" outlineLevel="1">
      <c r="A194" s="916"/>
      <c r="B194" s="1123"/>
      <c r="C194" s="1127"/>
      <c r="D194" s="1125"/>
      <c r="E194" s="1125"/>
      <c r="F194" s="1130"/>
      <c r="G194" s="95"/>
      <c r="H194" s="90"/>
      <c r="I194" s="1125"/>
      <c r="J194" s="1134"/>
      <c r="K194" s="1134"/>
      <c r="L194" s="916"/>
    </row>
    <row r="195" spans="1:12" s="103" customFormat="1" ht="15.75" hidden="1" customHeight="1" outlineLevel="1">
      <c r="A195" s="916"/>
      <c r="B195" s="1124"/>
      <c r="C195" s="1128"/>
      <c r="D195" s="1126"/>
      <c r="E195" s="1126"/>
      <c r="F195" s="1132"/>
      <c r="G195" s="100"/>
      <c r="H195" s="98"/>
      <c r="I195" s="1126"/>
      <c r="J195" s="1135"/>
      <c r="K195" s="1135"/>
      <c r="L195" s="916"/>
    </row>
    <row r="196" spans="1:12" s="103" customFormat="1" ht="15.75" hidden="1" customHeight="1" outlineLevel="1">
      <c r="A196" s="916"/>
      <c r="B196" s="1123">
        <v>62</v>
      </c>
      <c r="C196" s="1127"/>
      <c r="D196" s="1125"/>
      <c r="E196" s="1125" t="s">
        <v>18</v>
      </c>
      <c r="F196" s="1130" t="str">
        <f>VLOOKUP(E196,$N$13:$O$17,2,0)</f>
        <v>-</v>
      </c>
      <c r="G196" s="92"/>
      <c r="H196" s="90"/>
      <c r="I196" s="1125"/>
      <c r="J196" s="1133"/>
      <c r="K196" s="1133"/>
      <c r="L196" s="916"/>
    </row>
    <row r="197" spans="1:12" s="103" customFormat="1" ht="15.75" hidden="1" customHeight="1" outlineLevel="1">
      <c r="A197" s="916"/>
      <c r="B197" s="1123"/>
      <c r="C197" s="1127"/>
      <c r="D197" s="1125"/>
      <c r="E197" s="1125"/>
      <c r="F197" s="1130"/>
      <c r="G197" s="95"/>
      <c r="H197" s="90"/>
      <c r="I197" s="1125"/>
      <c r="J197" s="1134"/>
      <c r="K197" s="1134"/>
      <c r="L197" s="916"/>
    </row>
    <row r="198" spans="1:12" s="103" customFormat="1" ht="15.75" hidden="1" customHeight="1" outlineLevel="1">
      <c r="A198" s="916"/>
      <c r="B198" s="1124"/>
      <c r="C198" s="1128"/>
      <c r="D198" s="1126"/>
      <c r="E198" s="1126"/>
      <c r="F198" s="1132"/>
      <c r="G198" s="100"/>
      <c r="H198" s="98"/>
      <c r="I198" s="1126"/>
      <c r="J198" s="1135"/>
      <c r="K198" s="1135"/>
      <c r="L198" s="916"/>
    </row>
    <row r="199" spans="1:12" s="103" customFormat="1" ht="15.75" hidden="1" customHeight="1" outlineLevel="1">
      <c r="A199" s="916"/>
      <c r="B199" s="1123">
        <v>63</v>
      </c>
      <c r="C199" s="1127"/>
      <c r="D199" s="1125"/>
      <c r="E199" s="1125" t="s">
        <v>18</v>
      </c>
      <c r="F199" s="1130" t="str">
        <f>VLOOKUP(E199,$N$13:$O$17,2,0)</f>
        <v>-</v>
      </c>
      <c r="G199" s="92"/>
      <c r="H199" s="90"/>
      <c r="I199" s="1125"/>
      <c r="J199" s="1133"/>
      <c r="K199" s="1133"/>
      <c r="L199" s="916"/>
    </row>
    <row r="200" spans="1:12" s="103" customFormat="1" ht="15.75" hidden="1" customHeight="1" outlineLevel="1">
      <c r="A200" s="916"/>
      <c r="B200" s="1123"/>
      <c r="C200" s="1127"/>
      <c r="D200" s="1125"/>
      <c r="E200" s="1125"/>
      <c r="F200" s="1130"/>
      <c r="G200" s="95"/>
      <c r="H200" s="90"/>
      <c r="I200" s="1125"/>
      <c r="J200" s="1134"/>
      <c r="K200" s="1134"/>
      <c r="L200" s="916"/>
    </row>
    <row r="201" spans="1:12" s="103" customFormat="1" ht="15.75" hidden="1" customHeight="1" outlineLevel="1">
      <c r="A201" s="916"/>
      <c r="B201" s="1124"/>
      <c r="C201" s="1128"/>
      <c r="D201" s="1126"/>
      <c r="E201" s="1126"/>
      <c r="F201" s="1132"/>
      <c r="G201" s="100"/>
      <c r="H201" s="98"/>
      <c r="I201" s="1126"/>
      <c r="J201" s="1135"/>
      <c r="K201" s="1135"/>
      <c r="L201" s="916"/>
    </row>
    <row r="202" spans="1:12" s="103" customFormat="1" ht="15.75" hidden="1" customHeight="1" outlineLevel="1">
      <c r="A202" s="916"/>
      <c r="B202" s="1123">
        <v>64</v>
      </c>
      <c r="C202" s="1127"/>
      <c r="D202" s="1125"/>
      <c r="E202" s="1125" t="s">
        <v>18</v>
      </c>
      <c r="F202" s="1130" t="str">
        <f>VLOOKUP(E202,$N$13:$O$17,2,0)</f>
        <v>-</v>
      </c>
      <c r="G202" s="92"/>
      <c r="H202" s="90"/>
      <c r="I202" s="1125"/>
      <c r="J202" s="1133"/>
      <c r="K202" s="1133"/>
      <c r="L202" s="916"/>
    </row>
    <row r="203" spans="1:12" s="103" customFormat="1" ht="15.75" hidden="1" customHeight="1" outlineLevel="1">
      <c r="A203" s="916"/>
      <c r="B203" s="1123"/>
      <c r="C203" s="1127"/>
      <c r="D203" s="1125"/>
      <c r="E203" s="1125"/>
      <c r="F203" s="1130"/>
      <c r="G203" s="95"/>
      <c r="H203" s="90"/>
      <c r="I203" s="1125"/>
      <c r="J203" s="1134"/>
      <c r="K203" s="1134"/>
      <c r="L203" s="916"/>
    </row>
    <row r="204" spans="1:12" s="103" customFormat="1" ht="15.75" hidden="1" customHeight="1" outlineLevel="1">
      <c r="A204" s="916"/>
      <c r="B204" s="1124"/>
      <c r="C204" s="1128"/>
      <c r="D204" s="1126"/>
      <c r="E204" s="1126"/>
      <c r="F204" s="1132"/>
      <c r="G204" s="100"/>
      <c r="H204" s="98"/>
      <c r="I204" s="1126"/>
      <c r="J204" s="1135"/>
      <c r="K204" s="1135"/>
      <c r="L204" s="916"/>
    </row>
    <row r="205" spans="1:12" s="103" customFormat="1" ht="15.75" hidden="1" customHeight="1" outlineLevel="1">
      <c r="A205" s="916"/>
      <c r="B205" s="1123">
        <v>65</v>
      </c>
      <c r="C205" s="1127"/>
      <c r="D205" s="1125"/>
      <c r="E205" s="1125" t="s">
        <v>18</v>
      </c>
      <c r="F205" s="1130" t="str">
        <f>VLOOKUP(E205,$N$13:$O$17,2,0)</f>
        <v>-</v>
      </c>
      <c r="G205" s="92"/>
      <c r="H205" s="90"/>
      <c r="I205" s="1125"/>
      <c r="J205" s="1133"/>
      <c r="K205" s="1133"/>
      <c r="L205" s="916"/>
    </row>
    <row r="206" spans="1:12" s="103" customFormat="1" ht="15.75" hidden="1" customHeight="1" outlineLevel="1">
      <c r="A206" s="916"/>
      <c r="B206" s="1123"/>
      <c r="C206" s="1127"/>
      <c r="D206" s="1125"/>
      <c r="E206" s="1125"/>
      <c r="F206" s="1130"/>
      <c r="G206" s="95"/>
      <c r="H206" s="90"/>
      <c r="I206" s="1125"/>
      <c r="J206" s="1134"/>
      <c r="K206" s="1134"/>
      <c r="L206" s="916"/>
    </row>
    <row r="207" spans="1:12" s="103" customFormat="1" ht="15.75" hidden="1" customHeight="1" outlineLevel="1">
      <c r="A207" s="916"/>
      <c r="B207" s="1124"/>
      <c r="C207" s="1128"/>
      <c r="D207" s="1126"/>
      <c r="E207" s="1126"/>
      <c r="F207" s="1132"/>
      <c r="G207" s="100"/>
      <c r="H207" s="98"/>
      <c r="I207" s="1126"/>
      <c r="J207" s="1135"/>
      <c r="K207" s="1135"/>
      <c r="L207" s="916"/>
    </row>
    <row r="208" spans="1:12" s="103" customFormat="1" ht="15.75" hidden="1" customHeight="1" outlineLevel="1">
      <c r="A208" s="916"/>
      <c r="B208" s="1123">
        <v>66</v>
      </c>
      <c r="C208" s="1127"/>
      <c r="D208" s="1125"/>
      <c r="E208" s="1125" t="s">
        <v>18</v>
      </c>
      <c r="F208" s="1130" t="str">
        <f>VLOOKUP(E208,$N$13:$O$17,2,0)</f>
        <v>-</v>
      </c>
      <c r="G208" s="92"/>
      <c r="H208" s="90"/>
      <c r="I208" s="1125"/>
      <c r="J208" s="1133"/>
      <c r="K208" s="1133"/>
      <c r="L208" s="916"/>
    </row>
    <row r="209" spans="1:12" s="103" customFormat="1" ht="15.75" hidden="1" customHeight="1" outlineLevel="1">
      <c r="A209" s="916"/>
      <c r="B209" s="1123"/>
      <c r="C209" s="1127"/>
      <c r="D209" s="1125"/>
      <c r="E209" s="1125"/>
      <c r="F209" s="1130"/>
      <c r="G209" s="95"/>
      <c r="H209" s="90"/>
      <c r="I209" s="1125"/>
      <c r="J209" s="1134"/>
      <c r="K209" s="1134"/>
      <c r="L209" s="916"/>
    </row>
    <row r="210" spans="1:12" s="103" customFormat="1" ht="15.75" hidden="1" customHeight="1" outlineLevel="1">
      <c r="A210" s="916"/>
      <c r="B210" s="1124"/>
      <c r="C210" s="1128"/>
      <c r="D210" s="1126"/>
      <c r="E210" s="1126"/>
      <c r="F210" s="1132"/>
      <c r="G210" s="100"/>
      <c r="H210" s="98"/>
      <c r="I210" s="1126"/>
      <c r="J210" s="1135"/>
      <c r="K210" s="1135"/>
      <c r="L210" s="916"/>
    </row>
    <row r="211" spans="1:12" s="103" customFormat="1" ht="15.75" hidden="1" customHeight="1" outlineLevel="1">
      <c r="A211" s="916"/>
      <c r="B211" s="1123">
        <v>67</v>
      </c>
      <c r="C211" s="1127"/>
      <c r="D211" s="1125"/>
      <c r="E211" s="1125" t="s">
        <v>18</v>
      </c>
      <c r="F211" s="1130" t="str">
        <f>VLOOKUP(E211,$N$13:$O$17,2,0)</f>
        <v>-</v>
      </c>
      <c r="G211" s="92"/>
      <c r="H211" s="90"/>
      <c r="I211" s="1125"/>
      <c r="J211" s="1133"/>
      <c r="K211" s="1133"/>
      <c r="L211" s="916"/>
    </row>
    <row r="212" spans="1:12" s="103" customFormat="1" ht="15.75" hidden="1" customHeight="1" outlineLevel="1">
      <c r="A212" s="916"/>
      <c r="B212" s="1123"/>
      <c r="C212" s="1127"/>
      <c r="D212" s="1125"/>
      <c r="E212" s="1125"/>
      <c r="F212" s="1130"/>
      <c r="G212" s="95"/>
      <c r="H212" s="90"/>
      <c r="I212" s="1125"/>
      <c r="J212" s="1134"/>
      <c r="K212" s="1134"/>
      <c r="L212" s="916"/>
    </row>
    <row r="213" spans="1:12" s="103" customFormat="1" ht="15.75" hidden="1" customHeight="1" outlineLevel="1">
      <c r="A213" s="916"/>
      <c r="B213" s="1124"/>
      <c r="C213" s="1128"/>
      <c r="D213" s="1126"/>
      <c r="E213" s="1126"/>
      <c r="F213" s="1132"/>
      <c r="G213" s="100"/>
      <c r="H213" s="98"/>
      <c r="I213" s="1126"/>
      <c r="J213" s="1135"/>
      <c r="K213" s="1135"/>
      <c r="L213" s="916"/>
    </row>
    <row r="214" spans="1:12" s="103" customFormat="1" ht="15.75" hidden="1" customHeight="1" outlineLevel="1">
      <c r="A214" s="916"/>
      <c r="B214" s="1123">
        <v>68</v>
      </c>
      <c r="C214" s="1127"/>
      <c r="D214" s="1125"/>
      <c r="E214" s="1125" t="s">
        <v>18</v>
      </c>
      <c r="F214" s="1130" t="str">
        <f>VLOOKUP(E214,$N$13:$O$17,2,0)</f>
        <v>-</v>
      </c>
      <c r="G214" s="92"/>
      <c r="H214" s="90"/>
      <c r="I214" s="1125"/>
      <c r="J214" s="1133"/>
      <c r="K214" s="1133"/>
      <c r="L214" s="916"/>
    </row>
    <row r="215" spans="1:12" s="103" customFormat="1" ht="15.75" hidden="1" customHeight="1" outlineLevel="1">
      <c r="A215" s="916"/>
      <c r="B215" s="1123"/>
      <c r="C215" s="1127"/>
      <c r="D215" s="1125"/>
      <c r="E215" s="1125"/>
      <c r="F215" s="1130"/>
      <c r="G215" s="95"/>
      <c r="H215" s="90"/>
      <c r="I215" s="1125"/>
      <c r="J215" s="1134"/>
      <c r="K215" s="1134"/>
      <c r="L215" s="916"/>
    </row>
    <row r="216" spans="1:12" s="103" customFormat="1" ht="15.75" hidden="1" customHeight="1" outlineLevel="1">
      <c r="A216" s="916"/>
      <c r="B216" s="1124"/>
      <c r="C216" s="1128"/>
      <c r="D216" s="1126"/>
      <c r="E216" s="1126"/>
      <c r="F216" s="1132"/>
      <c r="G216" s="100"/>
      <c r="H216" s="98"/>
      <c r="I216" s="1126"/>
      <c r="J216" s="1135"/>
      <c r="K216" s="1135"/>
      <c r="L216" s="916"/>
    </row>
    <row r="217" spans="1:12" s="103" customFormat="1" ht="15.75" hidden="1" customHeight="1" outlineLevel="1">
      <c r="A217" s="916"/>
      <c r="B217" s="1123">
        <v>69</v>
      </c>
      <c r="C217" s="1127"/>
      <c r="D217" s="1125"/>
      <c r="E217" s="1125" t="s">
        <v>18</v>
      </c>
      <c r="F217" s="1130" t="str">
        <f>VLOOKUP(E217,$N$13:$O$17,2,0)</f>
        <v>-</v>
      </c>
      <c r="G217" s="92"/>
      <c r="H217" s="90"/>
      <c r="I217" s="1125"/>
      <c r="J217" s="1133"/>
      <c r="K217" s="1133"/>
      <c r="L217" s="916"/>
    </row>
    <row r="218" spans="1:12" s="103" customFormat="1" ht="15.75" hidden="1" customHeight="1" outlineLevel="1">
      <c r="A218" s="916"/>
      <c r="B218" s="1123"/>
      <c r="C218" s="1127"/>
      <c r="D218" s="1125"/>
      <c r="E218" s="1125"/>
      <c r="F218" s="1130"/>
      <c r="G218" s="95"/>
      <c r="H218" s="90"/>
      <c r="I218" s="1125"/>
      <c r="J218" s="1134"/>
      <c r="K218" s="1134"/>
      <c r="L218" s="916"/>
    </row>
    <row r="219" spans="1:12" s="103" customFormat="1" ht="15.75" hidden="1" customHeight="1" outlineLevel="1">
      <c r="A219" s="916"/>
      <c r="B219" s="1124"/>
      <c r="C219" s="1128"/>
      <c r="D219" s="1126"/>
      <c r="E219" s="1126"/>
      <c r="F219" s="1132"/>
      <c r="G219" s="100"/>
      <c r="H219" s="98"/>
      <c r="I219" s="1126"/>
      <c r="J219" s="1135"/>
      <c r="K219" s="1135"/>
      <c r="L219" s="916"/>
    </row>
    <row r="220" spans="1:12" s="103" customFormat="1" ht="15.75" hidden="1" customHeight="1" outlineLevel="1">
      <c r="A220" s="916"/>
      <c r="B220" s="1123">
        <v>70</v>
      </c>
      <c r="C220" s="1127"/>
      <c r="D220" s="1125"/>
      <c r="E220" s="1125" t="s">
        <v>18</v>
      </c>
      <c r="F220" s="1130" t="str">
        <f>VLOOKUP(E220,$N$13:$O$17,2,0)</f>
        <v>-</v>
      </c>
      <c r="G220" s="92"/>
      <c r="H220" s="90"/>
      <c r="I220" s="1125"/>
      <c r="J220" s="1133"/>
      <c r="K220" s="1133"/>
      <c r="L220" s="916"/>
    </row>
    <row r="221" spans="1:12" s="103" customFormat="1" ht="15.75" hidden="1" customHeight="1" outlineLevel="1">
      <c r="A221" s="916"/>
      <c r="B221" s="1123"/>
      <c r="C221" s="1127"/>
      <c r="D221" s="1125"/>
      <c r="E221" s="1125"/>
      <c r="F221" s="1130"/>
      <c r="G221" s="95"/>
      <c r="H221" s="90"/>
      <c r="I221" s="1125"/>
      <c r="J221" s="1134"/>
      <c r="K221" s="1134"/>
      <c r="L221" s="916"/>
    </row>
    <row r="222" spans="1:12" s="103" customFormat="1" ht="15.75" hidden="1" customHeight="1" outlineLevel="1">
      <c r="A222" s="916"/>
      <c r="B222" s="1124"/>
      <c r="C222" s="1128"/>
      <c r="D222" s="1126"/>
      <c r="E222" s="1126"/>
      <c r="F222" s="1132"/>
      <c r="G222" s="100"/>
      <c r="H222" s="98"/>
      <c r="I222" s="1126"/>
      <c r="J222" s="1135"/>
      <c r="K222" s="1135"/>
      <c r="L222" s="916"/>
    </row>
    <row r="223" spans="1:12" s="103" customFormat="1" ht="15.75" hidden="1" customHeight="1" outlineLevel="1">
      <c r="A223" s="916"/>
      <c r="B223" s="1123">
        <v>71</v>
      </c>
      <c r="C223" s="1127"/>
      <c r="D223" s="1125"/>
      <c r="E223" s="1125" t="s">
        <v>18</v>
      </c>
      <c r="F223" s="1130" t="str">
        <f>VLOOKUP(E223,$N$13:$O$17,2,0)</f>
        <v>-</v>
      </c>
      <c r="G223" s="92"/>
      <c r="H223" s="90"/>
      <c r="I223" s="1125"/>
      <c r="J223" s="1133"/>
      <c r="K223" s="1133"/>
      <c r="L223" s="916"/>
    </row>
    <row r="224" spans="1:12" s="103" customFormat="1" ht="15.75" hidden="1" customHeight="1" outlineLevel="1">
      <c r="A224" s="916"/>
      <c r="B224" s="1123"/>
      <c r="C224" s="1127"/>
      <c r="D224" s="1125"/>
      <c r="E224" s="1125"/>
      <c r="F224" s="1130"/>
      <c r="G224" s="95"/>
      <c r="H224" s="90"/>
      <c r="I224" s="1125"/>
      <c r="J224" s="1134"/>
      <c r="K224" s="1134"/>
      <c r="L224" s="916"/>
    </row>
    <row r="225" spans="1:12" s="103" customFormat="1" ht="15.75" hidden="1" customHeight="1" outlineLevel="1">
      <c r="A225" s="916"/>
      <c r="B225" s="1124"/>
      <c r="C225" s="1128"/>
      <c r="D225" s="1126"/>
      <c r="E225" s="1126"/>
      <c r="F225" s="1132"/>
      <c r="G225" s="100"/>
      <c r="H225" s="98"/>
      <c r="I225" s="1126"/>
      <c r="J225" s="1135"/>
      <c r="K225" s="1135"/>
      <c r="L225" s="916"/>
    </row>
    <row r="226" spans="1:12" s="103" customFormat="1" ht="15.75" hidden="1" customHeight="1" outlineLevel="1">
      <c r="A226" s="916"/>
      <c r="B226" s="1123">
        <v>72</v>
      </c>
      <c r="C226" s="1127"/>
      <c r="D226" s="1125"/>
      <c r="E226" s="1125" t="s">
        <v>18</v>
      </c>
      <c r="F226" s="1130" t="str">
        <f>VLOOKUP(E226,$N$13:$O$17,2,0)</f>
        <v>-</v>
      </c>
      <c r="G226" s="92"/>
      <c r="H226" s="90"/>
      <c r="I226" s="1125"/>
      <c r="J226" s="1133"/>
      <c r="K226" s="1133"/>
      <c r="L226" s="916"/>
    </row>
    <row r="227" spans="1:12" s="103" customFormat="1" ht="15.75" hidden="1" customHeight="1" outlineLevel="1">
      <c r="A227" s="916"/>
      <c r="B227" s="1123"/>
      <c r="C227" s="1127"/>
      <c r="D227" s="1125"/>
      <c r="E227" s="1125"/>
      <c r="F227" s="1130"/>
      <c r="G227" s="95"/>
      <c r="H227" s="90"/>
      <c r="I227" s="1125"/>
      <c r="J227" s="1134"/>
      <c r="K227" s="1134"/>
      <c r="L227" s="916"/>
    </row>
    <row r="228" spans="1:12" s="103" customFormat="1" ht="15.75" hidden="1" customHeight="1" outlineLevel="1">
      <c r="A228" s="916"/>
      <c r="B228" s="1124"/>
      <c r="C228" s="1128"/>
      <c r="D228" s="1126"/>
      <c r="E228" s="1126"/>
      <c r="F228" s="1132"/>
      <c r="G228" s="100"/>
      <c r="H228" s="98"/>
      <c r="I228" s="1126"/>
      <c r="J228" s="1135"/>
      <c r="K228" s="1135"/>
      <c r="L228" s="916"/>
    </row>
    <row r="229" spans="1:12" s="103" customFormat="1" ht="15.75" hidden="1" customHeight="1" outlineLevel="1">
      <c r="A229" s="916"/>
      <c r="B229" s="1123">
        <v>73</v>
      </c>
      <c r="C229" s="1127"/>
      <c r="D229" s="1125"/>
      <c r="E229" s="1125" t="s">
        <v>18</v>
      </c>
      <c r="F229" s="1130" t="str">
        <f>VLOOKUP(E229,$N$13:$O$17,2,0)</f>
        <v>-</v>
      </c>
      <c r="G229" s="92"/>
      <c r="H229" s="90"/>
      <c r="I229" s="1125"/>
      <c r="J229" s="1133"/>
      <c r="K229" s="1133"/>
      <c r="L229" s="916"/>
    </row>
    <row r="230" spans="1:12" s="103" customFormat="1" ht="15.75" hidden="1" customHeight="1" outlineLevel="1">
      <c r="A230" s="916"/>
      <c r="B230" s="1123"/>
      <c r="C230" s="1127"/>
      <c r="D230" s="1125"/>
      <c r="E230" s="1125"/>
      <c r="F230" s="1130"/>
      <c r="G230" s="95"/>
      <c r="H230" s="90"/>
      <c r="I230" s="1125"/>
      <c r="J230" s="1134"/>
      <c r="K230" s="1134"/>
      <c r="L230" s="916"/>
    </row>
    <row r="231" spans="1:12" s="103" customFormat="1" ht="15.75" hidden="1" customHeight="1" outlineLevel="1">
      <c r="A231" s="916"/>
      <c r="B231" s="1124"/>
      <c r="C231" s="1128"/>
      <c r="D231" s="1126"/>
      <c r="E231" s="1126"/>
      <c r="F231" s="1132"/>
      <c r="G231" s="100"/>
      <c r="H231" s="98"/>
      <c r="I231" s="1126"/>
      <c r="J231" s="1135"/>
      <c r="K231" s="1135"/>
      <c r="L231" s="916"/>
    </row>
    <row r="232" spans="1:12" s="103" customFormat="1" ht="15.75" hidden="1" customHeight="1" outlineLevel="1">
      <c r="A232" s="916"/>
      <c r="B232" s="1123">
        <v>74</v>
      </c>
      <c r="C232" s="1127"/>
      <c r="D232" s="1125"/>
      <c r="E232" s="1125" t="s">
        <v>18</v>
      </c>
      <c r="F232" s="1130" t="str">
        <f>VLOOKUP(E232,$N$13:$O$17,2,0)</f>
        <v>-</v>
      </c>
      <c r="G232" s="92"/>
      <c r="H232" s="90"/>
      <c r="I232" s="1125"/>
      <c r="J232" s="1133"/>
      <c r="K232" s="1133"/>
      <c r="L232" s="916"/>
    </row>
    <row r="233" spans="1:12" s="103" customFormat="1" ht="15.75" hidden="1" customHeight="1" outlineLevel="1">
      <c r="A233" s="916"/>
      <c r="B233" s="1123"/>
      <c r="C233" s="1127"/>
      <c r="D233" s="1125"/>
      <c r="E233" s="1125"/>
      <c r="F233" s="1130"/>
      <c r="G233" s="95"/>
      <c r="H233" s="90"/>
      <c r="I233" s="1125"/>
      <c r="J233" s="1134"/>
      <c r="K233" s="1134"/>
      <c r="L233" s="916"/>
    </row>
    <row r="234" spans="1:12" s="103" customFormat="1" ht="15.75" hidden="1" customHeight="1" outlineLevel="1">
      <c r="A234" s="916"/>
      <c r="B234" s="1124"/>
      <c r="C234" s="1128"/>
      <c r="D234" s="1126"/>
      <c r="E234" s="1126"/>
      <c r="F234" s="1132"/>
      <c r="G234" s="100"/>
      <c r="H234" s="98"/>
      <c r="I234" s="1126"/>
      <c r="J234" s="1135"/>
      <c r="K234" s="1135"/>
      <c r="L234" s="916"/>
    </row>
    <row r="235" spans="1:12" s="103" customFormat="1" ht="15.75" hidden="1" customHeight="1" outlineLevel="1">
      <c r="A235" s="916"/>
      <c r="B235" s="1123">
        <v>75</v>
      </c>
      <c r="C235" s="1127"/>
      <c r="D235" s="1125"/>
      <c r="E235" s="1125" t="s">
        <v>18</v>
      </c>
      <c r="F235" s="1130" t="str">
        <f>VLOOKUP(E235,$N$13:$O$17,2,0)</f>
        <v>-</v>
      </c>
      <c r="G235" s="92"/>
      <c r="H235" s="90"/>
      <c r="I235" s="1125"/>
      <c r="J235" s="1133"/>
      <c r="K235" s="1133"/>
      <c r="L235" s="916"/>
    </row>
    <row r="236" spans="1:12" s="103" customFormat="1" ht="15.75" hidden="1" customHeight="1" outlineLevel="1">
      <c r="A236" s="916"/>
      <c r="B236" s="1123"/>
      <c r="C236" s="1127"/>
      <c r="D236" s="1125"/>
      <c r="E236" s="1125"/>
      <c r="F236" s="1130"/>
      <c r="G236" s="95"/>
      <c r="H236" s="90"/>
      <c r="I236" s="1125"/>
      <c r="J236" s="1134"/>
      <c r="K236" s="1134"/>
      <c r="L236" s="916"/>
    </row>
    <row r="237" spans="1:12" s="103" customFormat="1" ht="15.75" hidden="1" customHeight="1" outlineLevel="1">
      <c r="A237" s="916"/>
      <c r="B237" s="1124"/>
      <c r="C237" s="1128"/>
      <c r="D237" s="1126"/>
      <c r="E237" s="1126"/>
      <c r="F237" s="1132"/>
      <c r="G237" s="100"/>
      <c r="H237" s="98"/>
      <c r="I237" s="1126"/>
      <c r="J237" s="1135"/>
      <c r="K237" s="1135"/>
      <c r="L237" s="916"/>
    </row>
    <row r="238" spans="1:12" s="103" customFormat="1" ht="15.75" hidden="1" customHeight="1" outlineLevel="1">
      <c r="A238" s="916"/>
      <c r="B238" s="1123">
        <v>76</v>
      </c>
      <c r="C238" s="1127"/>
      <c r="D238" s="1125"/>
      <c r="E238" s="1125" t="s">
        <v>18</v>
      </c>
      <c r="F238" s="1130" t="str">
        <f>VLOOKUP(E238,$N$13:$O$17,2,0)</f>
        <v>-</v>
      </c>
      <c r="G238" s="92"/>
      <c r="H238" s="90"/>
      <c r="I238" s="1125"/>
      <c r="J238" s="1133"/>
      <c r="K238" s="1133"/>
      <c r="L238" s="916"/>
    </row>
    <row r="239" spans="1:12" s="103" customFormat="1" ht="15.75" hidden="1" customHeight="1" outlineLevel="1">
      <c r="A239" s="916"/>
      <c r="B239" s="1123"/>
      <c r="C239" s="1127"/>
      <c r="D239" s="1125"/>
      <c r="E239" s="1125"/>
      <c r="F239" s="1130"/>
      <c r="G239" s="95"/>
      <c r="H239" s="90"/>
      <c r="I239" s="1125"/>
      <c r="J239" s="1134"/>
      <c r="K239" s="1134"/>
      <c r="L239" s="916"/>
    </row>
    <row r="240" spans="1:12" s="103" customFormat="1" ht="15.75" hidden="1" customHeight="1" outlineLevel="1">
      <c r="A240" s="916"/>
      <c r="B240" s="1124"/>
      <c r="C240" s="1128"/>
      <c r="D240" s="1126"/>
      <c r="E240" s="1126"/>
      <c r="F240" s="1132"/>
      <c r="G240" s="100"/>
      <c r="H240" s="98"/>
      <c r="I240" s="1126"/>
      <c r="J240" s="1135"/>
      <c r="K240" s="1135"/>
      <c r="L240" s="916"/>
    </row>
    <row r="241" spans="1:12" s="103" customFormat="1" ht="15.75" hidden="1" customHeight="1" outlineLevel="1">
      <c r="A241" s="916"/>
      <c r="B241" s="1123">
        <v>77</v>
      </c>
      <c r="C241" s="1127"/>
      <c r="D241" s="1125"/>
      <c r="E241" s="1125" t="s">
        <v>18</v>
      </c>
      <c r="F241" s="1130" t="str">
        <f>VLOOKUP(E241,$N$13:$O$17,2,0)</f>
        <v>-</v>
      </c>
      <c r="G241" s="92"/>
      <c r="H241" s="90"/>
      <c r="I241" s="1125"/>
      <c r="J241" s="1133"/>
      <c r="K241" s="1133"/>
      <c r="L241" s="916"/>
    </row>
    <row r="242" spans="1:12" s="103" customFormat="1" ht="15.75" hidden="1" customHeight="1" outlineLevel="1">
      <c r="A242" s="916"/>
      <c r="B242" s="1123"/>
      <c r="C242" s="1127"/>
      <c r="D242" s="1125"/>
      <c r="E242" s="1125"/>
      <c r="F242" s="1130"/>
      <c r="G242" s="95"/>
      <c r="H242" s="90"/>
      <c r="I242" s="1125"/>
      <c r="J242" s="1134"/>
      <c r="K242" s="1134"/>
      <c r="L242" s="916"/>
    </row>
    <row r="243" spans="1:12" s="103" customFormat="1" ht="15.75" hidden="1" customHeight="1" outlineLevel="1">
      <c r="A243" s="916"/>
      <c r="B243" s="1124"/>
      <c r="C243" s="1128"/>
      <c r="D243" s="1126"/>
      <c r="E243" s="1126"/>
      <c r="F243" s="1132"/>
      <c r="G243" s="100"/>
      <c r="H243" s="98"/>
      <c r="I243" s="1126"/>
      <c r="J243" s="1135"/>
      <c r="K243" s="1135"/>
      <c r="L243" s="916"/>
    </row>
    <row r="244" spans="1:12" s="103" customFormat="1" ht="15.75" hidden="1" customHeight="1" outlineLevel="1">
      <c r="A244" s="916"/>
      <c r="B244" s="1123">
        <v>78</v>
      </c>
      <c r="C244" s="1127"/>
      <c r="D244" s="1125"/>
      <c r="E244" s="1125" t="s">
        <v>18</v>
      </c>
      <c r="F244" s="1130" t="str">
        <f>VLOOKUP(E244,$N$13:$O$17,2,0)</f>
        <v>-</v>
      </c>
      <c r="G244" s="92"/>
      <c r="H244" s="90"/>
      <c r="I244" s="1125"/>
      <c r="J244" s="1133"/>
      <c r="K244" s="1133"/>
      <c r="L244" s="916"/>
    </row>
    <row r="245" spans="1:12" s="103" customFormat="1" ht="15.75" hidden="1" customHeight="1" outlineLevel="1">
      <c r="A245" s="916"/>
      <c r="B245" s="1123"/>
      <c r="C245" s="1127"/>
      <c r="D245" s="1125"/>
      <c r="E245" s="1125"/>
      <c r="F245" s="1130"/>
      <c r="G245" s="95"/>
      <c r="H245" s="90"/>
      <c r="I245" s="1125"/>
      <c r="J245" s="1134"/>
      <c r="K245" s="1134"/>
      <c r="L245" s="916"/>
    </row>
    <row r="246" spans="1:12" s="103" customFormat="1" ht="15.75" hidden="1" customHeight="1" outlineLevel="1">
      <c r="A246" s="916"/>
      <c r="B246" s="1124"/>
      <c r="C246" s="1128"/>
      <c r="D246" s="1126"/>
      <c r="E246" s="1126"/>
      <c r="F246" s="1132"/>
      <c r="G246" s="100"/>
      <c r="H246" s="98"/>
      <c r="I246" s="1126"/>
      <c r="J246" s="1135"/>
      <c r="K246" s="1135"/>
      <c r="L246" s="916"/>
    </row>
    <row r="247" spans="1:12" s="103" customFormat="1" ht="15.75" hidden="1" customHeight="1" outlineLevel="1">
      <c r="A247" s="916"/>
      <c r="B247" s="1123">
        <v>79</v>
      </c>
      <c r="C247" s="1127"/>
      <c r="D247" s="1125"/>
      <c r="E247" s="1125" t="s">
        <v>18</v>
      </c>
      <c r="F247" s="1130" t="str">
        <f>VLOOKUP(E247,$N$13:$O$17,2,0)</f>
        <v>-</v>
      </c>
      <c r="G247" s="92"/>
      <c r="H247" s="90"/>
      <c r="I247" s="1125"/>
      <c r="J247" s="1133"/>
      <c r="K247" s="1133"/>
      <c r="L247" s="916"/>
    </row>
    <row r="248" spans="1:12" s="103" customFormat="1" ht="15.75" hidden="1" customHeight="1" outlineLevel="1">
      <c r="A248" s="916"/>
      <c r="B248" s="1123"/>
      <c r="C248" s="1127"/>
      <c r="D248" s="1125"/>
      <c r="E248" s="1125"/>
      <c r="F248" s="1130"/>
      <c r="G248" s="95"/>
      <c r="H248" s="90"/>
      <c r="I248" s="1125"/>
      <c r="J248" s="1134"/>
      <c r="K248" s="1134"/>
      <c r="L248" s="916"/>
    </row>
    <row r="249" spans="1:12" s="103" customFormat="1" ht="15.75" hidden="1" customHeight="1" outlineLevel="1">
      <c r="A249" s="916"/>
      <c r="B249" s="1124"/>
      <c r="C249" s="1128"/>
      <c r="D249" s="1126"/>
      <c r="E249" s="1126"/>
      <c r="F249" s="1132"/>
      <c r="G249" s="100"/>
      <c r="H249" s="98"/>
      <c r="I249" s="1126"/>
      <c r="J249" s="1135"/>
      <c r="K249" s="1135"/>
      <c r="L249" s="916"/>
    </row>
    <row r="250" spans="1:12" s="103" customFormat="1" ht="15.75" hidden="1" customHeight="1" outlineLevel="1">
      <c r="A250" s="916"/>
      <c r="B250" s="1123">
        <v>80</v>
      </c>
      <c r="C250" s="1127"/>
      <c r="D250" s="1125"/>
      <c r="E250" s="1125" t="s">
        <v>18</v>
      </c>
      <c r="F250" s="1130" t="str">
        <f>VLOOKUP(E250,$N$13:$O$17,2,0)</f>
        <v>-</v>
      </c>
      <c r="G250" s="92"/>
      <c r="H250" s="90"/>
      <c r="I250" s="1125"/>
      <c r="J250" s="1133"/>
      <c r="K250" s="1133"/>
      <c r="L250" s="916"/>
    </row>
    <row r="251" spans="1:12" s="103" customFormat="1" ht="15.75" hidden="1" customHeight="1" outlineLevel="1">
      <c r="A251" s="916"/>
      <c r="B251" s="1123"/>
      <c r="C251" s="1127"/>
      <c r="D251" s="1125"/>
      <c r="E251" s="1125"/>
      <c r="F251" s="1130"/>
      <c r="G251" s="95"/>
      <c r="H251" s="90"/>
      <c r="I251" s="1125"/>
      <c r="J251" s="1134"/>
      <c r="K251" s="1134"/>
      <c r="L251" s="916"/>
    </row>
    <row r="252" spans="1:12" s="103" customFormat="1" ht="15.75" hidden="1" customHeight="1" outlineLevel="1">
      <c r="A252" s="916"/>
      <c r="B252" s="1124"/>
      <c r="C252" s="1128"/>
      <c r="D252" s="1126"/>
      <c r="E252" s="1126"/>
      <c r="F252" s="1132"/>
      <c r="G252" s="100"/>
      <c r="H252" s="98"/>
      <c r="I252" s="1126"/>
      <c r="J252" s="1135"/>
      <c r="K252" s="1135"/>
      <c r="L252" s="916"/>
    </row>
    <row r="253" spans="1:12" s="103" customFormat="1" ht="15.75" hidden="1" customHeight="1" outlineLevel="1">
      <c r="A253" s="916"/>
      <c r="B253" s="1123">
        <v>81</v>
      </c>
      <c r="C253" s="1127"/>
      <c r="D253" s="1125"/>
      <c r="E253" s="1125" t="s">
        <v>18</v>
      </c>
      <c r="F253" s="1130" t="str">
        <f>VLOOKUP(E253,$N$13:$O$17,2,0)</f>
        <v>-</v>
      </c>
      <c r="G253" s="92"/>
      <c r="H253" s="90"/>
      <c r="I253" s="1125"/>
      <c r="J253" s="1133"/>
      <c r="K253" s="1133"/>
      <c r="L253" s="916"/>
    </row>
    <row r="254" spans="1:12" s="103" customFormat="1" ht="15.75" hidden="1" customHeight="1" outlineLevel="1">
      <c r="A254" s="916"/>
      <c r="B254" s="1123"/>
      <c r="C254" s="1127"/>
      <c r="D254" s="1125"/>
      <c r="E254" s="1125"/>
      <c r="F254" s="1130"/>
      <c r="G254" s="95"/>
      <c r="H254" s="90"/>
      <c r="I254" s="1125"/>
      <c r="J254" s="1134"/>
      <c r="K254" s="1134"/>
      <c r="L254" s="916"/>
    </row>
    <row r="255" spans="1:12" s="103" customFormat="1" ht="15.75" hidden="1" customHeight="1" outlineLevel="1">
      <c r="A255" s="916"/>
      <c r="B255" s="1124"/>
      <c r="C255" s="1128"/>
      <c r="D255" s="1126"/>
      <c r="E255" s="1126"/>
      <c r="F255" s="1132"/>
      <c r="G255" s="100"/>
      <c r="H255" s="98"/>
      <c r="I255" s="1126"/>
      <c r="J255" s="1135"/>
      <c r="K255" s="1135"/>
      <c r="L255" s="916"/>
    </row>
    <row r="256" spans="1:12" s="103" customFormat="1" ht="15.75" hidden="1" customHeight="1" outlineLevel="1">
      <c r="A256" s="916"/>
      <c r="B256" s="1123">
        <v>82</v>
      </c>
      <c r="C256" s="1127"/>
      <c r="D256" s="1125"/>
      <c r="E256" s="1125" t="s">
        <v>18</v>
      </c>
      <c r="F256" s="1130" t="str">
        <f>VLOOKUP(E256,$N$13:$O$17,2,0)</f>
        <v>-</v>
      </c>
      <c r="G256" s="92"/>
      <c r="H256" s="90"/>
      <c r="I256" s="1125"/>
      <c r="J256" s="1133"/>
      <c r="K256" s="1133"/>
      <c r="L256" s="916"/>
    </row>
    <row r="257" spans="1:12" s="103" customFormat="1" ht="15.75" hidden="1" customHeight="1" outlineLevel="1">
      <c r="A257" s="916"/>
      <c r="B257" s="1123"/>
      <c r="C257" s="1127"/>
      <c r="D257" s="1125"/>
      <c r="E257" s="1125"/>
      <c r="F257" s="1130"/>
      <c r="G257" s="95"/>
      <c r="H257" s="90"/>
      <c r="I257" s="1125"/>
      <c r="J257" s="1134"/>
      <c r="K257" s="1134"/>
      <c r="L257" s="916"/>
    </row>
    <row r="258" spans="1:12" s="103" customFormat="1" ht="15.75" hidden="1" customHeight="1" outlineLevel="1">
      <c r="A258" s="916"/>
      <c r="B258" s="1124"/>
      <c r="C258" s="1128"/>
      <c r="D258" s="1126"/>
      <c r="E258" s="1126"/>
      <c r="F258" s="1132"/>
      <c r="G258" s="100"/>
      <c r="H258" s="98"/>
      <c r="I258" s="1126"/>
      <c r="J258" s="1135"/>
      <c r="K258" s="1135"/>
      <c r="L258" s="916"/>
    </row>
    <row r="259" spans="1:12" s="103" customFormat="1" ht="15.75" hidden="1" customHeight="1" outlineLevel="1">
      <c r="A259" s="916"/>
      <c r="B259" s="1123">
        <v>83</v>
      </c>
      <c r="C259" s="1127"/>
      <c r="D259" s="1125"/>
      <c r="E259" s="1125" t="s">
        <v>18</v>
      </c>
      <c r="F259" s="1130" t="str">
        <f>VLOOKUP(E259,$N$13:$O$17,2,0)</f>
        <v>-</v>
      </c>
      <c r="G259" s="92"/>
      <c r="H259" s="90"/>
      <c r="I259" s="1125"/>
      <c r="J259" s="1133"/>
      <c r="K259" s="1133"/>
      <c r="L259" s="916"/>
    </row>
    <row r="260" spans="1:12" s="103" customFormat="1" ht="15.75" hidden="1" customHeight="1" outlineLevel="1">
      <c r="A260" s="916"/>
      <c r="B260" s="1123"/>
      <c r="C260" s="1127"/>
      <c r="D260" s="1125"/>
      <c r="E260" s="1125"/>
      <c r="F260" s="1130"/>
      <c r="G260" s="95"/>
      <c r="H260" s="90"/>
      <c r="I260" s="1125"/>
      <c r="J260" s="1134"/>
      <c r="K260" s="1134"/>
      <c r="L260" s="916"/>
    </row>
    <row r="261" spans="1:12" s="103" customFormat="1" ht="15.75" hidden="1" customHeight="1" outlineLevel="1">
      <c r="A261" s="916"/>
      <c r="B261" s="1124"/>
      <c r="C261" s="1128"/>
      <c r="D261" s="1126"/>
      <c r="E261" s="1126"/>
      <c r="F261" s="1132"/>
      <c r="G261" s="100"/>
      <c r="H261" s="98"/>
      <c r="I261" s="1126"/>
      <c r="J261" s="1135"/>
      <c r="K261" s="1135"/>
      <c r="L261" s="916"/>
    </row>
    <row r="262" spans="1:12" s="103" customFormat="1" ht="15.75" hidden="1" customHeight="1" outlineLevel="1">
      <c r="A262" s="916"/>
      <c r="B262" s="1123">
        <v>84</v>
      </c>
      <c r="C262" s="1127"/>
      <c r="D262" s="1125"/>
      <c r="E262" s="1125" t="s">
        <v>18</v>
      </c>
      <c r="F262" s="1130" t="str">
        <f>VLOOKUP(E262,$N$13:$O$17,2,0)</f>
        <v>-</v>
      </c>
      <c r="G262" s="92"/>
      <c r="H262" s="90"/>
      <c r="I262" s="1125"/>
      <c r="J262" s="1133"/>
      <c r="K262" s="1133"/>
      <c r="L262" s="916"/>
    </row>
    <row r="263" spans="1:12" s="103" customFormat="1" ht="15.75" hidden="1" customHeight="1" outlineLevel="1">
      <c r="A263" s="916"/>
      <c r="B263" s="1123"/>
      <c r="C263" s="1127"/>
      <c r="D263" s="1125"/>
      <c r="E263" s="1125"/>
      <c r="F263" s="1130"/>
      <c r="G263" s="95"/>
      <c r="H263" s="90"/>
      <c r="I263" s="1125"/>
      <c r="J263" s="1134"/>
      <c r="K263" s="1134"/>
      <c r="L263" s="916"/>
    </row>
    <row r="264" spans="1:12" s="103" customFormat="1" ht="15.75" hidden="1" customHeight="1" outlineLevel="1">
      <c r="A264" s="916"/>
      <c r="B264" s="1124"/>
      <c r="C264" s="1128"/>
      <c r="D264" s="1126"/>
      <c r="E264" s="1126"/>
      <c r="F264" s="1132"/>
      <c r="G264" s="100"/>
      <c r="H264" s="98"/>
      <c r="I264" s="1126"/>
      <c r="J264" s="1135"/>
      <c r="K264" s="1135"/>
      <c r="L264" s="916"/>
    </row>
    <row r="265" spans="1:12" s="103" customFormat="1" ht="15.75" hidden="1" customHeight="1" outlineLevel="1">
      <c r="A265" s="916"/>
      <c r="B265" s="1123">
        <v>85</v>
      </c>
      <c r="C265" s="1127"/>
      <c r="D265" s="1125"/>
      <c r="E265" s="1125" t="s">
        <v>18</v>
      </c>
      <c r="F265" s="1130" t="str">
        <f>VLOOKUP(E265,$N$13:$O$17,2,0)</f>
        <v>-</v>
      </c>
      <c r="G265" s="92"/>
      <c r="H265" s="90"/>
      <c r="I265" s="1125"/>
      <c r="J265" s="1133"/>
      <c r="K265" s="1133"/>
      <c r="L265" s="916"/>
    </row>
    <row r="266" spans="1:12" s="103" customFormat="1" ht="15.75" hidden="1" customHeight="1" outlineLevel="1">
      <c r="A266" s="916"/>
      <c r="B266" s="1123"/>
      <c r="C266" s="1127"/>
      <c r="D266" s="1125"/>
      <c r="E266" s="1125"/>
      <c r="F266" s="1130"/>
      <c r="G266" s="95"/>
      <c r="H266" s="90"/>
      <c r="I266" s="1125"/>
      <c r="J266" s="1134"/>
      <c r="K266" s="1134"/>
      <c r="L266" s="916"/>
    </row>
    <row r="267" spans="1:12" s="103" customFormat="1" ht="15.75" hidden="1" customHeight="1" outlineLevel="1">
      <c r="A267" s="916"/>
      <c r="B267" s="1124"/>
      <c r="C267" s="1128"/>
      <c r="D267" s="1126"/>
      <c r="E267" s="1126"/>
      <c r="F267" s="1132"/>
      <c r="G267" s="100"/>
      <c r="H267" s="98"/>
      <c r="I267" s="1126"/>
      <c r="J267" s="1135"/>
      <c r="K267" s="1135"/>
      <c r="L267" s="916"/>
    </row>
    <row r="268" spans="1:12" s="103" customFormat="1" ht="15.75" hidden="1" customHeight="1" outlineLevel="1">
      <c r="A268" s="916"/>
      <c r="B268" s="1123">
        <v>86</v>
      </c>
      <c r="C268" s="1127"/>
      <c r="D268" s="1125"/>
      <c r="E268" s="1125" t="s">
        <v>18</v>
      </c>
      <c r="F268" s="1130" t="str">
        <f>VLOOKUP(E268,$N$13:$O$17,2,0)</f>
        <v>-</v>
      </c>
      <c r="G268" s="92"/>
      <c r="H268" s="90"/>
      <c r="I268" s="1125"/>
      <c r="J268" s="1133"/>
      <c r="K268" s="1133"/>
      <c r="L268" s="916"/>
    </row>
    <row r="269" spans="1:12" s="103" customFormat="1" ht="15.75" hidden="1" customHeight="1" outlineLevel="1">
      <c r="A269" s="916"/>
      <c r="B269" s="1123"/>
      <c r="C269" s="1127"/>
      <c r="D269" s="1125"/>
      <c r="E269" s="1125"/>
      <c r="F269" s="1130"/>
      <c r="G269" s="95"/>
      <c r="H269" s="90"/>
      <c r="I269" s="1125"/>
      <c r="J269" s="1134"/>
      <c r="K269" s="1134"/>
      <c r="L269" s="916"/>
    </row>
    <row r="270" spans="1:12" s="103" customFormat="1" ht="15.75" hidden="1" customHeight="1" outlineLevel="1">
      <c r="A270" s="916"/>
      <c r="B270" s="1124"/>
      <c r="C270" s="1128"/>
      <c r="D270" s="1126"/>
      <c r="E270" s="1126"/>
      <c r="F270" s="1132"/>
      <c r="G270" s="100"/>
      <c r="H270" s="98"/>
      <c r="I270" s="1126"/>
      <c r="J270" s="1135"/>
      <c r="K270" s="1135"/>
      <c r="L270" s="916"/>
    </row>
    <row r="271" spans="1:12" s="103" customFormat="1" ht="15.75" hidden="1" customHeight="1" outlineLevel="1">
      <c r="A271" s="916"/>
      <c r="B271" s="1123">
        <v>87</v>
      </c>
      <c r="C271" s="1127"/>
      <c r="D271" s="1125"/>
      <c r="E271" s="1125" t="s">
        <v>18</v>
      </c>
      <c r="F271" s="1130" t="str">
        <f>VLOOKUP(E271,$N$13:$O$17,2,0)</f>
        <v>-</v>
      </c>
      <c r="G271" s="92"/>
      <c r="H271" s="90"/>
      <c r="I271" s="1125"/>
      <c r="J271" s="1133"/>
      <c r="K271" s="1133"/>
      <c r="L271" s="916"/>
    </row>
    <row r="272" spans="1:12" s="103" customFormat="1" ht="15.75" hidden="1" customHeight="1" outlineLevel="1">
      <c r="A272" s="916"/>
      <c r="B272" s="1123"/>
      <c r="C272" s="1127"/>
      <c r="D272" s="1125"/>
      <c r="E272" s="1125"/>
      <c r="F272" s="1130"/>
      <c r="G272" s="95"/>
      <c r="H272" s="90"/>
      <c r="I272" s="1125"/>
      <c r="J272" s="1134"/>
      <c r="K272" s="1134"/>
      <c r="L272" s="916"/>
    </row>
    <row r="273" spans="1:12" s="103" customFormat="1" ht="15.75" hidden="1" customHeight="1" outlineLevel="1">
      <c r="A273" s="916"/>
      <c r="B273" s="1124"/>
      <c r="C273" s="1128"/>
      <c r="D273" s="1126"/>
      <c r="E273" s="1126"/>
      <c r="F273" s="1132"/>
      <c r="G273" s="100"/>
      <c r="H273" s="98"/>
      <c r="I273" s="1126"/>
      <c r="J273" s="1135"/>
      <c r="K273" s="1135"/>
      <c r="L273" s="916"/>
    </row>
    <row r="274" spans="1:12" s="103" customFormat="1" ht="15.75" hidden="1" customHeight="1" outlineLevel="1">
      <c r="A274" s="916"/>
      <c r="B274" s="1123">
        <v>88</v>
      </c>
      <c r="C274" s="1127"/>
      <c r="D274" s="1125"/>
      <c r="E274" s="1125" t="s">
        <v>18</v>
      </c>
      <c r="F274" s="1130" t="str">
        <f>VLOOKUP(E274,$N$13:$O$17,2,0)</f>
        <v>-</v>
      </c>
      <c r="G274" s="92"/>
      <c r="H274" s="90"/>
      <c r="I274" s="1125"/>
      <c r="J274" s="1133"/>
      <c r="K274" s="1133"/>
      <c r="L274" s="916"/>
    </row>
    <row r="275" spans="1:12" s="103" customFormat="1" ht="15.75" hidden="1" customHeight="1" outlineLevel="1">
      <c r="A275" s="916"/>
      <c r="B275" s="1123"/>
      <c r="C275" s="1127"/>
      <c r="D275" s="1125"/>
      <c r="E275" s="1125"/>
      <c r="F275" s="1130"/>
      <c r="G275" s="95"/>
      <c r="H275" s="90"/>
      <c r="I275" s="1125"/>
      <c r="J275" s="1134"/>
      <c r="K275" s="1134"/>
      <c r="L275" s="916"/>
    </row>
    <row r="276" spans="1:12" s="103" customFormat="1" ht="15.75" hidden="1" customHeight="1" outlineLevel="1">
      <c r="A276" s="916"/>
      <c r="B276" s="1124"/>
      <c r="C276" s="1128"/>
      <c r="D276" s="1126"/>
      <c r="E276" s="1126"/>
      <c r="F276" s="1132"/>
      <c r="G276" s="100"/>
      <c r="H276" s="98"/>
      <c r="I276" s="1126"/>
      <c r="J276" s="1135"/>
      <c r="K276" s="1135"/>
      <c r="L276" s="916"/>
    </row>
    <row r="277" spans="1:12" s="103" customFormat="1" ht="15.75" hidden="1" customHeight="1" outlineLevel="1">
      <c r="A277" s="916"/>
      <c r="B277" s="1123">
        <v>89</v>
      </c>
      <c r="C277" s="1127"/>
      <c r="D277" s="1125"/>
      <c r="E277" s="1125" t="s">
        <v>18</v>
      </c>
      <c r="F277" s="1130" t="str">
        <f>VLOOKUP(E277,$N$13:$O$17,2,0)</f>
        <v>-</v>
      </c>
      <c r="G277" s="92"/>
      <c r="H277" s="90"/>
      <c r="I277" s="1125"/>
      <c r="J277" s="1133"/>
      <c r="K277" s="1133"/>
      <c r="L277" s="916"/>
    </row>
    <row r="278" spans="1:12" s="103" customFormat="1" ht="15.75" hidden="1" customHeight="1" outlineLevel="1">
      <c r="A278" s="916"/>
      <c r="B278" s="1123"/>
      <c r="C278" s="1127"/>
      <c r="D278" s="1125"/>
      <c r="E278" s="1125"/>
      <c r="F278" s="1130"/>
      <c r="G278" s="95"/>
      <c r="H278" s="90"/>
      <c r="I278" s="1125"/>
      <c r="J278" s="1134"/>
      <c r="K278" s="1134"/>
      <c r="L278" s="916"/>
    </row>
    <row r="279" spans="1:12" s="103" customFormat="1" ht="15.75" hidden="1" customHeight="1" outlineLevel="1">
      <c r="A279" s="916"/>
      <c r="B279" s="1124"/>
      <c r="C279" s="1128"/>
      <c r="D279" s="1126"/>
      <c r="E279" s="1126"/>
      <c r="F279" s="1132"/>
      <c r="G279" s="100"/>
      <c r="H279" s="98"/>
      <c r="I279" s="1126"/>
      <c r="J279" s="1135"/>
      <c r="K279" s="1135"/>
      <c r="L279" s="916"/>
    </row>
    <row r="280" spans="1:12" s="103" customFormat="1" ht="15.75" hidden="1" customHeight="1" outlineLevel="1">
      <c r="A280" s="916"/>
      <c r="B280" s="1123">
        <v>90</v>
      </c>
      <c r="C280" s="1127"/>
      <c r="D280" s="1125"/>
      <c r="E280" s="1125" t="s">
        <v>18</v>
      </c>
      <c r="F280" s="1130" t="str">
        <f>VLOOKUP(E280,$N$13:$O$17,2,0)</f>
        <v>-</v>
      </c>
      <c r="G280" s="92"/>
      <c r="H280" s="90"/>
      <c r="I280" s="1125"/>
      <c r="J280" s="1133"/>
      <c r="K280" s="1133"/>
      <c r="L280" s="916"/>
    </row>
    <row r="281" spans="1:12" s="103" customFormat="1" ht="15.75" hidden="1" customHeight="1" outlineLevel="1">
      <c r="A281" s="916"/>
      <c r="B281" s="1123"/>
      <c r="C281" s="1127"/>
      <c r="D281" s="1125"/>
      <c r="E281" s="1125"/>
      <c r="F281" s="1130"/>
      <c r="G281" s="95"/>
      <c r="H281" s="90"/>
      <c r="I281" s="1125"/>
      <c r="J281" s="1134"/>
      <c r="K281" s="1134"/>
      <c r="L281" s="916"/>
    </row>
    <row r="282" spans="1:12" s="103" customFormat="1" ht="15.75" hidden="1" customHeight="1" outlineLevel="1">
      <c r="A282" s="916"/>
      <c r="B282" s="1124"/>
      <c r="C282" s="1128"/>
      <c r="D282" s="1126"/>
      <c r="E282" s="1126"/>
      <c r="F282" s="1132"/>
      <c r="G282" s="100"/>
      <c r="H282" s="98"/>
      <c r="I282" s="1126"/>
      <c r="J282" s="1135"/>
      <c r="K282" s="1135"/>
      <c r="L282" s="916"/>
    </row>
    <row r="283" spans="1:12" s="103" customFormat="1" ht="15.75" hidden="1" customHeight="1" outlineLevel="1">
      <c r="A283" s="916"/>
      <c r="B283" s="1123">
        <v>91</v>
      </c>
      <c r="C283" s="1127"/>
      <c r="D283" s="1125"/>
      <c r="E283" s="1125" t="s">
        <v>18</v>
      </c>
      <c r="F283" s="1130" t="str">
        <f>VLOOKUP(E283,$N$13:$O$17,2,0)</f>
        <v>-</v>
      </c>
      <c r="G283" s="92"/>
      <c r="H283" s="90"/>
      <c r="I283" s="1125"/>
      <c r="J283" s="1133"/>
      <c r="K283" s="1133"/>
      <c r="L283" s="916"/>
    </row>
    <row r="284" spans="1:12" s="103" customFormat="1" ht="15.75" hidden="1" customHeight="1" outlineLevel="1">
      <c r="A284" s="916"/>
      <c r="B284" s="1123"/>
      <c r="C284" s="1127"/>
      <c r="D284" s="1125"/>
      <c r="E284" s="1125"/>
      <c r="F284" s="1130"/>
      <c r="G284" s="95"/>
      <c r="H284" s="90"/>
      <c r="I284" s="1125"/>
      <c r="J284" s="1134"/>
      <c r="K284" s="1134"/>
      <c r="L284" s="916"/>
    </row>
    <row r="285" spans="1:12" s="103" customFormat="1" ht="15.75" hidden="1" customHeight="1" outlineLevel="1">
      <c r="A285" s="916"/>
      <c r="B285" s="1124"/>
      <c r="C285" s="1128"/>
      <c r="D285" s="1126"/>
      <c r="E285" s="1126"/>
      <c r="F285" s="1132"/>
      <c r="G285" s="100"/>
      <c r="H285" s="98"/>
      <c r="I285" s="1126"/>
      <c r="J285" s="1135"/>
      <c r="K285" s="1135"/>
      <c r="L285" s="916"/>
    </row>
    <row r="286" spans="1:12" s="103" customFormat="1" ht="15.75" hidden="1" customHeight="1" outlineLevel="1">
      <c r="A286" s="916"/>
      <c r="B286" s="1123">
        <v>92</v>
      </c>
      <c r="C286" s="1127"/>
      <c r="D286" s="1125"/>
      <c r="E286" s="1125" t="s">
        <v>18</v>
      </c>
      <c r="F286" s="1130" t="str">
        <f>VLOOKUP(E286,$N$13:$O$17,2,0)</f>
        <v>-</v>
      </c>
      <c r="G286" s="92"/>
      <c r="H286" s="90"/>
      <c r="I286" s="1125"/>
      <c r="J286" s="1133"/>
      <c r="K286" s="1133"/>
      <c r="L286" s="916"/>
    </row>
    <row r="287" spans="1:12" s="103" customFormat="1" ht="15.75" hidden="1" customHeight="1" outlineLevel="1">
      <c r="A287" s="916"/>
      <c r="B287" s="1123"/>
      <c r="C287" s="1127"/>
      <c r="D287" s="1125"/>
      <c r="E287" s="1125"/>
      <c r="F287" s="1130"/>
      <c r="G287" s="95"/>
      <c r="H287" s="90"/>
      <c r="I287" s="1125"/>
      <c r="J287" s="1134"/>
      <c r="K287" s="1134"/>
      <c r="L287" s="916"/>
    </row>
    <row r="288" spans="1:12" s="103" customFormat="1" ht="15.75" hidden="1" customHeight="1" outlineLevel="1">
      <c r="A288" s="916"/>
      <c r="B288" s="1124"/>
      <c r="C288" s="1128"/>
      <c r="D288" s="1126"/>
      <c r="E288" s="1126"/>
      <c r="F288" s="1132"/>
      <c r="G288" s="100"/>
      <c r="H288" s="98"/>
      <c r="I288" s="1126"/>
      <c r="J288" s="1135"/>
      <c r="K288" s="1135"/>
      <c r="L288" s="916"/>
    </row>
    <row r="289" spans="1:12" s="103" customFormat="1" ht="15.75" hidden="1" customHeight="1" outlineLevel="1">
      <c r="A289" s="916"/>
      <c r="B289" s="1123">
        <v>93</v>
      </c>
      <c r="C289" s="1127"/>
      <c r="D289" s="1125"/>
      <c r="E289" s="1125" t="s">
        <v>18</v>
      </c>
      <c r="F289" s="1130" t="str">
        <f>VLOOKUP(E289,$N$13:$O$17,2,0)</f>
        <v>-</v>
      </c>
      <c r="G289" s="92"/>
      <c r="H289" s="90"/>
      <c r="I289" s="1125"/>
      <c r="J289" s="1133"/>
      <c r="K289" s="1133"/>
      <c r="L289" s="916"/>
    </row>
    <row r="290" spans="1:12" s="103" customFormat="1" ht="15.75" hidden="1" customHeight="1" outlineLevel="1">
      <c r="A290" s="916"/>
      <c r="B290" s="1123"/>
      <c r="C290" s="1127"/>
      <c r="D290" s="1125"/>
      <c r="E290" s="1125"/>
      <c r="F290" s="1130"/>
      <c r="G290" s="95"/>
      <c r="H290" s="90"/>
      <c r="I290" s="1125"/>
      <c r="J290" s="1134"/>
      <c r="K290" s="1134"/>
      <c r="L290" s="916"/>
    </row>
    <row r="291" spans="1:12" s="103" customFormat="1" ht="15.75" hidden="1" customHeight="1" outlineLevel="1">
      <c r="A291" s="916"/>
      <c r="B291" s="1124"/>
      <c r="C291" s="1128"/>
      <c r="D291" s="1126"/>
      <c r="E291" s="1126"/>
      <c r="F291" s="1132"/>
      <c r="G291" s="100"/>
      <c r="H291" s="98"/>
      <c r="I291" s="1126"/>
      <c r="J291" s="1135"/>
      <c r="K291" s="1135"/>
      <c r="L291" s="916"/>
    </row>
    <row r="292" spans="1:12" s="103" customFormat="1" ht="15.75" hidden="1" customHeight="1" outlineLevel="1">
      <c r="A292" s="916"/>
      <c r="B292" s="1123">
        <v>94</v>
      </c>
      <c r="C292" s="1127"/>
      <c r="D292" s="1125"/>
      <c r="E292" s="1125" t="s">
        <v>18</v>
      </c>
      <c r="F292" s="1130" t="str">
        <f>VLOOKUP(E292,$N$13:$O$17,2,0)</f>
        <v>-</v>
      </c>
      <c r="G292" s="92"/>
      <c r="H292" s="90"/>
      <c r="I292" s="1125"/>
      <c r="J292" s="1133"/>
      <c r="K292" s="1133"/>
      <c r="L292" s="916"/>
    </row>
    <row r="293" spans="1:12" s="103" customFormat="1" ht="15.75" hidden="1" customHeight="1" outlineLevel="1">
      <c r="A293" s="916"/>
      <c r="B293" s="1123"/>
      <c r="C293" s="1127"/>
      <c r="D293" s="1125"/>
      <c r="E293" s="1125"/>
      <c r="F293" s="1130"/>
      <c r="G293" s="95"/>
      <c r="H293" s="90"/>
      <c r="I293" s="1125"/>
      <c r="J293" s="1134"/>
      <c r="K293" s="1134"/>
      <c r="L293" s="916"/>
    </row>
    <row r="294" spans="1:12" s="103" customFormat="1" ht="15.75" hidden="1" customHeight="1" outlineLevel="1">
      <c r="A294" s="916"/>
      <c r="B294" s="1124"/>
      <c r="C294" s="1128"/>
      <c r="D294" s="1126"/>
      <c r="E294" s="1126"/>
      <c r="F294" s="1132"/>
      <c r="G294" s="100"/>
      <c r="H294" s="98"/>
      <c r="I294" s="1126"/>
      <c r="J294" s="1135"/>
      <c r="K294" s="1135"/>
      <c r="L294" s="916"/>
    </row>
    <row r="295" spans="1:12" s="103" customFormat="1" ht="15.75" hidden="1" customHeight="1" outlineLevel="1">
      <c r="A295" s="916"/>
      <c r="B295" s="1123">
        <v>95</v>
      </c>
      <c r="C295" s="1127"/>
      <c r="D295" s="1125"/>
      <c r="E295" s="1125" t="s">
        <v>18</v>
      </c>
      <c r="F295" s="1130" t="str">
        <f>VLOOKUP(E295,$N$13:$O$17,2,0)</f>
        <v>-</v>
      </c>
      <c r="G295" s="92"/>
      <c r="H295" s="90"/>
      <c r="I295" s="1125"/>
      <c r="J295" s="1133"/>
      <c r="K295" s="1133"/>
      <c r="L295" s="916"/>
    </row>
    <row r="296" spans="1:12" s="103" customFormat="1" ht="15.75" hidden="1" customHeight="1" outlineLevel="1">
      <c r="A296" s="916"/>
      <c r="B296" s="1123"/>
      <c r="C296" s="1127"/>
      <c r="D296" s="1125"/>
      <c r="E296" s="1125"/>
      <c r="F296" s="1130"/>
      <c r="G296" s="95"/>
      <c r="H296" s="90"/>
      <c r="I296" s="1125"/>
      <c r="J296" s="1134"/>
      <c r="K296" s="1134"/>
      <c r="L296" s="916"/>
    </row>
    <row r="297" spans="1:12" s="103" customFormat="1" ht="15.75" hidden="1" customHeight="1" outlineLevel="1">
      <c r="A297" s="916"/>
      <c r="B297" s="1124"/>
      <c r="C297" s="1128"/>
      <c r="D297" s="1126"/>
      <c r="E297" s="1126"/>
      <c r="F297" s="1132"/>
      <c r="G297" s="100"/>
      <c r="H297" s="98"/>
      <c r="I297" s="1126"/>
      <c r="J297" s="1135"/>
      <c r="K297" s="1135"/>
      <c r="L297" s="916"/>
    </row>
    <row r="298" spans="1:12" s="103" customFormat="1" ht="15.75" hidden="1" customHeight="1" outlineLevel="1">
      <c r="A298" s="916"/>
      <c r="B298" s="1123">
        <v>96</v>
      </c>
      <c r="C298" s="1127"/>
      <c r="D298" s="1125"/>
      <c r="E298" s="1125" t="s">
        <v>18</v>
      </c>
      <c r="F298" s="1130" t="str">
        <f>VLOOKUP(E298,$N$13:$O$17,2,0)</f>
        <v>-</v>
      </c>
      <c r="G298" s="92"/>
      <c r="H298" s="90"/>
      <c r="I298" s="1125"/>
      <c r="J298" s="1133"/>
      <c r="K298" s="1133"/>
      <c r="L298" s="916"/>
    </row>
    <row r="299" spans="1:12" s="103" customFormat="1" ht="15.75" hidden="1" customHeight="1" outlineLevel="1">
      <c r="A299" s="916"/>
      <c r="B299" s="1123"/>
      <c r="C299" s="1127"/>
      <c r="D299" s="1125"/>
      <c r="E299" s="1125"/>
      <c r="F299" s="1130"/>
      <c r="G299" s="95"/>
      <c r="H299" s="90"/>
      <c r="I299" s="1125"/>
      <c r="J299" s="1134"/>
      <c r="K299" s="1134"/>
      <c r="L299" s="916"/>
    </row>
    <row r="300" spans="1:12" s="103" customFormat="1" ht="15.75" hidden="1" customHeight="1" outlineLevel="1">
      <c r="A300" s="916"/>
      <c r="B300" s="1124"/>
      <c r="C300" s="1128"/>
      <c r="D300" s="1126"/>
      <c r="E300" s="1126"/>
      <c r="F300" s="1132"/>
      <c r="G300" s="100"/>
      <c r="H300" s="98"/>
      <c r="I300" s="1126"/>
      <c r="J300" s="1135"/>
      <c r="K300" s="1135"/>
      <c r="L300" s="916"/>
    </row>
    <row r="301" spans="1:12" s="103" customFormat="1" ht="15.75" hidden="1" customHeight="1" outlineLevel="1">
      <c r="A301" s="916"/>
      <c r="B301" s="1123">
        <v>97</v>
      </c>
      <c r="C301" s="1127"/>
      <c r="D301" s="1125"/>
      <c r="E301" s="1125" t="s">
        <v>18</v>
      </c>
      <c r="F301" s="1130" t="str">
        <f>VLOOKUP(E301,$N$13:$O$17,2,0)</f>
        <v>-</v>
      </c>
      <c r="G301" s="92"/>
      <c r="H301" s="90"/>
      <c r="I301" s="1125"/>
      <c r="J301" s="1133"/>
      <c r="K301" s="1133"/>
      <c r="L301" s="916"/>
    </row>
    <row r="302" spans="1:12" s="103" customFormat="1" ht="15.75" hidden="1" customHeight="1" outlineLevel="1">
      <c r="A302" s="916"/>
      <c r="B302" s="1123"/>
      <c r="C302" s="1127"/>
      <c r="D302" s="1125"/>
      <c r="E302" s="1125"/>
      <c r="F302" s="1130"/>
      <c r="G302" s="95"/>
      <c r="H302" s="90"/>
      <c r="I302" s="1125"/>
      <c r="J302" s="1134"/>
      <c r="K302" s="1134"/>
      <c r="L302" s="916"/>
    </row>
    <row r="303" spans="1:12" s="103" customFormat="1" ht="15.75" hidden="1" customHeight="1" outlineLevel="1">
      <c r="A303" s="916"/>
      <c r="B303" s="1124"/>
      <c r="C303" s="1128"/>
      <c r="D303" s="1126"/>
      <c r="E303" s="1126"/>
      <c r="F303" s="1132"/>
      <c r="G303" s="100"/>
      <c r="H303" s="98"/>
      <c r="I303" s="1126"/>
      <c r="J303" s="1135"/>
      <c r="K303" s="1135"/>
      <c r="L303" s="916"/>
    </row>
    <row r="304" spans="1:12" s="103" customFormat="1" ht="15.75" hidden="1" customHeight="1" outlineLevel="1">
      <c r="A304" s="916"/>
      <c r="B304" s="1123">
        <v>98</v>
      </c>
      <c r="C304" s="1127"/>
      <c r="D304" s="1125"/>
      <c r="E304" s="1125" t="s">
        <v>18</v>
      </c>
      <c r="F304" s="1130" t="str">
        <f>VLOOKUP(E304,$N$13:$O$17,2,0)</f>
        <v>-</v>
      </c>
      <c r="G304" s="92"/>
      <c r="H304" s="90"/>
      <c r="I304" s="1125"/>
      <c r="J304" s="1133"/>
      <c r="K304" s="1133"/>
      <c r="L304" s="916"/>
    </row>
    <row r="305" spans="1:12" s="103" customFormat="1" ht="15.75" hidden="1" customHeight="1" outlineLevel="1">
      <c r="A305" s="916"/>
      <c r="B305" s="1123"/>
      <c r="C305" s="1127"/>
      <c r="D305" s="1125"/>
      <c r="E305" s="1125"/>
      <c r="F305" s="1130"/>
      <c r="G305" s="95"/>
      <c r="H305" s="90"/>
      <c r="I305" s="1125"/>
      <c r="J305" s="1134"/>
      <c r="K305" s="1134"/>
      <c r="L305" s="916"/>
    </row>
    <row r="306" spans="1:12" s="103" customFormat="1" ht="15.75" hidden="1" customHeight="1" outlineLevel="1">
      <c r="A306" s="916"/>
      <c r="B306" s="1124"/>
      <c r="C306" s="1128"/>
      <c r="D306" s="1126"/>
      <c r="E306" s="1126"/>
      <c r="F306" s="1132"/>
      <c r="G306" s="100"/>
      <c r="H306" s="98"/>
      <c r="I306" s="1126"/>
      <c r="J306" s="1135"/>
      <c r="K306" s="1135"/>
      <c r="L306" s="916"/>
    </row>
    <row r="307" spans="1:12" s="103" customFormat="1" ht="15.75" hidden="1" customHeight="1" outlineLevel="1">
      <c r="A307" s="916"/>
      <c r="B307" s="1123">
        <v>99</v>
      </c>
      <c r="C307" s="1127"/>
      <c r="D307" s="1125"/>
      <c r="E307" s="1125" t="s">
        <v>18</v>
      </c>
      <c r="F307" s="1130" t="str">
        <f>VLOOKUP(E307,$N$13:$O$17,2,0)</f>
        <v>-</v>
      </c>
      <c r="G307" s="92"/>
      <c r="H307" s="90"/>
      <c r="I307" s="1125"/>
      <c r="J307" s="1133"/>
      <c r="K307" s="1133"/>
      <c r="L307" s="916"/>
    </row>
    <row r="308" spans="1:12" s="103" customFormat="1" ht="15.75" hidden="1" customHeight="1" outlineLevel="1">
      <c r="A308" s="916"/>
      <c r="B308" s="1123"/>
      <c r="C308" s="1127"/>
      <c r="D308" s="1125"/>
      <c r="E308" s="1125"/>
      <c r="F308" s="1130"/>
      <c r="G308" s="95"/>
      <c r="H308" s="90"/>
      <c r="I308" s="1125"/>
      <c r="J308" s="1134"/>
      <c r="K308" s="1134"/>
      <c r="L308" s="916"/>
    </row>
    <row r="309" spans="1:12" s="103" customFormat="1" ht="15.75" hidden="1" customHeight="1" outlineLevel="1">
      <c r="A309" s="916"/>
      <c r="B309" s="1124"/>
      <c r="C309" s="1128"/>
      <c r="D309" s="1126"/>
      <c r="E309" s="1126"/>
      <c r="F309" s="1132"/>
      <c r="G309" s="100"/>
      <c r="H309" s="98"/>
      <c r="I309" s="1126"/>
      <c r="J309" s="1135"/>
      <c r="K309" s="1135"/>
      <c r="L309" s="916"/>
    </row>
    <row r="310" spans="1:12" s="103" customFormat="1" ht="15.75" hidden="1" customHeight="1" outlineLevel="1">
      <c r="A310" s="916"/>
      <c r="B310" s="1123">
        <v>100</v>
      </c>
      <c r="C310" s="1127"/>
      <c r="D310" s="1125"/>
      <c r="E310" s="1125" t="s">
        <v>18</v>
      </c>
      <c r="F310" s="1130" t="str">
        <f>VLOOKUP(E310,$N$13:$O$17,2,0)</f>
        <v>-</v>
      </c>
      <c r="G310" s="92"/>
      <c r="H310" s="90"/>
      <c r="I310" s="1125"/>
      <c r="J310" s="1133"/>
      <c r="K310" s="1133"/>
      <c r="L310" s="916"/>
    </row>
    <row r="311" spans="1:12" s="103" customFormat="1" ht="15.75" hidden="1" customHeight="1" outlineLevel="1">
      <c r="A311" s="916"/>
      <c r="B311" s="1123"/>
      <c r="C311" s="1127"/>
      <c r="D311" s="1125"/>
      <c r="E311" s="1125"/>
      <c r="F311" s="1130"/>
      <c r="G311" s="95"/>
      <c r="H311" s="90"/>
      <c r="I311" s="1125"/>
      <c r="J311" s="1134"/>
      <c r="K311" s="1134"/>
      <c r="L311" s="916"/>
    </row>
    <row r="312" spans="1:12" s="103" customFormat="1" ht="15.75" hidden="1" customHeight="1" outlineLevel="1">
      <c r="A312" s="916"/>
      <c r="B312" s="1124"/>
      <c r="C312" s="1128"/>
      <c r="D312" s="1126"/>
      <c r="E312" s="1126"/>
      <c r="F312" s="1132"/>
      <c r="G312" s="100"/>
      <c r="H312" s="98"/>
      <c r="I312" s="1126"/>
      <c r="J312" s="1135"/>
      <c r="K312" s="1135"/>
      <c r="L312" s="916"/>
    </row>
    <row r="313" spans="1:12" s="103" customFormat="1" ht="15.75" hidden="1" customHeight="1" outlineLevel="1">
      <c r="A313" s="916"/>
      <c r="B313" s="1123">
        <v>101</v>
      </c>
      <c r="C313" s="1127"/>
      <c r="D313" s="1125"/>
      <c r="E313" s="1125" t="s">
        <v>18</v>
      </c>
      <c r="F313" s="1130" t="str">
        <f>VLOOKUP(E313,$N$13:$O$17,2,0)</f>
        <v>-</v>
      </c>
      <c r="G313" s="92"/>
      <c r="H313" s="90"/>
      <c r="I313" s="1125"/>
      <c r="J313" s="1133"/>
      <c r="K313" s="1133"/>
      <c r="L313" s="916"/>
    </row>
    <row r="314" spans="1:12" s="103" customFormat="1" ht="15.75" hidden="1" customHeight="1" outlineLevel="1">
      <c r="A314" s="916"/>
      <c r="B314" s="1123"/>
      <c r="C314" s="1127"/>
      <c r="D314" s="1125"/>
      <c r="E314" s="1125"/>
      <c r="F314" s="1130"/>
      <c r="G314" s="95"/>
      <c r="H314" s="90"/>
      <c r="I314" s="1125"/>
      <c r="J314" s="1134"/>
      <c r="K314" s="1134"/>
      <c r="L314" s="916"/>
    </row>
    <row r="315" spans="1:12" s="103" customFormat="1" ht="15.75" hidden="1" customHeight="1" outlineLevel="1">
      <c r="A315" s="916"/>
      <c r="B315" s="1124"/>
      <c r="C315" s="1128"/>
      <c r="D315" s="1126"/>
      <c r="E315" s="1126"/>
      <c r="F315" s="1132"/>
      <c r="G315" s="100"/>
      <c r="H315" s="98"/>
      <c r="I315" s="1126"/>
      <c r="J315" s="1135"/>
      <c r="K315" s="1135"/>
      <c r="L315" s="916"/>
    </row>
    <row r="316" spans="1:12" s="103" customFormat="1" ht="15.75" hidden="1" customHeight="1" outlineLevel="1">
      <c r="A316" s="916"/>
      <c r="B316" s="1123">
        <v>102</v>
      </c>
      <c r="C316" s="1127"/>
      <c r="D316" s="1125"/>
      <c r="E316" s="1125" t="s">
        <v>18</v>
      </c>
      <c r="F316" s="1130" t="str">
        <f>VLOOKUP(E316,$N$13:$O$17,2,0)</f>
        <v>-</v>
      </c>
      <c r="G316" s="92"/>
      <c r="H316" s="90"/>
      <c r="I316" s="1125"/>
      <c r="J316" s="1133"/>
      <c r="K316" s="1133"/>
      <c r="L316" s="916"/>
    </row>
    <row r="317" spans="1:12" s="103" customFormat="1" ht="15.75" hidden="1" customHeight="1" outlineLevel="1">
      <c r="A317" s="916"/>
      <c r="B317" s="1123"/>
      <c r="C317" s="1127"/>
      <c r="D317" s="1125"/>
      <c r="E317" s="1125"/>
      <c r="F317" s="1130"/>
      <c r="G317" s="95"/>
      <c r="H317" s="90"/>
      <c r="I317" s="1125"/>
      <c r="J317" s="1134"/>
      <c r="K317" s="1134"/>
      <c r="L317" s="916"/>
    </row>
    <row r="318" spans="1:12" s="103" customFormat="1" ht="15.75" hidden="1" customHeight="1" outlineLevel="1">
      <c r="A318" s="916"/>
      <c r="B318" s="1124"/>
      <c r="C318" s="1128"/>
      <c r="D318" s="1126"/>
      <c r="E318" s="1126"/>
      <c r="F318" s="1132"/>
      <c r="G318" s="100"/>
      <c r="H318" s="98"/>
      <c r="I318" s="1126"/>
      <c r="J318" s="1135"/>
      <c r="K318" s="1135"/>
      <c r="L318" s="916"/>
    </row>
    <row r="319" spans="1:12" s="103" customFormat="1" ht="15.75" hidden="1" customHeight="1" outlineLevel="1">
      <c r="A319" s="916"/>
      <c r="B319" s="1123">
        <v>103</v>
      </c>
      <c r="C319" s="1127"/>
      <c r="D319" s="1125"/>
      <c r="E319" s="1125" t="s">
        <v>18</v>
      </c>
      <c r="F319" s="1130" t="str">
        <f>VLOOKUP(E319,$N$13:$O$17,2,0)</f>
        <v>-</v>
      </c>
      <c r="G319" s="92"/>
      <c r="H319" s="90"/>
      <c r="I319" s="1125"/>
      <c r="J319" s="1133"/>
      <c r="K319" s="1133"/>
      <c r="L319" s="916"/>
    </row>
    <row r="320" spans="1:12" s="103" customFormat="1" ht="15.75" hidden="1" customHeight="1" outlineLevel="1">
      <c r="A320" s="916"/>
      <c r="B320" s="1123"/>
      <c r="C320" s="1127"/>
      <c r="D320" s="1125"/>
      <c r="E320" s="1125"/>
      <c r="F320" s="1130"/>
      <c r="G320" s="95"/>
      <c r="H320" s="90"/>
      <c r="I320" s="1125"/>
      <c r="J320" s="1134"/>
      <c r="K320" s="1134"/>
      <c r="L320" s="916"/>
    </row>
    <row r="321" spans="1:12" s="103" customFormat="1" ht="15.75" hidden="1" customHeight="1" outlineLevel="1">
      <c r="A321" s="916"/>
      <c r="B321" s="1124"/>
      <c r="C321" s="1128"/>
      <c r="D321" s="1126"/>
      <c r="E321" s="1126"/>
      <c r="F321" s="1132"/>
      <c r="G321" s="100"/>
      <c r="H321" s="98"/>
      <c r="I321" s="1126"/>
      <c r="J321" s="1135"/>
      <c r="K321" s="1135"/>
      <c r="L321" s="916"/>
    </row>
    <row r="322" spans="1:12" s="103" customFormat="1" ht="15.75" hidden="1" customHeight="1" outlineLevel="1">
      <c r="A322" s="916"/>
      <c r="B322" s="1123">
        <v>104</v>
      </c>
      <c r="C322" s="1127"/>
      <c r="D322" s="1125"/>
      <c r="E322" s="1125" t="s">
        <v>18</v>
      </c>
      <c r="F322" s="1130" t="str">
        <f>VLOOKUP(E322,$N$13:$O$17,2,0)</f>
        <v>-</v>
      </c>
      <c r="G322" s="92"/>
      <c r="H322" s="90"/>
      <c r="I322" s="1125"/>
      <c r="J322" s="1133"/>
      <c r="K322" s="1133"/>
      <c r="L322" s="916"/>
    </row>
    <row r="323" spans="1:12" s="103" customFormat="1" ht="15.75" hidden="1" customHeight="1" outlineLevel="1">
      <c r="A323" s="916"/>
      <c r="B323" s="1123"/>
      <c r="C323" s="1127"/>
      <c r="D323" s="1125"/>
      <c r="E323" s="1125"/>
      <c r="F323" s="1130"/>
      <c r="G323" s="95"/>
      <c r="H323" s="90"/>
      <c r="I323" s="1125"/>
      <c r="J323" s="1134"/>
      <c r="K323" s="1134"/>
      <c r="L323" s="916"/>
    </row>
    <row r="324" spans="1:12" s="103" customFormat="1" ht="15.75" hidden="1" customHeight="1" outlineLevel="1">
      <c r="A324" s="916"/>
      <c r="B324" s="1124"/>
      <c r="C324" s="1128"/>
      <c r="D324" s="1126"/>
      <c r="E324" s="1126"/>
      <c r="F324" s="1132"/>
      <c r="G324" s="100"/>
      <c r="H324" s="98"/>
      <c r="I324" s="1126"/>
      <c r="J324" s="1135"/>
      <c r="K324" s="1135"/>
      <c r="L324" s="916"/>
    </row>
    <row r="325" spans="1:12" s="103" customFormat="1" ht="15.75" hidden="1" customHeight="1" outlineLevel="1">
      <c r="A325" s="916"/>
      <c r="B325" s="1123">
        <v>105</v>
      </c>
      <c r="C325" s="1127"/>
      <c r="D325" s="1125"/>
      <c r="E325" s="1125" t="s">
        <v>18</v>
      </c>
      <c r="F325" s="1130" t="str">
        <f>VLOOKUP(E325,$N$13:$O$17,2,0)</f>
        <v>-</v>
      </c>
      <c r="G325" s="92"/>
      <c r="H325" s="90"/>
      <c r="I325" s="1125"/>
      <c r="J325" s="1133"/>
      <c r="K325" s="1133"/>
      <c r="L325" s="916"/>
    </row>
    <row r="326" spans="1:12" s="103" customFormat="1" ht="15.75" hidden="1" customHeight="1" outlineLevel="1">
      <c r="A326" s="916"/>
      <c r="B326" s="1123"/>
      <c r="C326" s="1127"/>
      <c r="D326" s="1125"/>
      <c r="E326" s="1125"/>
      <c r="F326" s="1130"/>
      <c r="G326" s="95"/>
      <c r="H326" s="90"/>
      <c r="I326" s="1125"/>
      <c r="J326" s="1134"/>
      <c r="K326" s="1134"/>
      <c r="L326" s="916"/>
    </row>
    <row r="327" spans="1:12" s="103" customFormat="1" ht="15.75" hidden="1" customHeight="1" outlineLevel="1">
      <c r="A327" s="916"/>
      <c r="B327" s="1124"/>
      <c r="C327" s="1128"/>
      <c r="D327" s="1126"/>
      <c r="E327" s="1126"/>
      <c r="F327" s="1132"/>
      <c r="G327" s="100"/>
      <c r="H327" s="98"/>
      <c r="I327" s="1126"/>
      <c r="J327" s="1135"/>
      <c r="K327" s="1135"/>
      <c r="L327" s="916"/>
    </row>
    <row r="328" spans="1:12" s="103" customFormat="1" ht="15.75" hidden="1" customHeight="1" outlineLevel="1">
      <c r="A328" s="916"/>
      <c r="B328" s="1123">
        <v>106</v>
      </c>
      <c r="C328" s="1127"/>
      <c r="D328" s="1125"/>
      <c r="E328" s="1125" t="s">
        <v>18</v>
      </c>
      <c r="F328" s="1130" t="str">
        <f>VLOOKUP(E328,$N$13:$O$17,2,0)</f>
        <v>-</v>
      </c>
      <c r="G328" s="92"/>
      <c r="H328" s="90"/>
      <c r="I328" s="1125"/>
      <c r="J328" s="1133"/>
      <c r="K328" s="1133"/>
      <c r="L328" s="916"/>
    </row>
    <row r="329" spans="1:12" s="103" customFormat="1" ht="15.75" hidden="1" customHeight="1" outlineLevel="1">
      <c r="A329" s="916"/>
      <c r="B329" s="1123"/>
      <c r="C329" s="1127"/>
      <c r="D329" s="1125"/>
      <c r="E329" s="1125"/>
      <c r="F329" s="1130"/>
      <c r="G329" s="95"/>
      <c r="H329" s="90"/>
      <c r="I329" s="1125"/>
      <c r="J329" s="1134"/>
      <c r="K329" s="1134"/>
      <c r="L329" s="916"/>
    </row>
    <row r="330" spans="1:12" s="103" customFormat="1" ht="15.75" hidden="1" customHeight="1" outlineLevel="1">
      <c r="A330" s="916"/>
      <c r="B330" s="1124"/>
      <c r="C330" s="1128"/>
      <c r="D330" s="1126"/>
      <c r="E330" s="1126"/>
      <c r="F330" s="1132"/>
      <c r="G330" s="100"/>
      <c r="H330" s="98"/>
      <c r="I330" s="1126"/>
      <c r="J330" s="1135"/>
      <c r="K330" s="1135"/>
      <c r="L330" s="916"/>
    </row>
    <row r="331" spans="1:12" s="103" customFormat="1" ht="15.75" hidden="1" customHeight="1" outlineLevel="1">
      <c r="A331" s="916"/>
      <c r="B331" s="1123">
        <v>107</v>
      </c>
      <c r="C331" s="1127"/>
      <c r="D331" s="1125"/>
      <c r="E331" s="1125" t="s">
        <v>18</v>
      </c>
      <c r="F331" s="1130" t="str">
        <f>VLOOKUP(E331,$N$13:$O$17,2,0)</f>
        <v>-</v>
      </c>
      <c r="G331" s="92"/>
      <c r="H331" s="90"/>
      <c r="I331" s="1125"/>
      <c r="J331" s="1133"/>
      <c r="K331" s="1133"/>
      <c r="L331" s="916"/>
    </row>
    <row r="332" spans="1:12" s="103" customFormat="1" ht="15.75" hidden="1" customHeight="1" outlineLevel="1">
      <c r="A332" s="916"/>
      <c r="B332" s="1123"/>
      <c r="C332" s="1127"/>
      <c r="D332" s="1125"/>
      <c r="E332" s="1125"/>
      <c r="F332" s="1130"/>
      <c r="G332" s="95"/>
      <c r="H332" s="90"/>
      <c r="I332" s="1125"/>
      <c r="J332" s="1134"/>
      <c r="K332" s="1134"/>
      <c r="L332" s="916"/>
    </row>
    <row r="333" spans="1:12" s="103" customFormat="1" ht="15.75" hidden="1" customHeight="1" outlineLevel="1">
      <c r="A333" s="916"/>
      <c r="B333" s="1124"/>
      <c r="C333" s="1128"/>
      <c r="D333" s="1126"/>
      <c r="E333" s="1126"/>
      <c r="F333" s="1132"/>
      <c r="G333" s="100"/>
      <c r="H333" s="98"/>
      <c r="I333" s="1126"/>
      <c r="J333" s="1135"/>
      <c r="K333" s="1135"/>
      <c r="L333" s="916"/>
    </row>
    <row r="334" spans="1:12" s="103" customFormat="1" ht="15.75" hidden="1" customHeight="1" outlineLevel="1">
      <c r="A334" s="916"/>
      <c r="B334" s="1123">
        <v>108</v>
      </c>
      <c r="C334" s="1127"/>
      <c r="D334" s="1125"/>
      <c r="E334" s="1125" t="s">
        <v>18</v>
      </c>
      <c r="F334" s="1130" t="str">
        <f>VLOOKUP(E334,$N$13:$O$17,2,0)</f>
        <v>-</v>
      </c>
      <c r="G334" s="92"/>
      <c r="H334" s="90"/>
      <c r="I334" s="1125"/>
      <c r="J334" s="1133"/>
      <c r="K334" s="1133"/>
      <c r="L334" s="916"/>
    </row>
    <row r="335" spans="1:12" s="103" customFormat="1" ht="15.75" hidden="1" customHeight="1" outlineLevel="1">
      <c r="A335" s="916"/>
      <c r="B335" s="1123"/>
      <c r="C335" s="1127"/>
      <c r="D335" s="1125"/>
      <c r="E335" s="1125"/>
      <c r="F335" s="1130"/>
      <c r="G335" s="95"/>
      <c r="H335" s="90"/>
      <c r="I335" s="1125"/>
      <c r="J335" s="1134"/>
      <c r="K335" s="1134"/>
      <c r="L335" s="916"/>
    </row>
    <row r="336" spans="1:12" s="103" customFormat="1" ht="15.75" hidden="1" customHeight="1" outlineLevel="1">
      <c r="A336" s="916"/>
      <c r="B336" s="1124"/>
      <c r="C336" s="1128"/>
      <c r="D336" s="1126"/>
      <c r="E336" s="1126"/>
      <c r="F336" s="1132"/>
      <c r="G336" s="100"/>
      <c r="H336" s="98"/>
      <c r="I336" s="1126"/>
      <c r="J336" s="1135"/>
      <c r="K336" s="1135"/>
      <c r="L336" s="916"/>
    </row>
    <row r="337" spans="1:12" s="103" customFormat="1" ht="15.75" hidden="1" customHeight="1" outlineLevel="1">
      <c r="A337" s="916"/>
      <c r="B337" s="1123">
        <v>109</v>
      </c>
      <c r="C337" s="1127"/>
      <c r="D337" s="1125"/>
      <c r="E337" s="1125" t="s">
        <v>18</v>
      </c>
      <c r="F337" s="1130" t="str">
        <f>VLOOKUP(E337,$N$13:$O$17,2,0)</f>
        <v>-</v>
      </c>
      <c r="G337" s="92"/>
      <c r="H337" s="90"/>
      <c r="I337" s="1125"/>
      <c r="J337" s="1133"/>
      <c r="K337" s="1133"/>
      <c r="L337" s="916"/>
    </row>
    <row r="338" spans="1:12" s="103" customFormat="1" ht="15.75" hidden="1" customHeight="1" outlineLevel="1">
      <c r="A338" s="916"/>
      <c r="B338" s="1123"/>
      <c r="C338" s="1127"/>
      <c r="D338" s="1125"/>
      <c r="E338" s="1125"/>
      <c r="F338" s="1130"/>
      <c r="G338" s="95"/>
      <c r="H338" s="90"/>
      <c r="I338" s="1125"/>
      <c r="J338" s="1134"/>
      <c r="K338" s="1134"/>
      <c r="L338" s="916"/>
    </row>
    <row r="339" spans="1:12" s="103" customFormat="1" ht="15.75" hidden="1" customHeight="1" outlineLevel="1">
      <c r="A339" s="916"/>
      <c r="B339" s="1124"/>
      <c r="C339" s="1128"/>
      <c r="D339" s="1126"/>
      <c r="E339" s="1126"/>
      <c r="F339" s="1132"/>
      <c r="G339" s="100"/>
      <c r="H339" s="98"/>
      <c r="I339" s="1126"/>
      <c r="J339" s="1135"/>
      <c r="K339" s="1135"/>
      <c r="L339" s="916"/>
    </row>
    <row r="340" spans="1:12" s="103" customFormat="1" ht="15.75" hidden="1" customHeight="1" outlineLevel="1">
      <c r="A340" s="916"/>
      <c r="B340" s="1123">
        <v>110</v>
      </c>
      <c r="C340" s="1127"/>
      <c r="D340" s="1125"/>
      <c r="E340" s="1125" t="s">
        <v>18</v>
      </c>
      <c r="F340" s="1130" t="str">
        <f>VLOOKUP(E340,$N$13:$O$17,2,0)</f>
        <v>-</v>
      </c>
      <c r="G340" s="92"/>
      <c r="H340" s="90"/>
      <c r="I340" s="1125"/>
      <c r="J340" s="1133"/>
      <c r="K340" s="1133"/>
      <c r="L340" s="916"/>
    </row>
    <row r="341" spans="1:12" s="103" customFormat="1" ht="15.75" hidden="1" customHeight="1" outlineLevel="1">
      <c r="A341" s="916"/>
      <c r="B341" s="1123"/>
      <c r="C341" s="1127"/>
      <c r="D341" s="1125"/>
      <c r="E341" s="1125"/>
      <c r="F341" s="1130"/>
      <c r="G341" s="95"/>
      <c r="H341" s="90"/>
      <c r="I341" s="1125"/>
      <c r="J341" s="1134"/>
      <c r="K341" s="1134"/>
      <c r="L341" s="916"/>
    </row>
    <row r="342" spans="1:12" s="103" customFormat="1" ht="15.75" hidden="1" customHeight="1" outlineLevel="1">
      <c r="A342" s="916"/>
      <c r="B342" s="1124"/>
      <c r="C342" s="1128"/>
      <c r="D342" s="1126"/>
      <c r="E342" s="1126"/>
      <c r="F342" s="1132"/>
      <c r="G342" s="100"/>
      <c r="H342" s="98"/>
      <c r="I342" s="1126"/>
      <c r="J342" s="1135"/>
      <c r="K342" s="1135"/>
      <c r="L342" s="916"/>
    </row>
    <row r="343" spans="1:12" s="103" customFormat="1" ht="15.75" hidden="1" customHeight="1" outlineLevel="1">
      <c r="A343" s="916"/>
      <c r="B343" s="1123">
        <v>111</v>
      </c>
      <c r="C343" s="1127"/>
      <c r="D343" s="1125"/>
      <c r="E343" s="1125" t="s">
        <v>18</v>
      </c>
      <c r="F343" s="1130" t="str">
        <f>VLOOKUP(E343,$N$13:$O$17,2,0)</f>
        <v>-</v>
      </c>
      <c r="G343" s="92"/>
      <c r="H343" s="90"/>
      <c r="I343" s="1125"/>
      <c r="J343" s="1133"/>
      <c r="K343" s="1133"/>
      <c r="L343" s="916"/>
    </row>
    <row r="344" spans="1:12" s="103" customFormat="1" ht="15.75" hidden="1" customHeight="1" outlineLevel="1">
      <c r="A344" s="916"/>
      <c r="B344" s="1123"/>
      <c r="C344" s="1127"/>
      <c r="D344" s="1125"/>
      <c r="E344" s="1125"/>
      <c r="F344" s="1130"/>
      <c r="G344" s="95"/>
      <c r="H344" s="90"/>
      <c r="I344" s="1125"/>
      <c r="J344" s="1134"/>
      <c r="K344" s="1134"/>
      <c r="L344" s="916"/>
    </row>
    <row r="345" spans="1:12" s="103" customFormat="1" ht="15.75" hidden="1" customHeight="1" outlineLevel="1">
      <c r="A345" s="916"/>
      <c r="B345" s="1124"/>
      <c r="C345" s="1128"/>
      <c r="D345" s="1126"/>
      <c r="E345" s="1126"/>
      <c r="F345" s="1132"/>
      <c r="G345" s="100"/>
      <c r="H345" s="98"/>
      <c r="I345" s="1126"/>
      <c r="J345" s="1135"/>
      <c r="K345" s="1135"/>
      <c r="L345" s="916"/>
    </row>
    <row r="346" spans="1:12" s="103" customFormat="1" ht="15.75" hidden="1" customHeight="1" outlineLevel="1">
      <c r="A346" s="916"/>
      <c r="B346" s="1123">
        <v>112</v>
      </c>
      <c r="C346" s="1127"/>
      <c r="D346" s="1125"/>
      <c r="E346" s="1125" t="s">
        <v>18</v>
      </c>
      <c r="F346" s="1130" t="str">
        <f>VLOOKUP(E346,$N$13:$O$17,2,0)</f>
        <v>-</v>
      </c>
      <c r="G346" s="92"/>
      <c r="H346" s="90"/>
      <c r="I346" s="1125"/>
      <c r="J346" s="1133"/>
      <c r="K346" s="1133"/>
      <c r="L346" s="916"/>
    </row>
    <row r="347" spans="1:12" s="103" customFormat="1" ht="15.75" hidden="1" customHeight="1" outlineLevel="1">
      <c r="A347" s="916"/>
      <c r="B347" s="1123"/>
      <c r="C347" s="1127"/>
      <c r="D347" s="1125"/>
      <c r="E347" s="1125"/>
      <c r="F347" s="1130"/>
      <c r="G347" s="95"/>
      <c r="H347" s="90"/>
      <c r="I347" s="1125"/>
      <c r="J347" s="1134"/>
      <c r="K347" s="1134"/>
      <c r="L347" s="916"/>
    </row>
    <row r="348" spans="1:12" s="103" customFormat="1" ht="15.75" hidden="1" customHeight="1" outlineLevel="1">
      <c r="A348" s="916"/>
      <c r="B348" s="1124"/>
      <c r="C348" s="1128"/>
      <c r="D348" s="1126"/>
      <c r="E348" s="1126"/>
      <c r="F348" s="1132"/>
      <c r="G348" s="100"/>
      <c r="H348" s="98"/>
      <c r="I348" s="1126"/>
      <c r="J348" s="1135"/>
      <c r="K348" s="1135"/>
      <c r="L348" s="916"/>
    </row>
    <row r="349" spans="1:12" s="103" customFormat="1" ht="15.75" hidden="1" customHeight="1" outlineLevel="1">
      <c r="A349" s="916"/>
      <c r="B349" s="1123">
        <v>113</v>
      </c>
      <c r="C349" s="1127"/>
      <c r="D349" s="1125"/>
      <c r="E349" s="1125" t="s">
        <v>18</v>
      </c>
      <c r="F349" s="1130" t="str">
        <f>VLOOKUP(E349,$N$13:$O$17,2,0)</f>
        <v>-</v>
      </c>
      <c r="G349" s="92"/>
      <c r="H349" s="90"/>
      <c r="I349" s="1125"/>
      <c r="J349" s="1133"/>
      <c r="K349" s="1133"/>
      <c r="L349" s="916"/>
    </row>
    <row r="350" spans="1:12" s="103" customFormat="1" ht="15.75" hidden="1" customHeight="1" outlineLevel="1">
      <c r="A350" s="916"/>
      <c r="B350" s="1123"/>
      <c r="C350" s="1127"/>
      <c r="D350" s="1125"/>
      <c r="E350" s="1125"/>
      <c r="F350" s="1130"/>
      <c r="G350" s="95"/>
      <c r="H350" s="90"/>
      <c r="I350" s="1125"/>
      <c r="J350" s="1134"/>
      <c r="K350" s="1134"/>
      <c r="L350" s="916"/>
    </row>
    <row r="351" spans="1:12" s="103" customFormat="1" ht="15.75" hidden="1" customHeight="1" outlineLevel="1">
      <c r="A351" s="916"/>
      <c r="B351" s="1124"/>
      <c r="C351" s="1128"/>
      <c r="D351" s="1126"/>
      <c r="E351" s="1126"/>
      <c r="F351" s="1132"/>
      <c r="G351" s="100"/>
      <c r="H351" s="98"/>
      <c r="I351" s="1126"/>
      <c r="J351" s="1135"/>
      <c r="K351" s="1135"/>
      <c r="L351" s="916"/>
    </row>
    <row r="352" spans="1:12" s="103" customFormat="1" ht="15.75" hidden="1" customHeight="1" outlineLevel="1">
      <c r="A352" s="916"/>
      <c r="B352" s="1123">
        <v>114</v>
      </c>
      <c r="C352" s="1127"/>
      <c r="D352" s="1125"/>
      <c r="E352" s="1125" t="s">
        <v>18</v>
      </c>
      <c r="F352" s="1130" t="str">
        <f>VLOOKUP(E352,$N$13:$O$17,2,0)</f>
        <v>-</v>
      </c>
      <c r="G352" s="92"/>
      <c r="H352" s="90"/>
      <c r="I352" s="1125"/>
      <c r="J352" s="1133"/>
      <c r="K352" s="1133"/>
      <c r="L352" s="916"/>
    </row>
    <row r="353" spans="1:12" s="103" customFormat="1" ht="15.75" hidden="1" customHeight="1" outlineLevel="1">
      <c r="A353" s="916"/>
      <c r="B353" s="1123"/>
      <c r="C353" s="1127"/>
      <c r="D353" s="1125"/>
      <c r="E353" s="1125"/>
      <c r="F353" s="1130"/>
      <c r="G353" s="95"/>
      <c r="H353" s="90"/>
      <c r="I353" s="1125"/>
      <c r="J353" s="1134"/>
      <c r="K353" s="1134"/>
      <c r="L353" s="916"/>
    </row>
    <row r="354" spans="1:12" s="103" customFormat="1" ht="15.75" hidden="1" customHeight="1" outlineLevel="1">
      <c r="A354" s="916"/>
      <c r="B354" s="1124"/>
      <c r="C354" s="1128"/>
      <c r="D354" s="1126"/>
      <c r="E354" s="1126"/>
      <c r="F354" s="1132"/>
      <c r="G354" s="100"/>
      <c r="H354" s="98"/>
      <c r="I354" s="1126"/>
      <c r="J354" s="1135"/>
      <c r="K354" s="1135"/>
      <c r="L354" s="916"/>
    </row>
    <row r="355" spans="1:12" s="103" customFormat="1" ht="15.75" hidden="1" customHeight="1" outlineLevel="1">
      <c r="A355" s="916"/>
      <c r="B355" s="1123">
        <v>115</v>
      </c>
      <c r="C355" s="1127"/>
      <c r="D355" s="1125"/>
      <c r="E355" s="1125" t="s">
        <v>18</v>
      </c>
      <c r="F355" s="1130" t="str">
        <f>VLOOKUP(E355,$N$13:$O$17,2,0)</f>
        <v>-</v>
      </c>
      <c r="G355" s="92"/>
      <c r="H355" s="90"/>
      <c r="I355" s="1125"/>
      <c r="J355" s="1133"/>
      <c r="K355" s="1133"/>
      <c r="L355" s="916"/>
    </row>
    <row r="356" spans="1:12" s="103" customFormat="1" ht="15.75" hidden="1" customHeight="1" outlineLevel="1">
      <c r="A356" s="916"/>
      <c r="B356" s="1123"/>
      <c r="C356" s="1127"/>
      <c r="D356" s="1125"/>
      <c r="E356" s="1125"/>
      <c r="F356" s="1130"/>
      <c r="G356" s="95"/>
      <c r="H356" s="90"/>
      <c r="I356" s="1125"/>
      <c r="J356" s="1134"/>
      <c r="K356" s="1134"/>
      <c r="L356" s="916"/>
    </row>
    <row r="357" spans="1:12" s="103" customFormat="1" ht="15.75" hidden="1" customHeight="1" outlineLevel="1">
      <c r="A357" s="916"/>
      <c r="B357" s="1124"/>
      <c r="C357" s="1128"/>
      <c r="D357" s="1126"/>
      <c r="E357" s="1126"/>
      <c r="F357" s="1132"/>
      <c r="G357" s="100"/>
      <c r="H357" s="98"/>
      <c r="I357" s="1126"/>
      <c r="J357" s="1135"/>
      <c r="K357" s="1135"/>
      <c r="L357" s="916"/>
    </row>
    <row r="358" spans="1:12" s="103" customFormat="1" ht="15.75" hidden="1" customHeight="1" outlineLevel="1">
      <c r="A358" s="916"/>
      <c r="B358" s="1123">
        <v>116</v>
      </c>
      <c r="C358" s="1127"/>
      <c r="D358" s="1125"/>
      <c r="E358" s="1125" t="s">
        <v>18</v>
      </c>
      <c r="F358" s="1130" t="str">
        <f>VLOOKUP(E358,$N$13:$O$17,2,0)</f>
        <v>-</v>
      </c>
      <c r="G358" s="92"/>
      <c r="H358" s="90"/>
      <c r="I358" s="1125"/>
      <c r="J358" s="1133"/>
      <c r="K358" s="1133"/>
      <c r="L358" s="916"/>
    </row>
    <row r="359" spans="1:12" s="103" customFormat="1" ht="15.75" hidden="1" customHeight="1" outlineLevel="1">
      <c r="A359" s="916"/>
      <c r="B359" s="1123"/>
      <c r="C359" s="1127"/>
      <c r="D359" s="1125"/>
      <c r="E359" s="1125"/>
      <c r="F359" s="1130"/>
      <c r="G359" s="95"/>
      <c r="H359" s="90"/>
      <c r="I359" s="1125"/>
      <c r="J359" s="1134"/>
      <c r="K359" s="1134"/>
      <c r="L359" s="916"/>
    </row>
    <row r="360" spans="1:12" s="103" customFormat="1" ht="15.75" hidden="1" customHeight="1" outlineLevel="1">
      <c r="A360" s="916"/>
      <c r="B360" s="1124"/>
      <c r="C360" s="1128"/>
      <c r="D360" s="1126"/>
      <c r="E360" s="1126"/>
      <c r="F360" s="1132"/>
      <c r="G360" s="100"/>
      <c r="H360" s="98"/>
      <c r="I360" s="1126"/>
      <c r="J360" s="1135"/>
      <c r="K360" s="1135"/>
      <c r="L360" s="916"/>
    </row>
    <row r="361" spans="1:12" s="103" customFormat="1" ht="15.75" hidden="1" customHeight="1" outlineLevel="1">
      <c r="A361" s="916"/>
      <c r="B361" s="1123">
        <v>117</v>
      </c>
      <c r="C361" s="1127"/>
      <c r="D361" s="1125"/>
      <c r="E361" s="1125" t="s">
        <v>18</v>
      </c>
      <c r="F361" s="1130" t="str">
        <f>VLOOKUP(E361,$N$13:$O$17,2,0)</f>
        <v>-</v>
      </c>
      <c r="G361" s="92"/>
      <c r="H361" s="90"/>
      <c r="I361" s="1125"/>
      <c r="J361" s="1133"/>
      <c r="K361" s="1133"/>
      <c r="L361" s="916"/>
    </row>
    <row r="362" spans="1:12" s="103" customFormat="1" ht="15.75" hidden="1" customHeight="1" outlineLevel="1">
      <c r="A362" s="916"/>
      <c r="B362" s="1123"/>
      <c r="C362" s="1127"/>
      <c r="D362" s="1125"/>
      <c r="E362" s="1125"/>
      <c r="F362" s="1130"/>
      <c r="G362" s="95"/>
      <c r="H362" s="90"/>
      <c r="I362" s="1125"/>
      <c r="J362" s="1134"/>
      <c r="K362" s="1134"/>
      <c r="L362" s="916"/>
    </row>
    <row r="363" spans="1:12" s="103" customFormat="1" ht="15.75" hidden="1" customHeight="1" outlineLevel="1">
      <c r="A363" s="916"/>
      <c r="B363" s="1124"/>
      <c r="C363" s="1128"/>
      <c r="D363" s="1126"/>
      <c r="E363" s="1126"/>
      <c r="F363" s="1132"/>
      <c r="G363" s="100"/>
      <c r="H363" s="98"/>
      <c r="I363" s="1126"/>
      <c r="J363" s="1135"/>
      <c r="K363" s="1135"/>
      <c r="L363" s="916"/>
    </row>
    <row r="364" spans="1:12" s="103" customFormat="1" ht="15.75" hidden="1" customHeight="1" outlineLevel="1">
      <c r="A364" s="916"/>
      <c r="B364" s="1123">
        <v>118</v>
      </c>
      <c r="C364" s="1127"/>
      <c r="D364" s="1125"/>
      <c r="E364" s="1125" t="s">
        <v>18</v>
      </c>
      <c r="F364" s="1130" t="str">
        <f>VLOOKUP(E364,$N$13:$O$17,2,0)</f>
        <v>-</v>
      </c>
      <c r="G364" s="92"/>
      <c r="H364" s="90"/>
      <c r="I364" s="1125"/>
      <c r="J364" s="1133"/>
      <c r="K364" s="1133"/>
      <c r="L364" s="916"/>
    </row>
    <row r="365" spans="1:12" s="103" customFormat="1" ht="15.75" hidden="1" customHeight="1" outlineLevel="1">
      <c r="A365" s="916"/>
      <c r="B365" s="1123"/>
      <c r="C365" s="1127"/>
      <c r="D365" s="1125"/>
      <c r="E365" s="1125"/>
      <c r="F365" s="1130"/>
      <c r="G365" s="95"/>
      <c r="H365" s="90"/>
      <c r="I365" s="1125"/>
      <c r="J365" s="1134"/>
      <c r="K365" s="1134"/>
      <c r="L365" s="916"/>
    </row>
    <row r="366" spans="1:12" s="103" customFormat="1" ht="15.75" hidden="1" customHeight="1" outlineLevel="1">
      <c r="A366" s="916"/>
      <c r="B366" s="1124"/>
      <c r="C366" s="1128"/>
      <c r="D366" s="1126"/>
      <c r="E366" s="1126"/>
      <c r="F366" s="1132"/>
      <c r="G366" s="100"/>
      <c r="H366" s="98"/>
      <c r="I366" s="1126"/>
      <c r="J366" s="1135"/>
      <c r="K366" s="1135"/>
      <c r="L366" s="916"/>
    </row>
    <row r="367" spans="1:12" s="103" customFormat="1" ht="15.75" hidden="1" customHeight="1" outlineLevel="1">
      <c r="A367" s="916"/>
      <c r="B367" s="1123">
        <v>119</v>
      </c>
      <c r="C367" s="1127"/>
      <c r="D367" s="1125"/>
      <c r="E367" s="1125" t="s">
        <v>18</v>
      </c>
      <c r="F367" s="1130" t="str">
        <f>VLOOKUP(E367,$N$13:$O$17,2,0)</f>
        <v>-</v>
      </c>
      <c r="G367" s="92"/>
      <c r="H367" s="90"/>
      <c r="I367" s="1125"/>
      <c r="J367" s="1133"/>
      <c r="K367" s="1133"/>
      <c r="L367" s="916"/>
    </row>
    <row r="368" spans="1:12" s="103" customFormat="1" ht="15.75" hidden="1" customHeight="1" outlineLevel="1">
      <c r="A368" s="916"/>
      <c r="B368" s="1123"/>
      <c r="C368" s="1127"/>
      <c r="D368" s="1125"/>
      <c r="E368" s="1125"/>
      <c r="F368" s="1130"/>
      <c r="G368" s="95"/>
      <c r="H368" s="90"/>
      <c r="I368" s="1125"/>
      <c r="J368" s="1134"/>
      <c r="K368" s="1134"/>
      <c r="L368" s="916"/>
    </row>
    <row r="369" spans="1:12" s="103" customFormat="1" ht="15.75" hidden="1" customHeight="1" outlineLevel="1">
      <c r="A369" s="916"/>
      <c r="B369" s="1124"/>
      <c r="C369" s="1128"/>
      <c r="D369" s="1126"/>
      <c r="E369" s="1126"/>
      <c r="F369" s="1132"/>
      <c r="G369" s="100"/>
      <c r="H369" s="98"/>
      <c r="I369" s="1126"/>
      <c r="J369" s="1135"/>
      <c r="K369" s="1135"/>
      <c r="L369" s="916"/>
    </row>
    <row r="370" spans="1:12" s="103" customFormat="1" ht="15.75" hidden="1" customHeight="1" outlineLevel="1">
      <c r="A370" s="916"/>
      <c r="B370" s="1123">
        <v>120</v>
      </c>
      <c r="C370" s="1127"/>
      <c r="D370" s="1125"/>
      <c r="E370" s="1125" t="s">
        <v>18</v>
      </c>
      <c r="F370" s="1130" t="str">
        <f>VLOOKUP(E370,$N$13:$O$17,2,0)</f>
        <v>-</v>
      </c>
      <c r="G370" s="92"/>
      <c r="H370" s="90"/>
      <c r="I370" s="1125"/>
      <c r="J370" s="1133"/>
      <c r="K370" s="1133"/>
      <c r="L370" s="916"/>
    </row>
    <row r="371" spans="1:12" s="103" customFormat="1" ht="15.75" hidden="1" customHeight="1" outlineLevel="1">
      <c r="A371" s="916"/>
      <c r="B371" s="1123"/>
      <c r="C371" s="1127"/>
      <c r="D371" s="1125"/>
      <c r="E371" s="1125"/>
      <c r="F371" s="1130"/>
      <c r="G371" s="95"/>
      <c r="H371" s="90"/>
      <c r="I371" s="1125"/>
      <c r="J371" s="1134"/>
      <c r="K371" s="1134"/>
      <c r="L371" s="916"/>
    </row>
    <row r="372" spans="1:12" s="103" customFormat="1" ht="15.75" hidden="1" customHeight="1" outlineLevel="1">
      <c r="A372" s="916"/>
      <c r="B372" s="1124"/>
      <c r="C372" s="1128"/>
      <c r="D372" s="1126"/>
      <c r="E372" s="1126"/>
      <c r="F372" s="1132"/>
      <c r="G372" s="100"/>
      <c r="H372" s="98"/>
      <c r="I372" s="1126"/>
      <c r="J372" s="1135"/>
      <c r="K372" s="1135"/>
      <c r="L372" s="916"/>
    </row>
    <row r="373" spans="1:12" s="103" customFormat="1" ht="15.75" hidden="1" customHeight="1" outlineLevel="1">
      <c r="A373" s="916"/>
      <c r="B373" s="1123">
        <v>121</v>
      </c>
      <c r="C373" s="1127"/>
      <c r="D373" s="1125"/>
      <c r="E373" s="1125" t="s">
        <v>18</v>
      </c>
      <c r="F373" s="1130" t="str">
        <f>VLOOKUP(E373,$N$13:$O$17,2,0)</f>
        <v>-</v>
      </c>
      <c r="G373" s="92"/>
      <c r="H373" s="90"/>
      <c r="I373" s="1125"/>
      <c r="J373" s="1133"/>
      <c r="K373" s="1133"/>
      <c r="L373" s="916"/>
    </row>
    <row r="374" spans="1:12" s="103" customFormat="1" ht="15.75" hidden="1" customHeight="1" outlineLevel="1">
      <c r="A374" s="916"/>
      <c r="B374" s="1123"/>
      <c r="C374" s="1127"/>
      <c r="D374" s="1125"/>
      <c r="E374" s="1125"/>
      <c r="F374" s="1130"/>
      <c r="G374" s="95"/>
      <c r="H374" s="90"/>
      <c r="I374" s="1125"/>
      <c r="J374" s="1134"/>
      <c r="K374" s="1134"/>
      <c r="L374" s="916"/>
    </row>
    <row r="375" spans="1:12" s="103" customFormat="1" ht="15.75" hidden="1" customHeight="1" outlineLevel="1">
      <c r="A375" s="916"/>
      <c r="B375" s="1124"/>
      <c r="C375" s="1128"/>
      <c r="D375" s="1126"/>
      <c r="E375" s="1126"/>
      <c r="F375" s="1132"/>
      <c r="G375" s="100"/>
      <c r="H375" s="98"/>
      <c r="I375" s="1126"/>
      <c r="J375" s="1135"/>
      <c r="K375" s="1135"/>
      <c r="L375" s="916"/>
    </row>
    <row r="376" spans="1:12" s="103" customFormat="1" ht="15.75" hidden="1" customHeight="1" outlineLevel="1">
      <c r="A376" s="916"/>
      <c r="B376" s="1123">
        <v>122</v>
      </c>
      <c r="C376" s="1127"/>
      <c r="D376" s="1125"/>
      <c r="E376" s="1125" t="s">
        <v>18</v>
      </c>
      <c r="F376" s="1130" t="str">
        <f>VLOOKUP(E376,$N$13:$O$17,2,0)</f>
        <v>-</v>
      </c>
      <c r="G376" s="92"/>
      <c r="H376" s="90"/>
      <c r="I376" s="1125"/>
      <c r="J376" s="1133"/>
      <c r="K376" s="1133"/>
      <c r="L376" s="916"/>
    </row>
    <row r="377" spans="1:12" s="103" customFormat="1" ht="15.75" hidden="1" customHeight="1" outlineLevel="1">
      <c r="A377" s="916"/>
      <c r="B377" s="1123"/>
      <c r="C377" s="1127"/>
      <c r="D377" s="1125"/>
      <c r="E377" s="1125"/>
      <c r="F377" s="1130"/>
      <c r="G377" s="95"/>
      <c r="H377" s="90"/>
      <c r="I377" s="1125"/>
      <c r="J377" s="1134"/>
      <c r="K377" s="1134"/>
      <c r="L377" s="916"/>
    </row>
    <row r="378" spans="1:12" s="103" customFormat="1" ht="15.75" hidden="1" customHeight="1" outlineLevel="1">
      <c r="A378" s="916"/>
      <c r="B378" s="1124"/>
      <c r="C378" s="1128"/>
      <c r="D378" s="1126"/>
      <c r="E378" s="1126"/>
      <c r="F378" s="1132"/>
      <c r="G378" s="100"/>
      <c r="H378" s="98"/>
      <c r="I378" s="1126"/>
      <c r="J378" s="1135"/>
      <c r="K378" s="1135"/>
      <c r="L378" s="916"/>
    </row>
    <row r="379" spans="1:12" s="103" customFormat="1" ht="15.75" hidden="1" customHeight="1" outlineLevel="1">
      <c r="A379" s="916"/>
      <c r="B379" s="1123">
        <v>123</v>
      </c>
      <c r="C379" s="1127"/>
      <c r="D379" s="1125"/>
      <c r="E379" s="1125" t="s">
        <v>18</v>
      </c>
      <c r="F379" s="1130" t="str">
        <f>VLOOKUP(E379,$N$13:$O$17,2,0)</f>
        <v>-</v>
      </c>
      <c r="G379" s="92"/>
      <c r="H379" s="90"/>
      <c r="I379" s="1125"/>
      <c r="J379" s="1133"/>
      <c r="K379" s="1133"/>
      <c r="L379" s="916"/>
    </row>
    <row r="380" spans="1:12" s="103" customFormat="1" ht="15.75" hidden="1" customHeight="1" outlineLevel="1">
      <c r="A380" s="916"/>
      <c r="B380" s="1123"/>
      <c r="C380" s="1127"/>
      <c r="D380" s="1125"/>
      <c r="E380" s="1125"/>
      <c r="F380" s="1130"/>
      <c r="G380" s="95"/>
      <c r="H380" s="90"/>
      <c r="I380" s="1125"/>
      <c r="J380" s="1134"/>
      <c r="K380" s="1134"/>
      <c r="L380" s="916"/>
    </row>
    <row r="381" spans="1:12" s="103" customFormat="1" ht="15.75" hidden="1" customHeight="1" outlineLevel="1">
      <c r="A381" s="916"/>
      <c r="B381" s="1124"/>
      <c r="C381" s="1128"/>
      <c r="D381" s="1126"/>
      <c r="E381" s="1126"/>
      <c r="F381" s="1132"/>
      <c r="G381" s="100"/>
      <c r="H381" s="98"/>
      <c r="I381" s="1126"/>
      <c r="J381" s="1135"/>
      <c r="K381" s="1135"/>
      <c r="L381" s="916"/>
    </row>
    <row r="382" spans="1:12" s="103" customFormat="1" ht="15.75" hidden="1" customHeight="1" outlineLevel="1">
      <c r="A382" s="916"/>
      <c r="B382" s="1123">
        <v>124</v>
      </c>
      <c r="C382" s="1127"/>
      <c r="D382" s="1125"/>
      <c r="E382" s="1125" t="s">
        <v>18</v>
      </c>
      <c r="F382" s="1130" t="str">
        <f>VLOOKUP(E382,$N$13:$O$17,2,0)</f>
        <v>-</v>
      </c>
      <c r="G382" s="92"/>
      <c r="H382" s="90"/>
      <c r="I382" s="1125"/>
      <c r="J382" s="1133"/>
      <c r="K382" s="1133"/>
      <c r="L382" s="916"/>
    </row>
    <row r="383" spans="1:12" s="103" customFormat="1" ht="15.75" hidden="1" customHeight="1" outlineLevel="1">
      <c r="A383" s="916"/>
      <c r="B383" s="1123"/>
      <c r="C383" s="1127"/>
      <c r="D383" s="1125"/>
      <c r="E383" s="1125"/>
      <c r="F383" s="1130"/>
      <c r="G383" s="95"/>
      <c r="H383" s="90"/>
      <c r="I383" s="1125"/>
      <c r="J383" s="1134"/>
      <c r="K383" s="1134"/>
      <c r="L383" s="916"/>
    </row>
    <row r="384" spans="1:12" s="103" customFormat="1" ht="15.75" hidden="1" customHeight="1" outlineLevel="1">
      <c r="A384" s="916"/>
      <c r="B384" s="1124"/>
      <c r="C384" s="1128"/>
      <c r="D384" s="1126"/>
      <c r="E384" s="1126"/>
      <c r="F384" s="1132"/>
      <c r="G384" s="100"/>
      <c r="H384" s="98"/>
      <c r="I384" s="1126"/>
      <c r="J384" s="1135"/>
      <c r="K384" s="1135"/>
      <c r="L384" s="916"/>
    </row>
    <row r="385" spans="1:12" s="103" customFormat="1" ht="15.75" hidden="1" customHeight="1" outlineLevel="1">
      <c r="A385" s="916"/>
      <c r="B385" s="1123">
        <v>125</v>
      </c>
      <c r="C385" s="1127"/>
      <c r="D385" s="1125"/>
      <c r="E385" s="1125" t="s">
        <v>18</v>
      </c>
      <c r="F385" s="1130" t="str">
        <f>VLOOKUP(E385,$N$13:$O$17,2,0)</f>
        <v>-</v>
      </c>
      <c r="G385" s="92"/>
      <c r="H385" s="90"/>
      <c r="I385" s="1125"/>
      <c r="J385" s="1133"/>
      <c r="K385" s="1133"/>
      <c r="L385" s="916"/>
    </row>
    <row r="386" spans="1:12" s="103" customFormat="1" ht="15.75" hidden="1" customHeight="1" outlineLevel="1">
      <c r="A386" s="916"/>
      <c r="B386" s="1123"/>
      <c r="C386" s="1127"/>
      <c r="D386" s="1125"/>
      <c r="E386" s="1125"/>
      <c r="F386" s="1130"/>
      <c r="G386" s="95"/>
      <c r="H386" s="90"/>
      <c r="I386" s="1125"/>
      <c r="J386" s="1134"/>
      <c r="K386" s="1134"/>
      <c r="L386" s="916"/>
    </row>
    <row r="387" spans="1:12" s="103" customFormat="1" ht="15.75" hidden="1" customHeight="1" outlineLevel="1">
      <c r="A387" s="916"/>
      <c r="B387" s="1124"/>
      <c r="C387" s="1128"/>
      <c r="D387" s="1126"/>
      <c r="E387" s="1126"/>
      <c r="F387" s="1132"/>
      <c r="G387" s="100"/>
      <c r="H387" s="98"/>
      <c r="I387" s="1126"/>
      <c r="J387" s="1135"/>
      <c r="K387" s="1135"/>
      <c r="L387" s="916"/>
    </row>
    <row r="388" spans="1:12" s="103" customFormat="1" ht="15.75" hidden="1" customHeight="1" outlineLevel="1">
      <c r="A388" s="916"/>
      <c r="B388" s="1123">
        <v>126</v>
      </c>
      <c r="C388" s="1127"/>
      <c r="D388" s="1125"/>
      <c r="E388" s="1125" t="s">
        <v>18</v>
      </c>
      <c r="F388" s="1130" t="str">
        <f>VLOOKUP(E388,$N$13:$O$17,2,0)</f>
        <v>-</v>
      </c>
      <c r="G388" s="92"/>
      <c r="H388" s="90"/>
      <c r="I388" s="1125"/>
      <c r="J388" s="1133"/>
      <c r="K388" s="1133"/>
      <c r="L388" s="916"/>
    </row>
    <row r="389" spans="1:12" s="103" customFormat="1" ht="15.75" hidden="1" customHeight="1" outlineLevel="1">
      <c r="A389" s="916"/>
      <c r="B389" s="1123"/>
      <c r="C389" s="1127"/>
      <c r="D389" s="1125"/>
      <c r="E389" s="1125"/>
      <c r="F389" s="1130"/>
      <c r="G389" s="95"/>
      <c r="H389" s="90"/>
      <c r="I389" s="1125"/>
      <c r="J389" s="1134"/>
      <c r="K389" s="1134"/>
      <c r="L389" s="916"/>
    </row>
    <row r="390" spans="1:12" s="103" customFormat="1" ht="15.75" hidden="1" customHeight="1" outlineLevel="1">
      <c r="A390" s="916"/>
      <c r="B390" s="1124"/>
      <c r="C390" s="1128"/>
      <c r="D390" s="1126"/>
      <c r="E390" s="1126"/>
      <c r="F390" s="1132"/>
      <c r="G390" s="100"/>
      <c r="H390" s="98"/>
      <c r="I390" s="1126"/>
      <c r="J390" s="1135"/>
      <c r="K390" s="1135"/>
      <c r="L390" s="916"/>
    </row>
    <row r="391" spans="1:12" s="103" customFormat="1" ht="15.75" hidden="1" customHeight="1" outlineLevel="1">
      <c r="A391" s="916"/>
      <c r="B391" s="1123">
        <v>127</v>
      </c>
      <c r="C391" s="1127"/>
      <c r="D391" s="1125"/>
      <c r="E391" s="1125" t="s">
        <v>18</v>
      </c>
      <c r="F391" s="1130" t="str">
        <f>VLOOKUP(E391,$N$13:$O$17,2,0)</f>
        <v>-</v>
      </c>
      <c r="G391" s="92"/>
      <c r="H391" s="90"/>
      <c r="I391" s="1125"/>
      <c r="J391" s="1133"/>
      <c r="K391" s="1133"/>
      <c r="L391" s="916"/>
    </row>
    <row r="392" spans="1:12" s="103" customFormat="1" ht="15.75" hidden="1" customHeight="1" outlineLevel="1">
      <c r="A392" s="916"/>
      <c r="B392" s="1123"/>
      <c r="C392" s="1127"/>
      <c r="D392" s="1125"/>
      <c r="E392" s="1125"/>
      <c r="F392" s="1130"/>
      <c r="G392" s="95"/>
      <c r="H392" s="90"/>
      <c r="I392" s="1125"/>
      <c r="J392" s="1134"/>
      <c r="K392" s="1134"/>
      <c r="L392" s="916"/>
    </row>
    <row r="393" spans="1:12" s="103" customFormat="1" ht="15.75" hidden="1" customHeight="1" outlineLevel="1">
      <c r="A393" s="916"/>
      <c r="B393" s="1124"/>
      <c r="C393" s="1128"/>
      <c r="D393" s="1126"/>
      <c r="E393" s="1126"/>
      <c r="F393" s="1132"/>
      <c r="G393" s="100"/>
      <c r="H393" s="98"/>
      <c r="I393" s="1126"/>
      <c r="J393" s="1135"/>
      <c r="K393" s="1135"/>
      <c r="L393" s="916"/>
    </row>
    <row r="394" spans="1:12" s="103" customFormat="1" ht="15.75" hidden="1" customHeight="1" outlineLevel="1">
      <c r="A394" s="916"/>
      <c r="B394" s="1123">
        <v>128</v>
      </c>
      <c r="C394" s="1127"/>
      <c r="D394" s="1125"/>
      <c r="E394" s="1125" t="s">
        <v>18</v>
      </c>
      <c r="F394" s="1130" t="str">
        <f>VLOOKUP(E394,$N$13:$O$17,2,0)</f>
        <v>-</v>
      </c>
      <c r="G394" s="92"/>
      <c r="H394" s="90"/>
      <c r="I394" s="1125"/>
      <c r="J394" s="1133"/>
      <c r="K394" s="1133"/>
      <c r="L394" s="916"/>
    </row>
    <row r="395" spans="1:12" s="103" customFormat="1" ht="15.75" hidden="1" customHeight="1" outlineLevel="1">
      <c r="A395" s="916"/>
      <c r="B395" s="1123"/>
      <c r="C395" s="1127"/>
      <c r="D395" s="1125"/>
      <c r="E395" s="1125"/>
      <c r="F395" s="1130"/>
      <c r="G395" s="95"/>
      <c r="H395" s="90"/>
      <c r="I395" s="1125"/>
      <c r="J395" s="1134"/>
      <c r="K395" s="1134"/>
      <c r="L395" s="916"/>
    </row>
    <row r="396" spans="1:12" s="103" customFormat="1" ht="15.75" hidden="1" customHeight="1" outlineLevel="1">
      <c r="A396" s="916"/>
      <c r="B396" s="1124"/>
      <c r="C396" s="1128"/>
      <c r="D396" s="1126"/>
      <c r="E396" s="1126"/>
      <c r="F396" s="1132"/>
      <c r="G396" s="100"/>
      <c r="H396" s="98"/>
      <c r="I396" s="1126"/>
      <c r="J396" s="1135"/>
      <c r="K396" s="1135"/>
      <c r="L396" s="916"/>
    </row>
    <row r="397" spans="1:12" s="103" customFormat="1" ht="15.75" hidden="1" customHeight="1" outlineLevel="1">
      <c r="A397" s="916"/>
      <c r="B397" s="1123">
        <v>129</v>
      </c>
      <c r="C397" s="1127"/>
      <c r="D397" s="1125"/>
      <c r="E397" s="1125" t="s">
        <v>18</v>
      </c>
      <c r="F397" s="1130" t="str">
        <f>VLOOKUP(E397,$N$13:$O$17,2,0)</f>
        <v>-</v>
      </c>
      <c r="G397" s="92"/>
      <c r="H397" s="90"/>
      <c r="I397" s="1125"/>
      <c r="J397" s="1133"/>
      <c r="K397" s="1133"/>
      <c r="L397" s="916"/>
    </row>
    <row r="398" spans="1:12" s="103" customFormat="1" ht="15.75" hidden="1" customHeight="1" outlineLevel="1">
      <c r="A398" s="916"/>
      <c r="B398" s="1123"/>
      <c r="C398" s="1127"/>
      <c r="D398" s="1125"/>
      <c r="E398" s="1125"/>
      <c r="F398" s="1130"/>
      <c r="G398" s="95"/>
      <c r="H398" s="90"/>
      <c r="I398" s="1125"/>
      <c r="J398" s="1134"/>
      <c r="K398" s="1134"/>
      <c r="L398" s="916"/>
    </row>
    <row r="399" spans="1:12" s="103" customFormat="1" ht="15.75" hidden="1" customHeight="1" outlineLevel="1">
      <c r="A399" s="916"/>
      <c r="B399" s="1124"/>
      <c r="C399" s="1128"/>
      <c r="D399" s="1126"/>
      <c r="E399" s="1126"/>
      <c r="F399" s="1132"/>
      <c r="G399" s="100"/>
      <c r="H399" s="98"/>
      <c r="I399" s="1126"/>
      <c r="J399" s="1135"/>
      <c r="K399" s="1135"/>
      <c r="L399" s="916"/>
    </row>
    <row r="400" spans="1:12" s="103" customFormat="1" ht="15.75" hidden="1" customHeight="1" outlineLevel="1">
      <c r="A400" s="916"/>
      <c r="B400" s="1123">
        <v>130</v>
      </c>
      <c r="C400" s="1127"/>
      <c r="D400" s="1125"/>
      <c r="E400" s="1125" t="s">
        <v>18</v>
      </c>
      <c r="F400" s="1130" t="str">
        <f>VLOOKUP(E400,$N$13:$O$17,2,0)</f>
        <v>-</v>
      </c>
      <c r="G400" s="92"/>
      <c r="H400" s="90"/>
      <c r="I400" s="1125"/>
      <c r="J400" s="1133"/>
      <c r="K400" s="1133"/>
      <c r="L400" s="916"/>
    </row>
    <row r="401" spans="1:12" s="103" customFormat="1" ht="15.75" hidden="1" customHeight="1" outlineLevel="1">
      <c r="A401" s="916"/>
      <c r="B401" s="1123"/>
      <c r="C401" s="1127"/>
      <c r="D401" s="1125"/>
      <c r="E401" s="1125"/>
      <c r="F401" s="1130"/>
      <c r="G401" s="95"/>
      <c r="H401" s="90"/>
      <c r="I401" s="1125"/>
      <c r="J401" s="1134"/>
      <c r="K401" s="1134"/>
      <c r="L401" s="916"/>
    </row>
    <row r="402" spans="1:12" s="103" customFormat="1" ht="15.75" hidden="1" customHeight="1" outlineLevel="1">
      <c r="A402" s="916"/>
      <c r="B402" s="1124"/>
      <c r="C402" s="1128"/>
      <c r="D402" s="1126"/>
      <c r="E402" s="1126"/>
      <c r="F402" s="1132"/>
      <c r="G402" s="100"/>
      <c r="H402" s="98"/>
      <c r="I402" s="1126"/>
      <c r="J402" s="1135"/>
      <c r="K402" s="1135"/>
      <c r="L402" s="916"/>
    </row>
    <row r="403" spans="1:12" s="103" customFormat="1" ht="15.75" hidden="1" customHeight="1" outlineLevel="1">
      <c r="A403" s="916"/>
      <c r="B403" s="1123">
        <v>131</v>
      </c>
      <c r="C403" s="1127"/>
      <c r="D403" s="1125"/>
      <c r="E403" s="1125" t="s">
        <v>18</v>
      </c>
      <c r="F403" s="1130" t="str">
        <f>VLOOKUP(E403,$N$13:$O$17,2,0)</f>
        <v>-</v>
      </c>
      <c r="G403" s="92"/>
      <c r="H403" s="90"/>
      <c r="I403" s="1125"/>
      <c r="J403" s="1133"/>
      <c r="K403" s="1133"/>
      <c r="L403" s="916"/>
    </row>
    <row r="404" spans="1:12" s="103" customFormat="1" ht="15.75" hidden="1" customHeight="1" outlineLevel="1">
      <c r="A404" s="916"/>
      <c r="B404" s="1123"/>
      <c r="C404" s="1127"/>
      <c r="D404" s="1125"/>
      <c r="E404" s="1125"/>
      <c r="F404" s="1130"/>
      <c r="G404" s="95"/>
      <c r="H404" s="90"/>
      <c r="I404" s="1125"/>
      <c r="J404" s="1134"/>
      <c r="K404" s="1134"/>
      <c r="L404" s="916"/>
    </row>
    <row r="405" spans="1:12" s="103" customFormat="1" ht="15.75" hidden="1" customHeight="1" outlineLevel="1">
      <c r="A405" s="916"/>
      <c r="B405" s="1124"/>
      <c r="C405" s="1128"/>
      <c r="D405" s="1126"/>
      <c r="E405" s="1126"/>
      <c r="F405" s="1132"/>
      <c r="G405" s="100"/>
      <c r="H405" s="98"/>
      <c r="I405" s="1126"/>
      <c r="J405" s="1135"/>
      <c r="K405" s="1135"/>
      <c r="L405" s="916"/>
    </row>
    <row r="406" spans="1:12" s="103" customFormat="1" ht="15.75" hidden="1" customHeight="1" outlineLevel="1">
      <c r="A406" s="916"/>
      <c r="B406" s="1123">
        <v>132</v>
      </c>
      <c r="C406" s="1127"/>
      <c r="D406" s="1125"/>
      <c r="E406" s="1125" t="s">
        <v>18</v>
      </c>
      <c r="F406" s="1130" t="str">
        <f>VLOOKUP(E406,$N$13:$O$17,2,0)</f>
        <v>-</v>
      </c>
      <c r="G406" s="92"/>
      <c r="H406" s="90"/>
      <c r="I406" s="1125"/>
      <c r="J406" s="1133"/>
      <c r="K406" s="1133"/>
      <c r="L406" s="916"/>
    </row>
    <row r="407" spans="1:12" s="103" customFormat="1" ht="15.75" hidden="1" customHeight="1" outlineLevel="1">
      <c r="A407" s="916"/>
      <c r="B407" s="1123"/>
      <c r="C407" s="1127"/>
      <c r="D407" s="1125"/>
      <c r="E407" s="1125"/>
      <c r="F407" s="1130"/>
      <c r="G407" s="95"/>
      <c r="H407" s="90"/>
      <c r="I407" s="1125"/>
      <c r="J407" s="1134"/>
      <c r="K407" s="1134"/>
      <c r="L407" s="916"/>
    </row>
    <row r="408" spans="1:12" s="103" customFormat="1" ht="15.75" hidden="1" customHeight="1" outlineLevel="1">
      <c r="A408" s="916"/>
      <c r="B408" s="1124"/>
      <c r="C408" s="1128"/>
      <c r="D408" s="1126"/>
      <c r="E408" s="1126"/>
      <c r="F408" s="1132"/>
      <c r="G408" s="100"/>
      <c r="H408" s="98"/>
      <c r="I408" s="1126"/>
      <c r="J408" s="1135"/>
      <c r="K408" s="1135"/>
      <c r="L408" s="916"/>
    </row>
    <row r="409" spans="1:12" s="103" customFormat="1" ht="15.75" hidden="1" customHeight="1" outlineLevel="1">
      <c r="A409" s="916"/>
      <c r="B409" s="1123">
        <v>133</v>
      </c>
      <c r="C409" s="1127"/>
      <c r="D409" s="1125"/>
      <c r="E409" s="1125" t="s">
        <v>18</v>
      </c>
      <c r="F409" s="1130" t="str">
        <f>VLOOKUP(E409,$N$13:$O$17,2,0)</f>
        <v>-</v>
      </c>
      <c r="G409" s="92"/>
      <c r="H409" s="90"/>
      <c r="I409" s="1125"/>
      <c r="J409" s="1133"/>
      <c r="K409" s="1133"/>
      <c r="L409" s="916"/>
    </row>
    <row r="410" spans="1:12" s="103" customFormat="1" ht="15.75" hidden="1" customHeight="1" outlineLevel="1">
      <c r="A410" s="916"/>
      <c r="B410" s="1123"/>
      <c r="C410" s="1127"/>
      <c r="D410" s="1125"/>
      <c r="E410" s="1125"/>
      <c r="F410" s="1130"/>
      <c r="G410" s="95"/>
      <c r="H410" s="90"/>
      <c r="I410" s="1125"/>
      <c r="J410" s="1134"/>
      <c r="K410" s="1134"/>
      <c r="L410" s="916"/>
    </row>
    <row r="411" spans="1:12" s="103" customFormat="1" ht="15.75" hidden="1" customHeight="1" outlineLevel="1">
      <c r="A411" s="916"/>
      <c r="B411" s="1124"/>
      <c r="C411" s="1128"/>
      <c r="D411" s="1126"/>
      <c r="E411" s="1126"/>
      <c r="F411" s="1132"/>
      <c r="G411" s="100"/>
      <c r="H411" s="98"/>
      <c r="I411" s="1126"/>
      <c r="J411" s="1135"/>
      <c r="K411" s="1135"/>
      <c r="L411" s="916"/>
    </row>
    <row r="412" spans="1:12" s="103" customFormat="1" ht="15.75" hidden="1" customHeight="1" outlineLevel="1">
      <c r="A412" s="916"/>
      <c r="B412" s="1123">
        <v>134</v>
      </c>
      <c r="C412" s="1127"/>
      <c r="D412" s="1125"/>
      <c r="E412" s="1125" t="s">
        <v>18</v>
      </c>
      <c r="F412" s="1130" t="str">
        <f>VLOOKUP(E412,$N$13:$O$17,2,0)</f>
        <v>-</v>
      </c>
      <c r="G412" s="92"/>
      <c r="H412" s="90"/>
      <c r="I412" s="1125"/>
      <c r="J412" s="1133"/>
      <c r="K412" s="1133"/>
      <c r="L412" s="916"/>
    </row>
    <row r="413" spans="1:12" s="103" customFormat="1" ht="15.75" hidden="1" customHeight="1" outlineLevel="1">
      <c r="A413" s="916"/>
      <c r="B413" s="1123"/>
      <c r="C413" s="1127"/>
      <c r="D413" s="1125"/>
      <c r="E413" s="1125"/>
      <c r="F413" s="1130"/>
      <c r="G413" s="95"/>
      <c r="H413" s="90"/>
      <c r="I413" s="1125"/>
      <c r="J413" s="1134"/>
      <c r="K413" s="1134"/>
      <c r="L413" s="916"/>
    </row>
    <row r="414" spans="1:12" s="103" customFormat="1" ht="15.75" hidden="1" customHeight="1" outlineLevel="1">
      <c r="A414" s="916"/>
      <c r="B414" s="1124"/>
      <c r="C414" s="1128"/>
      <c r="D414" s="1126"/>
      <c r="E414" s="1126"/>
      <c r="F414" s="1132"/>
      <c r="G414" s="100"/>
      <c r="H414" s="98"/>
      <c r="I414" s="1126"/>
      <c r="J414" s="1135"/>
      <c r="K414" s="1135"/>
      <c r="L414" s="916"/>
    </row>
    <row r="415" spans="1:12" s="103" customFormat="1" ht="15.75" hidden="1" customHeight="1" outlineLevel="1">
      <c r="A415" s="916"/>
      <c r="B415" s="1123">
        <v>135</v>
      </c>
      <c r="C415" s="1127"/>
      <c r="D415" s="1125"/>
      <c r="E415" s="1125" t="s">
        <v>18</v>
      </c>
      <c r="F415" s="1130" t="str">
        <f>VLOOKUP(E415,$N$13:$O$17,2,0)</f>
        <v>-</v>
      </c>
      <c r="G415" s="92"/>
      <c r="H415" s="90"/>
      <c r="I415" s="1125"/>
      <c r="J415" s="1133"/>
      <c r="K415" s="1133"/>
      <c r="L415" s="916"/>
    </row>
    <row r="416" spans="1:12" s="103" customFormat="1" ht="15.75" hidden="1" customHeight="1" outlineLevel="1">
      <c r="A416" s="916"/>
      <c r="B416" s="1123"/>
      <c r="C416" s="1127"/>
      <c r="D416" s="1125"/>
      <c r="E416" s="1125"/>
      <c r="F416" s="1130"/>
      <c r="G416" s="95"/>
      <c r="H416" s="90"/>
      <c r="I416" s="1125"/>
      <c r="J416" s="1134"/>
      <c r="K416" s="1134"/>
      <c r="L416" s="916"/>
    </row>
    <row r="417" spans="1:12" s="103" customFormat="1" ht="15.75" hidden="1" customHeight="1" outlineLevel="1">
      <c r="A417" s="916"/>
      <c r="B417" s="1124"/>
      <c r="C417" s="1128"/>
      <c r="D417" s="1126"/>
      <c r="E417" s="1126"/>
      <c r="F417" s="1132"/>
      <c r="G417" s="100"/>
      <c r="H417" s="98"/>
      <c r="I417" s="1126"/>
      <c r="J417" s="1135"/>
      <c r="K417" s="1135"/>
      <c r="L417" s="916"/>
    </row>
    <row r="418" spans="1:12" s="103" customFormat="1" ht="15.75" hidden="1" customHeight="1" outlineLevel="1">
      <c r="A418" s="916"/>
      <c r="B418" s="1123">
        <v>136</v>
      </c>
      <c r="C418" s="1127"/>
      <c r="D418" s="1125"/>
      <c r="E418" s="1125" t="s">
        <v>18</v>
      </c>
      <c r="F418" s="1130" t="str">
        <f>VLOOKUP(E418,$N$13:$O$17,2,0)</f>
        <v>-</v>
      </c>
      <c r="G418" s="92"/>
      <c r="H418" s="90"/>
      <c r="I418" s="1125"/>
      <c r="J418" s="1133"/>
      <c r="K418" s="1133"/>
      <c r="L418" s="916"/>
    </row>
    <row r="419" spans="1:12" s="103" customFormat="1" ht="15.75" hidden="1" customHeight="1" outlineLevel="1">
      <c r="A419" s="916"/>
      <c r="B419" s="1123"/>
      <c r="C419" s="1127"/>
      <c r="D419" s="1125"/>
      <c r="E419" s="1125"/>
      <c r="F419" s="1130"/>
      <c r="G419" s="95"/>
      <c r="H419" s="90"/>
      <c r="I419" s="1125"/>
      <c r="J419" s="1134"/>
      <c r="K419" s="1134"/>
      <c r="L419" s="916"/>
    </row>
    <row r="420" spans="1:12" s="103" customFormat="1" ht="15.75" hidden="1" customHeight="1" outlineLevel="1">
      <c r="A420" s="916"/>
      <c r="B420" s="1124"/>
      <c r="C420" s="1128"/>
      <c r="D420" s="1126"/>
      <c r="E420" s="1126"/>
      <c r="F420" s="1132"/>
      <c r="G420" s="100"/>
      <c r="H420" s="98"/>
      <c r="I420" s="1126"/>
      <c r="J420" s="1135"/>
      <c r="K420" s="1135"/>
      <c r="L420" s="916"/>
    </row>
    <row r="421" spans="1:12" s="103" customFormat="1" ht="15.75" hidden="1" customHeight="1" outlineLevel="1">
      <c r="A421" s="916"/>
      <c r="B421" s="1123">
        <v>137</v>
      </c>
      <c r="C421" s="1127"/>
      <c r="D421" s="1125"/>
      <c r="E421" s="1125" t="s">
        <v>18</v>
      </c>
      <c r="F421" s="1130" t="str">
        <f>VLOOKUP(E421,$N$13:$O$17,2,0)</f>
        <v>-</v>
      </c>
      <c r="G421" s="92"/>
      <c r="H421" s="90"/>
      <c r="I421" s="1125"/>
      <c r="J421" s="1133"/>
      <c r="K421" s="1133"/>
      <c r="L421" s="916"/>
    </row>
    <row r="422" spans="1:12" s="103" customFormat="1" ht="15.75" hidden="1" customHeight="1" outlineLevel="1">
      <c r="A422" s="916"/>
      <c r="B422" s="1123"/>
      <c r="C422" s="1127"/>
      <c r="D422" s="1125"/>
      <c r="E422" s="1125"/>
      <c r="F422" s="1130"/>
      <c r="G422" s="95"/>
      <c r="H422" s="90"/>
      <c r="I422" s="1125"/>
      <c r="J422" s="1134"/>
      <c r="K422" s="1134"/>
      <c r="L422" s="916"/>
    </row>
    <row r="423" spans="1:12" s="103" customFormat="1" ht="15.75" hidden="1" customHeight="1" outlineLevel="1">
      <c r="A423" s="916"/>
      <c r="B423" s="1124"/>
      <c r="C423" s="1128"/>
      <c r="D423" s="1126"/>
      <c r="E423" s="1126"/>
      <c r="F423" s="1132"/>
      <c r="G423" s="100"/>
      <c r="H423" s="98"/>
      <c r="I423" s="1126"/>
      <c r="J423" s="1135"/>
      <c r="K423" s="1135"/>
      <c r="L423" s="916"/>
    </row>
    <row r="424" spans="1:12" s="103" customFormat="1" ht="15.75" hidden="1" customHeight="1" outlineLevel="1">
      <c r="A424" s="916"/>
      <c r="B424" s="1123">
        <v>138</v>
      </c>
      <c r="C424" s="1127"/>
      <c r="D424" s="1125"/>
      <c r="E424" s="1125" t="s">
        <v>18</v>
      </c>
      <c r="F424" s="1130" t="str">
        <f>VLOOKUP(E424,$N$13:$O$17,2,0)</f>
        <v>-</v>
      </c>
      <c r="G424" s="92"/>
      <c r="H424" s="90"/>
      <c r="I424" s="1125"/>
      <c r="J424" s="1133"/>
      <c r="K424" s="1133"/>
      <c r="L424" s="916"/>
    </row>
    <row r="425" spans="1:12" s="103" customFormat="1" ht="15.75" hidden="1" customHeight="1" outlineLevel="1">
      <c r="A425" s="916"/>
      <c r="B425" s="1123"/>
      <c r="C425" s="1127"/>
      <c r="D425" s="1125"/>
      <c r="E425" s="1125"/>
      <c r="F425" s="1130"/>
      <c r="G425" s="95"/>
      <c r="H425" s="90"/>
      <c r="I425" s="1125"/>
      <c r="J425" s="1134"/>
      <c r="K425" s="1134"/>
      <c r="L425" s="916"/>
    </row>
    <row r="426" spans="1:12" s="103" customFormat="1" ht="15.75" hidden="1" customHeight="1" outlineLevel="1">
      <c r="A426" s="916"/>
      <c r="B426" s="1124"/>
      <c r="C426" s="1128"/>
      <c r="D426" s="1126"/>
      <c r="E426" s="1126"/>
      <c r="F426" s="1132"/>
      <c r="G426" s="100"/>
      <c r="H426" s="98"/>
      <c r="I426" s="1126"/>
      <c r="J426" s="1135"/>
      <c r="K426" s="1135"/>
      <c r="L426" s="916"/>
    </row>
    <row r="427" spans="1:12" s="103" customFormat="1" ht="15.75" hidden="1" customHeight="1" outlineLevel="1">
      <c r="A427" s="916"/>
      <c r="B427" s="1123">
        <v>139</v>
      </c>
      <c r="C427" s="1127"/>
      <c r="D427" s="1125"/>
      <c r="E427" s="1125" t="s">
        <v>18</v>
      </c>
      <c r="F427" s="1130" t="str">
        <f>VLOOKUP(E427,$N$13:$O$17,2,0)</f>
        <v>-</v>
      </c>
      <c r="G427" s="92"/>
      <c r="H427" s="90"/>
      <c r="I427" s="1125"/>
      <c r="J427" s="1133"/>
      <c r="K427" s="1133"/>
      <c r="L427" s="916"/>
    </row>
    <row r="428" spans="1:12" s="103" customFormat="1" ht="15.75" hidden="1" customHeight="1" outlineLevel="1">
      <c r="A428" s="916"/>
      <c r="B428" s="1123"/>
      <c r="C428" s="1127"/>
      <c r="D428" s="1125"/>
      <c r="E428" s="1125"/>
      <c r="F428" s="1130"/>
      <c r="G428" s="95"/>
      <c r="H428" s="90"/>
      <c r="I428" s="1125"/>
      <c r="J428" s="1134"/>
      <c r="K428" s="1134"/>
      <c r="L428" s="916"/>
    </row>
    <row r="429" spans="1:12" s="103" customFormat="1" ht="15.75" hidden="1" customHeight="1" outlineLevel="1">
      <c r="A429" s="916"/>
      <c r="B429" s="1124"/>
      <c r="C429" s="1128"/>
      <c r="D429" s="1126"/>
      <c r="E429" s="1126"/>
      <c r="F429" s="1132"/>
      <c r="G429" s="100"/>
      <c r="H429" s="98"/>
      <c r="I429" s="1126"/>
      <c r="J429" s="1135"/>
      <c r="K429" s="1135"/>
      <c r="L429" s="916"/>
    </row>
    <row r="430" spans="1:12" s="103" customFormat="1" ht="15.75" hidden="1" customHeight="1" outlineLevel="1">
      <c r="A430" s="916"/>
      <c r="B430" s="1123">
        <v>140</v>
      </c>
      <c r="C430" s="1127"/>
      <c r="D430" s="1125"/>
      <c r="E430" s="1125" t="s">
        <v>18</v>
      </c>
      <c r="F430" s="1130" t="str">
        <f>VLOOKUP(E430,$N$13:$O$17,2,0)</f>
        <v>-</v>
      </c>
      <c r="G430" s="92"/>
      <c r="H430" s="90"/>
      <c r="I430" s="1125"/>
      <c r="J430" s="1133"/>
      <c r="K430" s="1133"/>
      <c r="L430" s="916"/>
    </row>
    <row r="431" spans="1:12" s="103" customFormat="1" ht="15.75" hidden="1" customHeight="1" outlineLevel="1">
      <c r="A431" s="916"/>
      <c r="B431" s="1123"/>
      <c r="C431" s="1127"/>
      <c r="D431" s="1125"/>
      <c r="E431" s="1125"/>
      <c r="F431" s="1130"/>
      <c r="G431" s="95"/>
      <c r="H431" s="90"/>
      <c r="I431" s="1125"/>
      <c r="J431" s="1134"/>
      <c r="K431" s="1134"/>
      <c r="L431" s="916"/>
    </row>
    <row r="432" spans="1:12" s="103" customFormat="1" ht="15.75" hidden="1" customHeight="1" outlineLevel="1">
      <c r="A432" s="916"/>
      <c r="B432" s="1124"/>
      <c r="C432" s="1128"/>
      <c r="D432" s="1126"/>
      <c r="E432" s="1126"/>
      <c r="F432" s="1132"/>
      <c r="G432" s="100"/>
      <c r="H432" s="98"/>
      <c r="I432" s="1126"/>
      <c r="J432" s="1135"/>
      <c r="K432" s="1135"/>
      <c r="L432" s="916"/>
    </row>
    <row r="433" spans="1:12" s="103" customFormat="1" ht="15.75" hidden="1" customHeight="1" outlineLevel="1">
      <c r="A433" s="916"/>
      <c r="B433" s="1123">
        <v>141</v>
      </c>
      <c r="C433" s="1127"/>
      <c r="D433" s="1125"/>
      <c r="E433" s="1125" t="s">
        <v>18</v>
      </c>
      <c r="F433" s="1130" t="str">
        <f>VLOOKUP(E433,$N$13:$O$17,2,0)</f>
        <v>-</v>
      </c>
      <c r="G433" s="92"/>
      <c r="H433" s="90"/>
      <c r="I433" s="1125"/>
      <c r="J433" s="1133"/>
      <c r="K433" s="1133"/>
      <c r="L433" s="916"/>
    </row>
    <row r="434" spans="1:12" s="103" customFormat="1" ht="15.75" hidden="1" customHeight="1" outlineLevel="1">
      <c r="A434" s="916"/>
      <c r="B434" s="1123"/>
      <c r="C434" s="1127"/>
      <c r="D434" s="1125"/>
      <c r="E434" s="1125"/>
      <c r="F434" s="1130"/>
      <c r="G434" s="95"/>
      <c r="H434" s="90"/>
      <c r="I434" s="1125"/>
      <c r="J434" s="1134"/>
      <c r="K434" s="1134"/>
      <c r="L434" s="916"/>
    </row>
    <row r="435" spans="1:12" s="103" customFormat="1" ht="15.75" hidden="1" customHeight="1" outlineLevel="1">
      <c r="A435" s="916"/>
      <c r="B435" s="1124"/>
      <c r="C435" s="1128"/>
      <c r="D435" s="1126"/>
      <c r="E435" s="1126"/>
      <c r="F435" s="1132"/>
      <c r="G435" s="100"/>
      <c r="H435" s="98"/>
      <c r="I435" s="1126"/>
      <c r="J435" s="1135"/>
      <c r="K435" s="1135"/>
      <c r="L435" s="916"/>
    </row>
    <row r="436" spans="1:12" s="103" customFormat="1" ht="15.75" hidden="1" customHeight="1" outlineLevel="1">
      <c r="A436" s="916"/>
      <c r="B436" s="1123">
        <v>142</v>
      </c>
      <c r="C436" s="1127"/>
      <c r="D436" s="1125"/>
      <c r="E436" s="1125" t="s">
        <v>18</v>
      </c>
      <c r="F436" s="1130" t="str">
        <f>VLOOKUP(E436,$N$13:$O$17,2,0)</f>
        <v>-</v>
      </c>
      <c r="G436" s="92"/>
      <c r="H436" s="90"/>
      <c r="I436" s="1125"/>
      <c r="J436" s="1133"/>
      <c r="K436" s="1133"/>
      <c r="L436" s="916"/>
    </row>
    <row r="437" spans="1:12" s="103" customFormat="1" ht="15.75" hidden="1" customHeight="1" outlineLevel="1">
      <c r="A437" s="916"/>
      <c r="B437" s="1123"/>
      <c r="C437" s="1127"/>
      <c r="D437" s="1125"/>
      <c r="E437" s="1125"/>
      <c r="F437" s="1130"/>
      <c r="G437" s="95"/>
      <c r="H437" s="90"/>
      <c r="I437" s="1125"/>
      <c r="J437" s="1134"/>
      <c r="K437" s="1134"/>
      <c r="L437" s="916"/>
    </row>
    <row r="438" spans="1:12" s="103" customFormat="1" ht="15.75" hidden="1" customHeight="1" outlineLevel="1">
      <c r="A438" s="916"/>
      <c r="B438" s="1124"/>
      <c r="C438" s="1128"/>
      <c r="D438" s="1126"/>
      <c r="E438" s="1126"/>
      <c r="F438" s="1132"/>
      <c r="G438" s="100"/>
      <c r="H438" s="98"/>
      <c r="I438" s="1126"/>
      <c r="J438" s="1135"/>
      <c r="K438" s="1135"/>
      <c r="L438" s="916"/>
    </row>
    <row r="439" spans="1:12" s="103" customFormat="1" ht="15.75" hidden="1" customHeight="1" outlineLevel="1">
      <c r="A439" s="916"/>
      <c r="B439" s="1123">
        <v>143</v>
      </c>
      <c r="C439" s="1127"/>
      <c r="D439" s="1125"/>
      <c r="E439" s="1125" t="s">
        <v>18</v>
      </c>
      <c r="F439" s="1130" t="str">
        <f>VLOOKUP(E439,$N$13:$O$17,2,0)</f>
        <v>-</v>
      </c>
      <c r="G439" s="92"/>
      <c r="H439" s="90"/>
      <c r="I439" s="1125"/>
      <c r="J439" s="1133"/>
      <c r="K439" s="1133"/>
      <c r="L439" s="916"/>
    </row>
    <row r="440" spans="1:12" s="103" customFormat="1" ht="15.75" hidden="1" customHeight="1" outlineLevel="1">
      <c r="A440" s="916"/>
      <c r="B440" s="1123"/>
      <c r="C440" s="1127"/>
      <c r="D440" s="1125"/>
      <c r="E440" s="1125"/>
      <c r="F440" s="1130"/>
      <c r="G440" s="95"/>
      <c r="H440" s="90"/>
      <c r="I440" s="1125"/>
      <c r="J440" s="1134"/>
      <c r="K440" s="1134"/>
      <c r="L440" s="916"/>
    </row>
    <row r="441" spans="1:12" s="103" customFormat="1" ht="15.75" hidden="1" customHeight="1" outlineLevel="1">
      <c r="A441" s="916"/>
      <c r="B441" s="1124"/>
      <c r="C441" s="1128"/>
      <c r="D441" s="1126"/>
      <c r="E441" s="1126"/>
      <c r="F441" s="1132"/>
      <c r="G441" s="100"/>
      <c r="H441" s="98"/>
      <c r="I441" s="1126"/>
      <c r="J441" s="1135"/>
      <c r="K441" s="1135"/>
      <c r="L441" s="916"/>
    </row>
    <row r="442" spans="1:12" s="103" customFormat="1" ht="15.75" hidden="1" customHeight="1" outlineLevel="1">
      <c r="A442" s="916"/>
      <c r="B442" s="1123">
        <v>144</v>
      </c>
      <c r="C442" s="1127"/>
      <c r="D442" s="1125"/>
      <c r="E442" s="1125" t="s">
        <v>18</v>
      </c>
      <c r="F442" s="1130" t="str">
        <f>VLOOKUP(E442,$N$13:$O$17,2,0)</f>
        <v>-</v>
      </c>
      <c r="G442" s="92"/>
      <c r="H442" s="90"/>
      <c r="I442" s="1125"/>
      <c r="J442" s="1133"/>
      <c r="K442" s="1133"/>
      <c r="L442" s="916"/>
    </row>
    <row r="443" spans="1:12" s="103" customFormat="1" ht="15.75" hidden="1" customHeight="1" outlineLevel="1">
      <c r="A443" s="916"/>
      <c r="B443" s="1123"/>
      <c r="C443" s="1127"/>
      <c r="D443" s="1125"/>
      <c r="E443" s="1125"/>
      <c r="F443" s="1130"/>
      <c r="G443" s="95"/>
      <c r="H443" s="90"/>
      <c r="I443" s="1125"/>
      <c r="J443" s="1134"/>
      <c r="K443" s="1134"/>
      <c r="L443" s="916"/>
    </row>
    <row r="444" spans="1:12" s="103" customFormat="1" ht="15.75" hidden="1" customHeight="1" outlineLevel="1">
      <c r="A444" s="916"/>
      <c r="B444" s="1124"/>
      <c r="C444" s="1128"/>
      <c r="D444" s="1126"/>
      <c r="E444" s="1126"/>
      <c r="F444" s="1132"/>
      <c r="G444" s="100"/>
      <c r="H444" s="98"/>
      <c r="I444" s="1126"/>
      <c r="J444" s="1135"/>
      <c r="K444" s="1135"/>
      <c r="L444" s="916"/>
    </row>
    <row r="445" spans="1:12" s="103" customFormat="1" ht="15.75" hidden="1" customHeight="1" outlineLevel="1">
      <c r="A445" s="916"/>
      <c r="B445" s="1123">
        <v>145</v>
      </c>
      <c r="C445" s="1127"/>
      <c r="D445" s="1125"/>
      <c r="E445" s="1125" t="s">
        <v>18</v>
      </c>
      <c r="F445" s="1130" t="str">
        <f>VLOOKUP(E445,$N$13:$O$17,2,0)</f>
        <v>-</v>
      </c>
      <c r="G445" s="92"/>
      <c r="H445" s="90"/>
      <c r="I445" s="1125"/>
      <c r="J445" s="1133"/>
      <c r="K445" s="1133"/>
      <c r="L445" s="916"/>
    </row>
    <row r="446" spans="1:12" s="103" customFormat="1" ht="15.75" hidden="1" customHeight="1" outlineLevel="1">
      <c r="A446" s="916"/>
      <c r="B446" s="1123"/>
      <c r="C446" s="1127"/>
      <c r="D446" s="1125"/>
      <c r="E446" s="1125"/>
      <c r="F446" s="1130"/>
      <c r="G446" s="95"/>
      <c r="H446" s="90"/>
      <c r="I446" s="1125"/>
      <c r="J446" s="1134"/>
      <c r="K446" s="1134"/>
      <c r="L446" s="916"/>
    </row>
    <row r="447" spans="1:12" s="103" customFormat="1" ht="15.75" hidden="1" customHeight="1" outlineLevel="1">
      <c r="A447" s="916"/>
      <c r="B447" s="1124"/>
      <c r="C447" s="1128"/>
      <c r="D447" s="1126"/>
      <c r="E447" s="1126"/>
      <c r="F447" s="1132"/>
      <c r="G447" s="100"/>
      <c r="H447" s="98"/>
      <c r="I447" s="1126"/>
      <c r="J447" s="1135"/>
      <c r="K447" s="1135"/>
      <c r="L447" s="916"/>
    </row>
    <row r="448" spans="1:12" s="103" customFormat="1" ht="15.75" hidden="1" customHeight="1" outlineLevel="1">
      <c r="A448" s="916"/>
      <c r="B448" s="1123">
        <v>146</v>
      </c>
      <c r="C448" s="1127"/>
      <c r="D448" s="1125"/>
      <c r="E448" s="1125" t="s">
        <v>18</v>
      </c>
      <c r="F448" s="1130" t="str">
        <f>VLOOKUP(E448,$N$13:$O$17,2,0)</f>
        <v>-</v>
      </c>
      <c r="G448" s="92"/>
      <c r="H448" s="90"/>
      <c r="I448" s="1125"/>
      <c r="J448" s="1133"/>
      <c r="K448" s="1133"/>
      <c r="L448" s="916"/>
    </row>
    <row r="449" spans="1:12" s="103" customFormat="1" ht="15.75" hidden="1" customHeight="1" outlineLevel="1">
      <c r="A449" s="916"/>
      <c r="B449" s="1123"/>
      <c r="C449" s="1127"/>
      <c r="D449" s="1125"/>
      <c r="E449" s="1125"/>
      <c r="F449" s="1130"/>
      <c r="G449" s="95"/>
      <c r="H449" s="90"/>
      <c r="I449" s="1125"/>
      <c r="J449" s="1134"/>
      <c r="K449" s="1134"/>
      <c r="L449" s="916"/>
    </row>
    <row r="450" spans="1:12" s="103" customFormat="1" ht="15.75" hidden="1" customHeight="1" outlineLevel="1">
      <c r="A450" s="916"/>
      <c r="B450" s="1124"/>
      <c r="C450" s="1128"/>
      <c r="D450" s="1126"/>
      <c r="E450" s="1126"/>
      <c r="F450" s="1132"/>
      <c r="G450" s="100"/>
      <c r="H450" s="98"/>
      <c r="I450" s="1126"/>
      <c r="J450" s="1135"/>
      <c r="K450" s="1135"/>
      <c r="L450" s="916"/>
    </row>
    <row r="451" spans="1:12" s="103" customFormat="1" ht="15.75" hidden="1" customHeight="1" outlineLevel="1">
      <c r="A451" s="916"/>
      <c r="B451" s="1123">
        <v>147</v>
      </c>
      <c r="C451" s="1127"/>
      <c r="D451" s="1125"/>
      <c r="E451" s="1125" t="s">
        <v>18</v>
      </c>
      <c r="F451" s="1130" t="str">
        <f>VLOOKUP(E451,$N$13:$O$17,2,0)</f>
        <v>-</v>
      </c>
      <c r="G451" s="92"/>
      <c r="H451" s="90"/>
      <c r="I451" s="1125"/>
      <c r="J451" s="1133"/>
      <c r="K451" s="1133"/>
      <c r="L451" s="916"/>
    </row>
    <row r="452" spans="1:12" s="103" customFormat="1" ht="15.75" hidden="1" customHeight="1" outlineLevel="1">
      <c r="A452" s="916"/>
      <c r="B452" s="1123"/>
      <c r="C452" s="1127"/>
      <c r="D452" s="1125"/>
      <c r="E452" s="1125"/>
      <c r="F452" s="1130"/>
      <c r="G452" s="95"/>
      <c r="H452" s="90"/>
      <c r="I452" s="1125"/>
      <c r="J452" s="1134"/>
      <c r="K452" s="1134"/>
      <c r="L452" s="916"/>
    </row>
    <row r="453" spans="1:12" s="103" customFormat="1" ht="15.75" hidden="1" customHeight="1" outlineLevel="1">
      <c r="A453" s="916"/>
      <c r="B453" s="1124"/>
      <c r="C453" s="1128"/>
      <c r="D453" s="1126"/>
      <c r="E453" s="1126"/>
      <c r="F453" s="1132"/>
      <c r="G453" s="100"/>
      <c r="H453" s="98"/>
      <c r="I453" s="1126"/>
      <c r="J453" s="1135"/>
      <c r="K453" s="1135"/>
      <c r="L453" s="916"/>
    </row>
    <row r="454" spans="1:12" s="103" customFormat="1" ht="15.75" hidden="1" customHeight="1" outlineLevel="1">
      <c r="A454" s="916"/>
      <c r="B454" s="1123">
        <v>148</v>
      </c>
      <c r="C454" s="1127"/>
      <c r="D454" s="1125"/>
      <c r="E454" s="1125" t="s">
        <v>18</v>
      </c>
      <c r="F454" s="1130" t="str">
        <f>VLOOKUP(E454,$N$13:$O$17,2,0)</f>
        <v>-</v>
      </c>
      <c r="G454" s="92"/>
      <c r="H454" s="90"/>
      <c r="I454" s="1125"/>
      <c r="J454" s="1133"/>
      <c r="K454" s="1133"/>
      <c r="L454" s="916"/>
    </row>
    <row r="455" spans="1:12" s="103" customFormat="1" ht="15.75" hidden="1" customHeight="1" outlineLevel="1">
      <c r="A455" s="916"/>
      <c r="B455" s="1123"/>
      <c r="C455" s="1127"/>
      <c r="D455" s="1125"/>
      <c r="E455" s="1125"/>
      <c r="F455" s="1130"/>
      <c r="G455" s="95"/>
      <c r="H455" s="90"/>
      <c r="I455" s="1125"/>
      <c r="J455" s="1134"/>
      <c r="K455" s="1134"/>
      <c r="L455" s="916"/>
    </row>
    <row r="456" spans="1:12" s="103" customFormat="1" ht="15.75" hidden="1" customHeight="1" outlineLevel="1">
      <c r="A456" s="916"/>
      <c r="B456" s="1124"/>
      <c r="C456" s="1128"/>
      <c r="D456" s="1126"/>
      <c r="E456" s="1126"/>
      <c r="F456" s="1132"/>
      <c r="G456" s="100"/>
      <c r="H456" s="98"/>
      <c r="I456" s="1126"/>
      <c r="J456" s="1135"/>
      <c r="K456" s="1135"/>
      <c r="L456" s="916"/>
    </row>
    <row r="457" spans="1:12" s="103" customFormat="1" ht="15.75" hidden="1" customHeight="1" outlineLevel="1">
      <c r="A457" s="916"/>
      <c r="B457" s="1123">
        <v>149</v>
      </c>
      <c r="C457" s="1127"/>
      <c r="D457" s="1125"/>
      <c r="E457" s="1125" t="s">
        <v>18</v>
      </c>
      <c r="F457" s="1130" t="str">
        <f>VLOOKUP(E457,$N$13:$O$17,2,0)</f>
        <v>-</v>
      </c>
      <c r="G457" s="92"/>
      <c r="H457" s="90"/>
      <c r="I457" s="1125"/>
      <c r="J457" s="1133"/>
      <c r="K457" s="1133"/>
      <c r="L457" s="916"/>
    </row>
    <row r="458" spans="1:12" s="103" customFormat="1" ht="15.75" hidden="1" customHeight="1" outlineLevel="1">
      <c r="A458" s="916"/>
      <c r="B458" s="1123"/>
      <c r="C458" s="1127"/>
      <c r="D458" s="1125"/>
      <c r="E458" s="1125"/>
      <c r="F458" s="1130"/>
      <c r="G458" s="95"/>
      <c r="H458" s="90"/>
      <c r="I458" s="1125"/>
      <c r="J458" s="1134"/>
      <c r="K458" s="1134"/>
      <c r="L458" s="916"/>
    </row>
    <row r="459" spans="1:12" s="103" customFormat="1" ht="15.75" hidden="1" customHeight="1" outlineLevel="1">
      <c r="A459" s="916"/>
      <c r="B459" s="1124"/>
      <c r="C459" s="1128"/>
      <c r="D459" s="1126"/>
      <c r="E459" s="1126"/>
      <c r="F459" s="1132"/>
      <c r="G459" s="100"/>
      <c r="H459" s="98"/>
      <c r="I459" s="1126"/>
      <c r="J459" s="1135"/>
      <c r="K459" s="1135"/>
      <c r="L459" s="916"/>
    </row>
    <row r="460" spans="1:12" s="103" customFormat="1" ht="15.75" hidden="1" customHeight="1" outlineLevel="1">
      <c r="A460" s="916"/>
      <c r="B460" s="1123">
        <v>150</v>
      </c>
      <c r="C460" s="1127"/>
      <c r="D460" s="1125"/>
      <c r="E460" s="1125" t="s">
        <v>18</v>
      </c>
      <c r="F460" s="1130" t="str">
        <f>VLOOKUP(E460,$N$13:$O$17,2,0)</f>
        <v>-</v>
      </c>
      <c r="G460" s="92"/>
      <c r="H460" s="90"/>
      <c r="I460" s="1125"/>
      <c r="J460" s="1133"/>
      <c r="K460" s="1133"/>
      <c r="L460" s="916"/>
    </row>
    <row r="461" spans="1:12" s="103" customFormat="1" ht="15.75" hidden="1" customHeight="1" outlineLevel="1">
      <c r="A461" s="916"/>
      <c r="B461" s="1123"/>
      <c r="C461" s="1127"/>
      <c r="D461" s="1125"/>
      <c r="E461" s="1125"/>
      <c r="F461" s="1130"/>
      <c r="G461" s="95"/>
      <c r="H461" s="90"/>
      <c r="I461" s="1125"/>
      <c r="J461" s="1134"/>
      <c r="K461" s="1134"/>
      <c r="L461" s="916"/>
    </row>
    <row r="462" spans="1:12" s="103" customFormat="1" ht="15.75" hidden="1" customHeight="1" outlineLevel="1">
      <c r="A462" s="916"/>
      <c r="B462" s="1124"/>
      <c r="C462" s="1128"/>
      <c r="D462" s="1126"/>
      <c r="E462" s="1126"/>
      <c r="F462" s="1132"/>
      <c r="G462" s="100"/>
      <c r="H462" s="98"/>
      <c r="I462" s="1126"/>
      <c r="J462" s="1135"/>
      <c r="K462" s="1135"/>
      <c r="L462" s="916"/>
    </row>
    <row r="463" spans="1:12" s="103" customFormat="1" ht="15.75" hidden="1" customHeight="1" outlineLevel="1">
      <c r="A463" s="916"/>
      <c r="B463" s="1123">
        <v>151</v>
      </c>
      <c r="C463" s="1127"/>
      <c r="D463" s="1125"/>
      <c r="E463" s="1125" t="s">
        <v>18</v>
      </c>
      <c r="F463" s="1130" t="str">
        <f>VLOOKUP(E463,$N$13:$O$17,2,0)</f>
        <v>-</v>
      </c>
      <c r="G463" s="92"/>
      <c r="H463" s="90"/>
      <c r="I463" s="1125"/>
      <c r="J463" s="1133"/>
      <c r="K463" s="1133"/>
      <c r="L463" s="916"/>
    </row>
    <row r="464" spans="1:12" s="103" customFormat="1" ht="15.75" hidden="1" customHeight="1" outlineLevel="1">
      <c r="A464" s="916"/>
      <c r="B464" s="1123"/>
      <c r="C464" s="1127"/>
      <c r="D464" s="1125"/>
      <c r="E464" s="1125"/>
      <c r="F464" s="1130"/>
      <c r="G464" s="95"/>
      <c r="H464" s="90"/>
      <c r="I464" s="1125"/>
      <c r="J464" s="1134"/>
      <c r="K464" s="1134"/>
      <c r="L464" s="916"/>
    </row>
    <row r="465" spans="1:12" s="103" customFormat="1" ht="15.75" hidden="1" customHeight="1" outlineLevel="1">
      <c r="A465" s="916"/>
      <c r="B465" s="1124"/>
      <c r="C465" s="1128"/>
      <c r="D465" s="1126"/>
      <c r="E465" s="1126"/>
      <c r="F465" s="1132"/>
      <c r="G465" s="100"/>
      <c r="H465" s="98"/>
      <c r="I465" s="1126"/>
      <c r="J465" s="1135"/>
      <c r="K465" s="1135"/>
      <c r="L465" s="916"/>
    </row>
    <row r="466" spans="1:12" s="103" customFormat="1" ht="15.75" hidden="1" customHeight="1" outlineLevel="1">
      <c r="A466" s="916"/>
      <c r="B466" s="1123">
        <v>152</v>
      </c>
      <c r="C466" s="1127"/>
      <c r="D466" s="1125"/>
      <c r="E466" s="1125" t="s">
        <v>18</v>
      </c>
      <c r="F466" s="1130" t="str">
        <f>VLOOKUP(E466,$N$13:$O$17,2,0)</f>
        <v>-</v>
      </c>
      <c r="G466" s="92"/>
      <c r="H466" s="90"/>
      <c r="I466" s="1125"/>
      <c r="J466" s="1133"/>
      <c r="K466" s="1133"/>
      <c r="L466" s="916"/>
    </row>
    <row r="467" spans="1:12" s="103" customFormat="1" ht="15.75" hidden="1" customHeight="1" outlineLevel="1">
      <c r="A467" s="916"/>
      <c r="B467" s="1123"/>
      <c r="C467" s="1127"/>
      <c r="D467" s="1125"/>
      <c r="E467" s="1125"/>
      <c r="F467" s="1130"/>
      <c r="G467" s="95"/>
      <c r="H467" s="90"/>
      <c r="I467" s="1125"/>
      <c r="J467" s="1134"/>
      <c r="K467" s="1134"/>
      <c r="L467" s="916"/>
    </row>
    <row r="468" spans="1:12" s="103" customFormat="1" ht="15.75" hidden="1" customHeight="1" outlineLevel="1">
      <c r="A468" s="916"/>
      <c r="B468" s="1124"/>
      <c r="C468" s="1128"/>
      <c r="D468" s="1126"/>
      <c r="E468" s="1126"/>
      <c r="F468" s="1132"/>
      <c r="G468" s="100"/>
      <c r="H468" s="98"/>
      <c r="I468" s="1126"/>
      <c r="J468" s="1135"/>
      <c r="K468" s="1135"/>
      <c r="L468" s="916"/>
    </row>
    <row r="469" spans="1:12" s="103" customFormat="1" ht="15.75" hidden="1" customHeight="1" outlineLevel="1">
      <c r="A469" s="916"/>
      <c r="B469" s="1123">
        <v>153</v>
      </c>
      <c r="C469" s="1127"/>
      <c r="D469" s="1125"/>
      <c r="E469" s="1125" t="s">
        <v>18</v>
      </c>
      <c r="F469" s="1130" t="str">
        <f>VLOOKUP(E469,$N$13:$O$17,2,0)</f>
        <v>-</v>
      </c>
      <c r="G469" s="92"/>
      <c r="H469" s="90"/>
      <c r="I469" s="1125"/>
      <c r="J469" s="1133"/>
      <c r="K469" s="1133"/>
      <c r="L469" s="916"/>
    </row>
    <row r="470" spans="1:12" s="103" customFormat="1" ht="15.75" hidden="1" customHeight="1" outlineLevel="1">
      <c r="A470" s="916"/>
      <c r="B470" s="1123"/>
      <c r="C470" s="1127"/>
      <c r="D470" s="1125"/>
      <c r="E470" s="1125"/>
      <c r="F470" s="1130"/>
      <c r="G470" s="95"/>
      <c r="H470" s="90"/>
      <c r="I470" s="1125"/>
      <c r="J470" s="1134"/>
      <c r="K470" s="1134"/>
      <c r="L470" s="916"/>
    </row>
    <row r="471" spans="1:12" s="103" customFormat="1" ht="15.75" hidden="1" customHeight="1" outlineLevel="1">
      <c r="A471" s="916"/>
      <c r="B471" s="1124"/>
      <c r="C471" s="1128"/>
      <c r="D471" s="1126"/>
      <c r="E471" s="1126"/>
      <c r="F471" s="1132"/>
      <c r="G471" s="100"/>
      <c r="H471" s="98"/>
      <c r="I471" s="1126"/>
      <c r="J471" s="1135"/>
      <c r="K471" s="1135"/>
      <c r="L471" s="916"/>
    </row>
    <row r="472" spans="1:12" s="103" customFormat="1" ht="15.75" hidden="1" customHeight="1" outlineLevel="1">
      <c r="A472" s="916"/>
      <c r="B472" s="1123">
        <v>154</v>
      </c>
      <c r="C472" s="1127"/>
      <c r="D472" s="1125"/>
      <c r="E472" s="1125" t="s">
        <v>18</v>
      </c>
      <c r="F472" s="1130" t="str">
        <f>VLOOKUP(E472,$N$13:$O$17,2,0)</f>
        <v>-</v>
      </c>
      <c r="G472" s="92"/>
      <c r="H472" s="90"/>
      <c r="I472" s="1125"/>
      <c r="J472" s="1133"/>
      <c r="K472" s="1133"/>
      <c r="L472" s="916"/>
    </row>
    <row r="473" spans="1:12" s="103" customFormat="1" ht="15.75" hidden="1" customHeight="1" outlineLevel="1">
      <c r="A473" s="916"/>
      <c r="B473" s="1123"/>
      <c r="C473" s="1127"/>
      <c r="D473" s="1125"/>
      <c r="E473" s="1125"/>
      <c r="F473" s="1130"/>
      <c r="G473" s="95"/>
      <c r="H473" s="90"/>
      <c r="I473" s="1125"/>
      <c r="J473" s="1134"/>
      <c r="K473" s="1134"/>
      <c r="L473" s="916"/>
    </row>
    <row r="474" spans="1:12" s="103" customFormat="1" ht="15.75" hidden="1" customHeight="1" outlineLevel="1">
      <c r="A474" s="916"/>
      <c r="B474" s="1124"/>
      <c r="C474" s="1128"/>
      <c r="D474" s="1126"/>
      <c r="E474" s="1126"/>
      <c r="F474" s="1132"/>
      <c r="G474" s="100"/>
      <c r="H474" s="98"/>
      <c r="I474" s="1126"/>
      <c r="J474" s="1135"/>
      <c r="K474" s="1135"/>
      <c r="L474" s="916"/>
    </row>
    <row r="475" spans="1:12" s="103" customFormat="1" ht="15.75" hidden="1" customHeight="1" outlineLevel="1">
      <c r="A475" s="916"/>
      <c r="B475" s="1123">
        <v>155</v>
      </c>
      <c r="C475" s="1127"/>
      <c r="D475" s="1125"/>
      <c r="E475" s="1125" t="s">
        <v>18</v>
      </c>
      <c r="F475" s="1130" t="str">
        <f>VLOOKUP(E475,$N$13:$O$17,2,0)</f>
        <v>-</v>
      </c>
      <c r="G475" s="92"/>
      <c r="H475" s="90"/>
      <c r="I475" s="1125"/>
      <c r="J475" s="1133"/>
      <c r="K475" s="1133"/>
      <c r="L475" s="916"/>
    </row>
    <row r="476" spans="1:12" s="103" customFormat="1" ht="15.75" hidden="1" customHeight="1" outlineLevel="1">
      <c r="A476" s="916"/>
      <c r="B476" s="1123"/>
      <c r="C476" s="1127"/>
      <c r="D476" s="1125"/>
      <c r="E476" s="1125"/>
      <c r="F476" s="1130"/>
      <c r="G476" s="95"/>
      <c r="H476" s="90"/>
      <c r="I476" s="1125"/>
      <c r="J476" s="1134"/>
      <c r="K476" s="1134"/>
      <c r="L476" s="916"/>
    </row>
    <row r="477" spans="1:12" s="103" customFormat="1" ht="15.75" hidden="1" customHeight="1" outlineLevel="1">
      <c r="A477" s="916"/>
      <c r="B477" s="1124"/>
      <c r="C477" s="1128"/>
      <c r="D477" s="1126"/>
      <c r="E477" s="1126"/>
      <c r="F477" s="1132"/>
      <c r="G477" s="100"/>
      <c r="H477" s="98"/>
      <c r="I477" s="1126"/>
      <c r="J477" s="1135"/>
      <c r="K477" s="1135"/>
      <c r="L477" s="916"/>
    </row>
    <row r="478" spans="1:12" s="103" customFormat="1" ht="15.75" hidden="1" customHeight="1" outlineLevel="1">
      <c r="A478" s="916"/>
      <c r="B478" s="1123">
        <v>156</v>
      </c>
      <c r="C478" s="1127"/>
      <c r="D478" s="1125"/>
      <c r="E478" s="1125" t="s">
        <v>18</v>
      </c>
      <c r="F478" s="1130" t="str">
        <f>VLOOKUP(E478,$N$13:$O$17,2,0)</f>
        <v>-</v>
      </c>
      <c r="G478" s="92"/>
      <c r="H478" s="90"/>
      <c r="I478" s="1125"/>
      <c r="J478" s="1133"/>
      <c r="K478" s="1133"/>
      <c r="L478" s="916"/>
    </row>
    <row r="479" spans="1:12" s="103" customFormat="1" ht="15.75" hidden="1" customHeight="1" outlineLevel="1">
      <c r="A479" s="916"/>
      <c r="B479" s="1123"/>
      <c r="C479" s="1127"/>
      <c r="D479" s="1125"/>
      <c r="E479" s="1125"/>
      <c r="F479" s="1130"/>
      <c r="G479" s="95"/>
      <c r="H479" s="90"/>
      <c r="I479" s="1125"/>
      <c r="J479" s="1134"/>
      <c r="K479" s="1134"/>
      <c r="L479" s="916"/>
    </row>
    <row r="480" spans="1:12" s="103" customFormat="1" ht="15.75" hidden="1" customHeight="1" outlineLevel="1">
      <c r="A480" s="916"/>
      <c r="B480" s="1124"/>
      <c r="C480" s="1128"/>
      <c r="D480" s="1126"/>
      <c r="E480" s="1126"/>
      <c r="F480" s="1132"/>
      <c r="G480" s="100"/>
      <c r="H480" s="98"/>
      <c r="I480" s="1126"/>
      <c r="J480" s="1135"/>
      <c r="K480" s="1135"/>
      <c r="L480" s="916"/>
    </row>
    <row r="481" spans="1:12" s="103" customFormat="1" ht="15.75" hidden="1" customHeight="1" outlineLevel="1">
      <c r="A481" s="916"/>
      <c r="B481" s="1123">
        <v>157</v>
      </c>
      <c r="C481" s="1127"/>
      <c r="D481" s="1125"/>
      <c r="E481" s="1125" t="s">
        <v>18</v>
      </c>
      <c r="F481" s="1130" t="str">
        <f>VLOOKUP(E481,$N$13:$O$17,2,0)</f>
        <v>-</v>
      </c>
      <c r="G481" s="92"/>
      <c r="H481" s="90"/>
      <c r="I481" s="1125"/>
      <c r="J481" s="1133"/>
      <c r="K481" s="1133"/>
      <c r="L481" s="916"/>
    </row>
    <row r="482" spans="1:12" s="103" customFormat="1" ht="15.75" hidden="1" customHeight="1" outlineLevel="1">
      <c r="A482" s="916"/>
      <c r="B482" s="1123"/>
      <c r="C482" s="1127"/>
      <c r="D482" s="1125"/>
      <c r="E482" s="1125"/>
      <c r="F482" s="1130"/>
      <c r="G482" s="95"/>
      <c r="H482" s="90"/>
      <c r="I482" s="1125"/>
      <c r="J482" s="1134"/>
      <c r="K482" s="1134"/>
      <c r="L482" s="916"/>
    </row>
    <row r="483" spans="1:12" s="103" customFormat="1" ht="15.75" hidden="1" customHeight="1" outlineLevel="1">
      <c r="A483" s="916"/>
      <c r="B483" s="1124"/>
      <c r="C483" s="1128"/>
      <c r="D483" s="1126"/>
      <c r="E483" s="1126"/>
      <c r="F483" s="1132"/>
      <c r="G483" s="100"/>
      <c r="H483" s="98"/>
      <c r="I483" s="1126"/>
      <c r="J483" s="1135"/>
      <c r="K483" s="1135"/>
      <c r="L483" s="916"/>
    </row>
    <row r="484" spans="1:12" s="103" customFormat="1" ht="15.75" hidden="1" customHeight="1" outlineLevel="1">
      <c r="A484" s="916"/>
      <c r="B484" s="1123">
        <v>158</v>
      </c>
      <c r="C484" s="1127"/>
      <c r="D484" s="1125"/>
      <c r="E484" s="1125" t="s">
        <v>18</v>
      </c>
      <c r="F484" s="1130" t="str">
        <f>VLOOKUP(E484,$N$13:$O$17,2,0)</f>
        <v>-</v>
      </c>
      <c r="G484" s="92"/>
      <c r="H484" s="90"/>
      <c r="I484" s="1125"/>
      <c r="J484" s="1133"/>
      <c r="K484" s="1133"/>
      <c r="L484" s="916"/>
    </row>
    <row r="485" spans="1:12" s="103" customFormat="1" ht="15.75" hidden="1" customHeight="1" outlineLevel="1">
      <c r="A485" s="916"/>
      <c r="B485" s="1123"/>
      <c r="C485" s="1127"/>
      <c r="D485" s="1125"/>
      <c r="E485" s="1125"/>
      <c r="F485" s="1130"/>
      <c r="G485" s="95"/>
      <c r="H485" s="90"/>
      <c r="I485" s="1125"/>
      <c r="J485" s="1134"/>
      <c r="K485" s="1134"/>
      <c r="L485" s="916"/>
    </row>
    <row r="486" spans="1:12" s="103" customFormat="1" ht="15.75" hidden="1" customHeight="1" outlineLevel="1">
      <c r="A486" s="916"/>
      <c r="B486" s="1124"/>
      <c r="C486" s="1128"/>
      <c r="D486" s="1126"/>
      <c r="E486" s="1126"/>
      <c r="F486" s="1132"/>
      <c r="G486" s="100"/>
      <c r="H486" s="98"/>
      <c r="I486" s="1126"/>
      <c r="J486" s="1135"/>
      <c r="K486" s="1135"/>
      <c r="L486" s="916"/>
    </row>
    <row r="487" spans="1:12" s="103" customFormat="1" ht="15.75" hidden="1" customHeight="1" outlineLevel="1">
      <c r="A487" s="916"/>
      <c r="B487" s="1123">
        <v>159</v>
      </c>
      <c r="C487" s="1127"/>
      <c r="D487" s="1125"/>
      <c r="E487" s="1125" t="s">
        <v>18</v>
      </c>
      <c r="F487" s="1130" t="str">
        <f>VLOOKUP(E487,$N$13:$O$17,2,0)</f>
        <v>-</v>
      </c>
      <c r="G487" s="92"/>
      <c r="H487" s="90"/>
      <c r="I487" s="1125"/>
      <c r="J487" s="1133"/>
      <c r="K487" s="1133"/>
      <c r="L487" s="916"/>
    </row>
    <row r="488" spans="1:12" s="103" customFormat="1" ht="15.75" hidden="1" customHeight="1" outlineLevel="1">
      <c r="A488" s="916"/>
      <c r="B488" s="1123"/>
      <c r="C488" s="1127"/>
      <c r="D488" s="1125"/>
      <c r="E488" s="1125"/>
      <c r="F488" s="1130"/>
      <c r="G488" s="95"/>
      <c r="H488" s="90"/>
      <c r="I488" s="1125"/>
      <c r="J488" s="1134"/>
      <c r="K488" s="1134"/>
      <c r="L488" s="916"/>
    </row>
    <row r="489" spans="1:12" s="103" customFormat="1" ht="15.75" hidden="1" customHeight="1" outlineLevel="1">
      <c r="A489" s="916"/>
      <c r="B489" s="1124"/>
      <c r="C489" s="1128"/>
      <c r="D489" s="1126"/>
      <c r="E489" s="1126"/>
      <c r="F489" s="1132"/>
      <c r="G489" s="100"/>
      <c r="H489" s="98"/>
      <c r="I489" s="1126"/>
      <c r="J489" s="1135"/>
      <c r="K489" s="1135"/>
      <c r="L489" s="916"/>
    </row>
    <row r="490" spans="1:12" s="103" customFormat="1" ht="15.75" hidden="1" customHeight="1" outlineLevel="1">
      <c r="A490" s="916"/>
      <c r="B490" s="1123">
        <v>160</v>
      </c>
      <c r="C490" s="1127"/>
      <c r="D490" s="1125"/>
      <c r="E490" s="1125" t="s">
        <v>18</v>
      </c>
      <c r="F490" s="1130" t="str">
        <f>VLOOKUP(E490,$N$13:$O$17,2,0)</f>
        <v>-</v>
      </c>
      <c r="G490" s="92"/>
      <c r="H490" s="90"/>
      <c r="I490" s="1125"/>
      <c r="J490" s="1133"/>
      <c r="K490" s="1133"/>
      <c r="L490" s="916"/>
    </row>
    <row r="491" spans="1:12" s="103" customFormat="1" ht="15.75" hidden="1" customHeight="1" outlineLevel="1">
      <c r="A491" s="916"/>
      <c r="B491" s="1123"/>
      <c r="C491" s="1127"/>
      <c r="D491" s="1125"/>
      <c r="E491" s="1125"/>
      <c r="F491" s="1130"/>
      <c r="G491" s="95"/>
      <c r="H491" s="90"/>
      <c r="I491" s="1125"/>
      <c r="J491" s="1134"/>
      <c r="K491" s="1134"/>
      <c r="L491" s="916"/>
    </row>
    <row r="492" spans="1:12" s="103" customFormat="1" ht="15.75" hidden="1" customHeight="1" outlineLevel="1">
      <c r="A492" s="916"/>
      <c r="B492" s="1124"/>
      <c r="C492" s="1128"/>
      <c r="D492" s="1126"/>
      <c r="E492" s="1126"/>
      <c r="F492" s="1132"/>
      <c r="G492" s="100"/>
      <c r="H492" s="98"/>
      <c r="I492" s="1126"/>
      <c r="J492" s="1135"/>
      <c r="K492" s="1135"/>
      <c r="L492" s="916"/>
    </row>
    <row r="493" spans="1:12" s="103" customFormat="1" ht="15.75" hidden="1" customHeight="1" outlineLevel="1">
      <c r="A493" s="916"/>
      <c r="B493" s="1123">
        <v>161</v>
      </c>
      <c r="C493" s="1127"/>
      <c r="D493" s="1125"/>
      <c r="E493" s="1125" t="s">
        <v>18</v>
      </c>
      <c r="F493" s="1130" t="str">
        <f>VLOOKUP(E493,$N$13:$O$17,2,0)</f>
        <v>-</v>
      </c>
      <c r="G493" s="92"/>
      <c r="H493" s="90"/>
      <c r="I493" s="1125"/>
      <c r="J493" s="1133"/>
      <c r="K493" s="1133"/>
      <c r="L493" s="916"/>
    </row>
    <row r="494" spans="1:12" s="103" customFormat="1" ht="15.75" hidden="1" customHeight="1" outlineLevel="1">
      <c r="A494" s="916"/>
      <c r="B494" s="1123"/>
      <c r="C494" s="1127"/>
      <c r="D494" s="1125"/>
      <c r="E494" s="1125"/>
      <c r="F494" s="1130"/>
      <c r="G494" s="95"/>
      <c r="H494" s="90"/>
      <c r="I494" s="1125"/>
      <c r="J494" s="1134"/>
      <c r="K494" s="1134"/>
      <c r="L494" s="916"/>
    </row>
    <row r="495" spans="1:12" s="103" customFormat="1" ht="15.75" hidden="1" customHeight="1" outlineLevel="1">
      <c r="A495" s="916"/>
      <c r="B495" s="1124"/>
      <c r="C495" s="1128"/>
      <c r="D495" s="1126"/>
      <c r="E495" s="1126"/>
      <c r="F495" s="1132"/>
      <c r="G495" s="100"/>
      <c r="H495" s="98"/>
      <c r="I495" s="1126"/>
      <c r="J495" s="1135"/>
      <c r="K495" s="1135"/>
      <c r="L495" s="916"/>
    </row>
    <row r="496" spans="1:12" s="103" customFormat="1" ht="15.75" hidden="1" customHeight="1" outlineLevel="1">
      <c r="A496" s="916"/>
      <c r="B496" s="1123">
        <v>162</v>
      </c>
      <c r="C496" s="1127"/>
      <c r="D496" s="1125"/>
      <c r="E496" s="1125" t="s">
        <v>18</v>
      </c>
      <c r="F496" s="1130" t="str">
        <f>VLOOKUP(E496,$N$13:$O$17,2,0)</f>
        <v>-</v>
      </c>
      <c r="G496" s="92"/>
      <c r="H496" s="90"/>
      <c r="I496" s="1125"/>
      <c r="J496" s="1133"/>
      <c r="K496" s="1133"/>
      <c r="L496" s="916"/>
    </row>
    <row r="497" spans="1:12" s="103" customFormat="1" ht="15.75" hidden="1" customHeight="1" outlineLevel="1">
      <c r="A497" s="916"/>
      <c r="B497" s="1123"/>
      <c r="C497" s="1127"/>
      <c r="D497" s="1125"/>
      <c r="E497" s="1125"/>
      <c r="F497" s="1130"/>
      <c r="G497" s="95"/>
      <c r="H497" s="90"/>
      <c r="I497" s="1125"/>
      <c r="J497" s="1134"/>
      <c r="K497" s="1134"/>
      <c r="L497" s="916"/>
    </row>
    <row r="498" spans="1:12" s="103" customFormat="1" ht="15.75" hidden="1" customHeight="1" outlineLevel="1">
      <c r="A498" s="916"/>
      <c r="B498" s="1124"/>
      <c r="C498" s="1128"/>
      <c r="D498" s="1126"/>
      <c r="E498" s="1126"/>
      <c r="F498" s="1132"/>
      <c r="G498" s="100"/>
      <c r="H498" s="98"/>
      <c r="I498" s="1126"/>
      <c r="J498" s="1135"/>
      <c r="K498" s="1135"/>
      <c r="L498" s="916"/>
    </row>
    <row r="499" spans="1:12" s="103" customFormat="1" ht="15.75" hidden="1" customHeight="1" outlineLevel="1">
      <c r="A499" s="916"/>
      <c r="B499" s="1123">
        <v>163</v>
      </c>
      <c r="C499" s="1127"/>
      <c r="D499" s="1125"/>
      <c r="E499" s="1125" t="s">
        <v>18</v>
      </c>
      <c r="F499" s="1130" t="str">
        <f>VLOOKUP(E499,$N$13:$O$17,2,0)</f>
        <v>-</v>
      </c>
      <c r="G499" s="92"/>
      <c r="H499" s="90"/>
      <c r="I499" s="1125"/>
      <c r="J499" s="1133"/>
      <c r="K499" s="1133"/>
      <c r="L499" s="916"/>
    </row>
    <row r="500" spans="1:12" s="103" customFormat="1" ht="15.75" hidden="1" customHeight="1" outlineLevel="1">
      <c r="A500" s="916"/>
      <c r="B500" s="1123"/>
      <c r="C500" s="1127"/>
      <c r="D500" s="1125"/>
      <c r="E500" s="1125"/>
      <c r="F500" s="1130"/>
      <c r="G500" s="95"/>
      <c r="H500" s="90"/>
      <c r="I500" s="1125"/>
      <c r="J500" s="1134"/>
      <c r="K500" s="1134"/>
      <c r="L500" s="916"/>
    </row>
    <row r="501" spans="1:12" s="103" customFormat="1" ht="15.75" hidden="1" customHeight="1" outlineLevel="1">
      <c r="A501" s="916"/>
      <c r="B501" s="1124"/>
      <c r="C501" s="1128"/>
      <c r="D501" s="1126"/>
      <c r="E501" s="1126"/>
      <c r="F501" s="1132"/>
      <c r="G501" s="100"/>
      <c r="H501" s="98"/>
      <c r="I501" s="1126"/>
      <c r="J501" s="1135"/>
      <c r="K501" s="1135"/>
      <c r="L501" s="916"/>
    </row>
    <row r="502" spans="1:12" s="103" customFormat="1" ht="15.75" hidden="1" customHeight="1" outlineLevel="1">
      <c r="A502" s="916"/>
      <c r="B502" s="1123">
        <v>164</v>
      </c>
      <c r="C502" s="1127"/>
      <c r="D502" s="1125"/>
      <c r="E502" s="1125" t="s">
        <v>18</v>
      </c>
      <c r="F502" s="1130" t="str">
        <f>VLOOKUP(E502,$N$13:$O$17,2,0)</f>
        <v>-</v>
      </c>
      <c r="G502" s="92"/>
      <c r="H502" s="90"/>
      <c r="I502" s="1125"/>
      <c r="J502" s="1133"/>
      <c r="K502" s="1133"/>
      <c r="L502" s="916"/>
    </row>
    <row r="503" spans="1:12" s="103" customFormat="1" ht="15.75" hidden="1" customHeight="1" outlineLevel="1">
      <c r="A503" s="916"/>
      <c r="B503" s="1123"/>
      <c r="C503" s="1127"/>
      <c r="D503" s="1125"/>
      <c r="E503" s="1125"/>
      <c r="F503" s="1130"/>
      <c r="G503" s="95"/>
      <c r="H503" s="90"/>
      <c r="I503" s="1125"/>
      <c r="J503" s="1134"/>
      <c r="K503" s="1134"/>
      <c r="L503" s="916"/>
    </row>
    <row r="504" spans="1:12" s="103" customFormat="1" ht="15.75" hidden="1" customHeight="1" outlineLevel="1">
      <c r="A504" s="916"/>
      <c r="B504" s="1124"/>
      <c r="C504" s="1128"/>
      <c r="D504" s="1126"/>
      <c r="E504" s="1126"/>
      <c r="F504" s="1132"/>
      <c r="G504" s="100"/>
      <c r="H504" s="98"/>
      <c r="I504" s="1126"/>
      <c r="J504" s="1135"/>
      <c r="K504" s="1135"/>
      <c r="L504" s="916"/>
    </row>
    <row r="505" spans="1:12" s="103" customFormat="1" ht="15.75" hidden="1" customHeight="1" outlineLevel="1">
      <c r="A505" s="916"/>
      <c r="B505" s="1123">
        <v>165</v>
      </c>
      <c r="C505" s="1127"/>
      <c r="D505" s="1125"/>
      <c r="E505" s="1125" t="s">
        <v>18</v>
      </c>
      <c r="F505" s="1130" t="str">
        <f>VLOOKUP(E505,$N$13:$O$17,2,0)</f>
        <v>-</v>
      </c>
      <c r="G505" s="92"/>
      <c r="H505" s="90"/>
      <c r="I505" s="1125"/>
      <c r="J505" s="1133"/>
      <c r="K505" s="1133"/>
      <c r="L505" s="916"/>
    </row>
    <row r="506" spans="1:12" s="103" customFormat="1" ht="15.75" hidden="1" customHeight="1" outlineLevel="1">
      <c r="A506" s="916"/>
      <c r="B506" s="1123"/>
      <c r="C506" s="1127"/>
      <c r="D506" s="1125"/>
      <c r="E506" s="1125"/>
      <c r="F506" s="1130"/>
      <c r="G506" s="95"/>
      <c r="H506" s="90"/>
      <c r="I506" s="1125"/>
      <c r="J506" s="1134"/>
      <c r="K506" s="1134"/>
      <c r="L506" s="916"/>
    </row>
    <row r="507" spans="1:12" s="103" customFormat="1" ht="15.75" hidden="1" customHeight="1" outlineLevel="1">
      <c r="A507" s="916"/>
      <c r="B507" s="1124"/>
      <c r="C507" s="1128"/>
      <c r="D507" s="1126"/>
      <c r="E507" s="1126"/>
      <c r="F507" s="1132"/>
      <c r="G507" s="100"/>
      <c r="H507" s="98"/>
      <c r="I507" s="1126"/>
      <c r="J507" s="1135"/>
      <c r="K507" s="1135"/>
      <c r="L507" s="916"/>
    </row>
    <row r="508" spans="1:12" s="103" customFormat="1" ht="15.75" hidden="1" customHeight="1" outlineLevel="1">
      <c r="A508" s="916"/>
      <c r="B508" s="1123">
        <v>166</v>
      </c>
      <c r="C508" s="1127"/>
      <c r="D508" s="1125"/>
      <c r="E508" s="1125" t="s">
        <v>18</v>
      </c>
      <c r="F508" s="1130" t="str">
        <f>VLOOKUP(E508,$N$13:$O$17,2,0)</f>
        <v>-</v>
      </c>
      <c r="G508" s="92"/>
      <c r="H508" s="90"/>
      <c r="I508" s="1125"/>
      <c r="J508" s="1133"/>
      <c r="K508" s="1133"/>
      <c r="L508" s="916"/>
    </row>
    <row r="509" spans="1:12" s="103" customFormat="1" ht="15.75" hidden="1" customHeight="1" outlineLevel="1">
      <c r="A509" s="916"/>
      <c r="B509" s="1123"/>
      <c r="C509" s="1127"/>
      <c r="D509" s="1125"/>
      <c r="E509" s="1125"/>
      <c r="F509" s="1130"/>
      <c r="G509" s="95"/>
      <c r="H509" s="90"/>
      <c r="I509" s="1125"/>
      <c r="J509" s="1134"/>
      <c r="K509" s="1134"/>
      <c r="L509" s="916"/>
    </row>
    <row r="510" spans="1:12" s="103" customFormat="1" ht="15.75" hidden="1" customHeight="1" outlineLevel="1">
      <c r="A510" s="916"/>
      <c r="B510" s="1124"/>
      <c r="C510" s="1128"/>
      <c r="D510" s="1126"/>
      <c r="E510" s="1126"/>
      <c r="F510" s="1132"/>
      <c r="G510" s="100"/>
      <c r="H510" s="98"/>
      <c r="I510" s="1126"/>
      <c r="J510" s="1135"/>
      <c r="K510" s="1135"/>
      <c r="L510" s="916"/>
    </row>
    <row r="511" spans="1:12" s="103" customFormat="1" ht="15.75" hidden="1" customHeight="1" outlineLevel="1">
      <c r="A511" s="916"/>
      <c r="B511" s="1123">
        <v>167</v>
      </c>
      <c r="C511" s="1127"/>
      <c r="D511" s="1125"/>
      <c r="E511" s="1125" t="s">
        <v>18</v>
      </c>
      <c r="F511" s="1130" t="str">
        <f>VLOOKUP(E511,$N$13:$O$17,2,0)</f>
        <v>-</v>
      </c>
      <c r="G511" s="92"/>
      <c r="H511" s="90"/>
      <c r="I511" s="1125"/>
      <c r="J511" s="1133"/>
      <c r="K511" s="1133"/>
      <c r="L511" s="916"/>
    </row>
    <row r="512" spans="1:12" s="103" customFormat="1" ht="15.75" hidden="1" customHeight="1" outlineLevel="1">
      <c r="A512" s="916"/>
      <c r="B512" s="1123"/>
      <c r="C512" s="1127"/>
      <c r="D512" s="1125"/>
      <c r="E512" s="1125"/>
      <c r="F512" s="1130"/>
      <c r="G512" s="95"/>
      <c r="H512" s="90"/>
      <c r="I512" s="1125"/>
      <c r="J512" s="1134"/>
      <c r="K512" s="1134"/>
      <c r="L512" s="916"/>
    </row>
    <row r="513" spans="1:12" s="103" customFormat="1" ht="15.75" hidden="1" customHeight="1" outlineLevel="1">
      <c r="A513" s="916"/>
      <c r="B513" s="1124"/>
      <c r="C513" s="1128"/>
      <c r="D513" s="1126"/>
      <c r="E513" s="1126"/>
      <c r="F513" s="1132"/>
      <c r="G513" s="100"/>
      <c r="H513" s="98"/>
      <c r="I513" s="1126"/>
      <c r="J513" s="1135"/>
      <c r="K513" s="1135"/>
      <c r="L513" s="916"/>
    </row>
    <row r="514" spans="1:12" s="103" customFormat="1" ht="15.75" hidden="1" customHeight="1" outlineLevel="1">
      <c r="A514" s="916"/>
      <c r="B514" s="1123">
        <v>168</v>
      </c>
      <c r="C514" s="1127"/>
      <c r="D514" s="1125"/>
      <c r="E514" s="1125" t="s">
        <v>18</v>
      </c>
      <c r="F514" s="1130" t="str">
        <f>VLOOKUP(E514,$N$13:$O$17,2,0)</f>
        <v>-</v>
      </c>
      <c r="G514" s="92"/>
      <c r="H514" s="90"/>
      <c r="I514" s="1125"/>
      <c r="J514" s="1133"/>
      <c r="K514" s="1133"/>
      <c r="L514" s="916"/>
    </row>
    <row r="515" spans="1:12" s="103" customFormat="1" ht="15.75" hidden="1" customHeight="1" outlineLevel="1">
      <c r="A515" s="916"/>
      <c r="B515" s="1123"/>
      <c r="C515" s="1127"/>
      <c r="D515" s="1125"/>
      <c r="E515" s="1125"/>
      <c r="F515" s="1130"/>
      <c r="G515" s="95"/>
      <c r="H515" s="90"/>
      <c r="I515" s="1125"/>
      <c r="J515" s="1134"/>
      <c r="K515" s="1134"/>
      <c r="L515" s="916"/>
    </row>
    <row r="516" spans="1:12" s="103" customFormat="1" ht="15.75" hidden="1" customHeight="1" outlineLevel="1">
      <c r="A516" s="916"/>
      <c r="B516" s="1124"/>
      <c r="C516" s="1128"/>
      <c r="D516" s="1126"/>
      <c r="E516" s="1126"/>
      <c r="F516" s="1132"/>
      <c r="G516" s="100"/>
      <c r="H516" s="98"/>
      <c r="I516" s="1126"/>
      <c r="J516" s="1135"/>
      <c r="K516" s="1135"/>
      <c r="L516" s="916"/>
    </row>
    <row r="517" spans="1:12" s="103" customFormat="1" ht="15.75" hidden="1" customHeight="1" outlineLevel="1">
      <c r="A517" s="916"/>
      <c r="B517" s="1123">
        <v>169</v>
      </c>
      <c r="C517" s="1127"/>
      <c r="D517" s="1125"/>
      <c r="E517" s="1125" t="s">
        <v>18</v>
      </c>
      <c r="F517" s="1130" t="str">
        <f>VLOOKUP(E517,$N$13:$O$17,2,0)</f>
        <v>-</v>
      </c>
      <c r="G517" s="92"/>
      <c r="H517" s="90"/>
      <c r="I517" s="1125"/>
      <c r="J517" s="1133"/>
      <c r="K517" s="1133"/>
      <c r="L517" s="916"/>
    </row>
    <row r="518" spans="1:12" s="103" customFormat="1" ht="15.75" hidden="1" customHeight="1" outlineLevel="1">
      <c r="A518" s="916"/>
      <c r="B518" s="1123"/>
      <c r="C518" s="1127"/>
      <c r="D518" s="1125"/>
      <c r="E518" s="1125"/>
      <c r="F518" s="1130"/>
      <c r="G518" s="95"/>
      <c r="H518" s="90"/>
      <c r="I518" s="1125"/>
      <c r="J518" s="1134"/>
      <c r="K518" s="1134"/>
      <c r="L518" s="916"/>
    </row>
    <row r="519" spans="1:12" s="103" customFormat="1" ht="15.75" hidden="1" customHeight="1" outlineLevel="1">
      <c r="A519" s="916"/>
      <c r="B519" s="1124"/>
      <c r="C519" s="1128"/>
      <c r="D519" s="1126"/>
      <c r="E519" s="1126"/>
      <c r="F519" s="1132"/>
      <c r="G519" s="100"/>
      <c r="H519" s="98"/>
      <c r="I519" s="1126"/>
      <c r="J519" s="1135"/>
      <c r="K519" s="1135"/>
      <c r="L519" s="916"/>
    </row>
    <row r="520" spans="1:12" s="103" customFormat="1" ht="15.75" hidden="1" customHeight="1" outlineLevel="1">
      <c r="A520" s="916"/>
      <c r="B520" s="1123">
        <v>170</v>
      </c>
      <c r="C520" s="1127"/>
      <c r="D520" s="1125"/>
      <c r="E520" s="1125" t="s">
        <v>18</v>
      </c>
      <c r="F520" s="1130" t="str">
        <f>VLOOKUP(E520,$N$13:$O$17,2,0)</f>
        <v>-</v>
      </c>
      <c r="G520" s="92"/>
      <c r="H520" s="90"/>
      <c r="I520" s="1125"/>
      <c r="J520" s="1133"/>
      <c r="K520" s="1133"/>
      <c r="L520" s="916"/>
    </row>
    <row r="521" spans="1:12" s="103" customFormat="1" ht="15.75" hidden="1" customHeight="1" outlineLevel="1">
      <c r="A521" s="916"/>
      <c r="B521" s="1123"/>
      <c r="C521" s="1127"/>
      <c r="D521" s="1125"/>
      <c r="E521" s="1125"/>
      <c r="F521" s="1130"/>
      <c r="G521" s="95"/>
      <c r="H521" s="90"/>
      <c r="I521" s="1125"/>
      <c r="J521" s="1134"/>
      <c r="K521" s="1134"/>
      <c r="L521" s="916"/>
    </row>
    <row r="522" spans="1:12" s="103" customFormat="1" ht="15.75" hidden="1" customHeight="1" outlineLevel="1">
      <c r="A522" s="916"/>
      <c r="B522" s="1124"/>
      <c r="C522" s="1128"/>
      <c r="D522" s="1126"/>
      <c r="E522" s="1126"/>
      <c r="F522" s="1132"/>
      <c r="G522" s="100"/>
      <c r="H522" s="98"/>
      <c r="I522" s="1126"/>
      <c r="J522" s="1135"/>
      <c r="K522" s="1135"/>
      <c r="L522" s="916"/>
    </row>
    <row r="523" spans="1:12" s="103" customFormat="1" ht="15.75" hidden="1" customHeight="1" outlineLevel="1">
      <c r="A523" s="916"/>
      <c r="B523" s="1123">
        <v>171</v>
      </c>
      <c r="C523" s="1127"/>
      <c r="D523" s="1125"/>
      <c r="E523" s="1125" t="s">
        <v>18</v>
      </c>
      <c r="F523" s="1130" t="str">
        <f>VLOOKUP(E523,$N$13:$O$17,2,0)</f>
        <v>-</v>
      </c>
      <c r="G523" s="92"/>
      <c r="H523" s="90"/>
      <c r="I523" s="1125"/>
      <c r="J523" s="1133"/>
      <c r="K523" s="1133"/>
      <c r="L523" s="916"/>
    </row>
    <row r="524" spans="1:12" s="103" customFormat="1" ht="15.75" hidden="1" customHeight="1" outlineLevel="1">
      <c r="A524" s="916"/>
      <c r="B524" s="1123"/>
      <c r="C524" s="1127"/>
      <c r="D524" s="1125"/>
      <c r="E524" s="1125"/>
      <c r="F524" s="1130"/>
      <c r="G524" s="95"/>
      <c r="H524" s="90"/>
      <c r="I524" s="1125"/>
      <c r="J524" s="1134"/>
      <c r="K524" s="1134"/>
      <c r="L524" s="916"/>
    </row>
    <row r="525" spans="1:12" s="103" customFormat="1" ht="15.75" hidden="1" customHeight="1" outlineLevel="1">
      <c r="A525" s="916"/>
      <c r="B525" s="1124"/>
      <c r="C525" s="1128"/>
      <c r="D525" s="1126"/>
      <c r="E525" s="1126"/>
      <c r="F525" s="1132"/>
      <c r="G525" s="100"/>
      <c r="H525" s="98"/>
      <c r="I525" s="1126"/>
      <c r="J525" s="1135"/>
      <c r="K525" s="1135"/>
      <c r="L525" s="916"/>
    </row>
    <row r="526" spans="1:12" s="103" customFormat="1" ht="15.75" hidden="1" customHeight="1" outlineLevel="1">
      <c r="A526" s="916"/>
      <c r="B526" s="1123">
        <v>172</v>
      </c>
      <c r="C526" s="1127"/>
      <c r="D526" s="1125"/>
      <c r="E526" s="1125" t="s">
        <v>18</v>
      </c>
      <c r="F526" s="1130" t="str">
        <f>VLOOKUP(E526,$N$13:$O$17,2,0)</f>
        <v>-</v>
      </c>
      <c r="G526" s="92"/>
      <c r="H526" s="90"/>
      <c r="I526" s="1125"/>
      <c r="J526" s="1133"/>
      <c r="K526" s="1133"/>
      <c r="L526" s="916"/>
    </row>
    <row r="527" spans="1:12" s="103" customFormat="1" ht="15.75" hidden="1" customHeight="1" outlineLevel="1">
      <c r="A527" s="916"/>
      <c r="B527" s="1123"/>
      <c r="C527" s="1127"/>
      <c r="D527" s="1125"/>
      <c r="E527" s="1125"/>
      <c r="F527" s="1130"/>
      <c r="G527" s="95"/>
      <c r="H527" s="90"/>
      <c r="I527" s="1125"/>
      <c r="J527" s="1134"/>
      <c r="K527" s="1134"/>
      <c r="L527" s="916"/>
    </row>
    <row r="528" spans="1:12" s="103" customFormat="1" ht="15.75" hidden="1" customHeight="1" outlineLevel="1">
      <c r="A528" s="916"/>
      <c r="B528" s="1124"/>
      <c r="C528" s="1128"/>
      <c r="D528" s="1126"/>
      <c r="E528" s="1126"/>
      <c r="F528" s="1132"/>
      <c r="G528" s="100"/>
      <c r="H528" s="98"/>
      <c r="I528" s="1126"/>
      <c r="J528" s="1135"/>
      <c r="K528" s="1135"/>
      <c r="L528" s="916"/>
    </row>
    <row r="529" spans="1:12" s="103" customFormat="1" ht="15.75" hidden="1" customHeight="1" outlineLevel="1">
      <c r="A529" s="916"/>
      <c r="B529" s="1123">
        <v>173</v>
      </c>
      <c r="C529" s="1127"/>
      <c r="D529" s="1125"/>
      <c r="E529" s="1125" t="s">
        <v>18</v>
      </c>
      <c r="F529" s="1130" t="str">
        <f>VLOOKUP(E529,$N$13:$O$17,2,0)</f>
        <v>-</v>
      </c>
      <c r="G529" s="92"/>
      <c r="H529" s="90"/>
      <c r="I529" s="1125"/>
      <c r="J529" s="1133"/>
      <c r="K529" s="1133"/>
      <c r="L529" s="916"/>
    </row>
    <row r="530" spans="1:12" s="103" customFormat="1" ht="15.75" hidden="1" customHeight="1" outlineLevel="1">
      <c r="A530" s="916"/>
      <c r="B530" s="1123"/>
      <c r="C530" s="1127"/>
      <c r="D530" s="1125"/>
      <c r="E530" s="1125"/>
      <c r="F530" s="1130"/>
      <c r="G530" s="95"/>
      <c r="H530" s="90"/>
      <c r="I530" s="1125"/>
      <c r="J530" s="1134"/>
      <c r="K530" s="1134"/>
      <c r="L530" s="916"/>
    </row>
    <row r="531" spans="1:12" s="103" customFormat="1" ht="15.75" hidden="1" customHeight="1" outlineLevel="1">
      <c r="A531" s="916"/>
      <c r="B531" s="1124"/>
      <c r="C531" s="1128"/>
      <c r="D531" s="1126"/>
      <c r="E531" s="1126"/>
      <c r="F531" s="1132"/>
      <c r="G531" s="100"/>
      <c r="H531" s="98"/>
      <c r="I531" s="1126"/>
      <c r="J531" s="1135"/>
      <c r="K531" s="1135"/>
      <c r="L531" s="916"/>
    </row>
    <row r="532" spans="1:12" s="103" customFormat="1" ht="15.75" hidden="1" customHeight="1" outlineLevel="1">
      <c r="A532" s="916"/>
      <c r="B532" s="1123">
        <v>174</v>
      </c>
      <c r="C532" s="1127"/>
      <c r="D532" s="1125"/>
      <c r="E532" s="1125" t="s">
        <v>18</v>
      </c>
      <c r="F532" s="1130" t="str">
        <f>VLOOKUP(E532,$N$13:$O$17,2,0)</f>
        <v>-</v>
      </c>
      <c r="G532" s="92"/>
      <c r="H532" s="90"/>
      <c r="I532" s="1125"/>
      <c r="J532" s="1133"/>
      <c r="K532" s="1133"/>
      <c r="L532" s="916"/>
    </row>
    <row r="533" spans="1:12" s="103" customFormat="1" ht="15.75" hidden="1" customHeight="1" outlineLevel="1">
      <c r="A533" s="916"/>
      <c r="B533" s="1123"/>
      <c r="C533" s="1127"/>
      <c r="D533" s="1125"/>
      <c r="E533" s="1125"/>
      <c r="F533" s="1130"/>
      <c r="G533" s="95"/>
      <c r="H533" s="90"/>
      <c r="I533" s="1125"/>
      <c r="J533" s="1134"/>
      <c r="K533" s="1134"/>
      <c r="L533" s="916"/>
    </row>
    <row r="534" spans="1:12" s="103" customFormat="1" ht="15.75" hidden="1" customHeight="1" outlineLevel="1">
      <c r="A534" s="916"/>
      <c r="B534" s="1124"/>
      <c r="C534" s="1128"/>
      <c r="D534" s="1126"/>
      <c r="E534" s="1126"/>
      <c r="F534" s="1132"/>
      <c r="G534" s="100"/>
      <c r="H534" s="98"/>
      <c r="I534" s="1126"/>
      <c r="J534" s="1135"/>
      <c r="K534" s="1135"/>
      <c r="L534" s="916"/>
    </row>
    <row r="535" spans="1:12" s="103" customFormat="1" ht="15.75" hidden="1" customHeight="1" outlineLevel="1">
      <c r="A535" s="916"/>
      <c r="B535" s="1123">
        <v>175</v>
      </c>
      <c r="C535" s="1127"/>
      <c r="D535" s="1125"/>
      <c r="E535" s="1125" t="s">
        <v>18</v>
      </c>
      <c r="F535" s="1130" t="str">
        <f>VLOOKUP(E535,$N$13:$O$17,2,0)</f>
        <v>-</v>
      </c>
      <c r="G535" s="92"/>
      <c r="H535" s="90"/>
      <c r="I535" s="1125"/>
      <c r="J535" s="1133"/>
      <c r="K535" s="1133"/>
      <c r="L535" s="916"/>
    </row>
    <row r="536" spans="1:12" s="103" customFormat="1" ht="15.75" hidden="1" customHeight="1" outlineLevel="1">
      <c r="A536" s="916"/>
      <c r="B536" s="1123"/>
      <c r="C536" s="1127"/>
      <c r="D536" s="1125"/>
      <c r="E536" s="1125"/>
      <c r="F536" s="1130"/>
      <c r="G536" s="95"/>
      <c r="H536" s="90"/>
      <c r="I536" s="1125"/>
      <c r="J536" s="1134"/>
      <c r="K536" s="1134"/>
      <c r="L536" s="916"/>
    </row>
    <row r="537" spans="1:12" s="103" customFormat="1" ht="15.75" hidden="1" customHeight="1" outlineLevel="1">
      <c r="A537" s="916"/>
      <c r="B537" s="1124"/>
      <c r="C537" s="1128"/>
      <c r="D537" s="1126"/>
      <c r="E537" s="1126"/>
      <c r="F537" s="1132"/>
      <c r="G537" s="100"/>
      <c r="H537" s="98"/>
      <c r="I537" s="1126"/>
      <c r="J537" s="1135"/>
      <c r="K537" s="1135"/>
      <c r="L537" s="916"/>
    </row>
    <row r="538" spans="1:12" s="103" customFormat="1" ht="15.75" hidden="1" customHeight="1" outlineLevel="1">
      <c r="A538" s="916"/>
      <c r="B538" s="1123">
        <v>176</v>
      </c>
      <c r="C538" s="1127"/>
      <c r="D538" s="1125"/>
      <c r="E538" s="1125" t="s">
        <v>18</v>
      </c>
      <c r="F538" s="1130" t="str">
        <f>VLOOKUP(E538,$N$13:$O$17,2,0)</f>
        <v>-</v>
      </c>
      <c r="G538" s="92"/>
      <c r="H538" s="90"/>
      <c r="I538" s="1125"/>
      <c r="J538" s="1133"/>
      <c r="K538" s="1133"/>
      <c r="L538" s="916"/>
    </row>
    <row r="539" spans="1:12" s="103" customFormat="1" ht="15.75" hidden="1" customHeight="1" outlineLevel="1">
      <c r="A539" s="916"/>
      <c r="B539" s="1123"/>
      <c r="C539" s="1127"/>
      <c r="D539" s="1125"/>
      <c r="E539" s="1125"/>
      <c r="F539" s="1130"/>
      <c r="G539" s="95"/>
      <c r="H539" s="90"/>
      <c r="I539" s="1125"/>
      <c r="J539" s="1134"/>
      <c r="K539" s="1134"/>
      <c r="L539" s="916"/>
    </row>
    <row r="540" spans="1:12" s="103" customFormat="1" ht="15.75" hidden="1" customHeight="1" outlineLevel="1">
      <c r="A540" s="916"/>
      <c r="B540" s="1124"/>
      <c r="C540" s="1128"/>
      <c r="D540" s="1126"/>
      <c r="E540" s="1126"/>
      <c r="F540" s="1132"/>
      <c r="G540" s="100"/>
      <c r="H540" s="98"/>
      <c r="I540" s="1126"/>
      <c r="J540" s="1135"/>
      <c r="K540" s="1135"/>
      <c r="L540" s="916"/>
    </row>
    <row r="541" spans="1:12" s="103" customFormat="1" ht="15.75" hidden="1" customHeight="1" outlineLevel="1">
      <c r="A541" s="916"/>
      <c r="B541" s="1123">
        <v>177</v>
      </c>
      <c r="C541" s="1127"/>
      <c r="D541" s="1125"/>
      <c r="E541" s="1125" t="s">
        <v>18</v>
      </c>
      <c r="F541" s="1130" t="str">
        <f>VLOOKUP(E541,$N$13:$O$17,2,0)</f>
        <v>-</v>
      </c>
      <c r="G541" s="92"/>
      <c r="H541" s="90"/>
      <c r="I541" s="1125"/>
      <c r="J541" s="1133"/>
      <c r="K541" s="1133"/>
      <c r="L541" s="916"/>
    </row>
    <row r="542" spans="1:12" s="103" customFormat="1" ht="15.75" hidden="1" customHeight="1" outlineLevel="1">
      <c r="A542" s="916"/>
      <c r="B542" s="1123"/>
      <c r="C542" s="1127"/>
      <c r="D542" s="1125"/>
      <c r="E542" s="1125"/>
      <c r="F542" s="1130"/>
      <c r="G542" s="95"/>
      <c r="H542" s="90"/>
      <c r="I542" s="1125"/>
      <c r="J542" s="1134"/>
      <c r="K542" s="1134"/>
      <c r="L542" s="916"/>
    </row>
    <row r="543" spans="1:12" s="103" customFormat="1" ht="15.75" hidden="1" customHeight="1" outlineLevel="1">
      <c r="A543" s="916"/>
      <c r="B543" s="1124"/>
      <c r="C543" s="1128"/>
      <c r="D543" s="1126"/>
      <c r="E543" s="1126"/>
      <c r="F543" s="1132"/>
      <c r="G543" s="100"/>
      <c r="H543" s="98"/>
      <c r="I543" s="1126"/>
      <c r="J543" s="1135"/>
      <c r="K543" s="1135"/>
      <c r="L543" s="916"/>
    </row>
    <row r="544" spans="1:12" s="103" customFormat="1" ht="15.75" hidden="1" customHeight="1" outlineLevel="1">
      <c r="A544" s="916"/>
      <c r="B544" s="1123">
        <v>178</v>
      </c>
      <c r="C544" s="1127"/>
      <c r="D544" s="1125"/>
      <c r="E544" s="1125" t="s">
        <v>18</v>
      </c>
      <c r="F544" s="1130" t="str">
        <f>VLOOKUP(E544,$N$13:$O$17,2,0)</f>
        <v>-</v>
      </c>
      <c r="G544" s="92"/>
      <c r="H544" s="90"/>
      <c r="I544" s="1125"/>
      <c r="J544" s="1133"/>
      <c r="K544" s="1133"/>
      <c r="L544" s="916"/>
    </row>
    <row r="545" spans="1:12" s="103" customFormat="1" ht="15.75" hidden="1" customHeight="1" outlineLevel="1">
      <c r="A545" s="916"/>
      <c r="B545" s="1123"/>
      <c r="C545" s="1127"/>
      <c r="D545" s="1125"/>
      <c r="E545" s="1125"/>
      <c r="F545" s="1130"/>
      <c r="G545" s="95"/>
      <c r="H545" s="90"/>
      <c r="I545" s="1125"/>
      <c r="J545" s="1134"/>
      <c r="K545" s="1134"/>
      <c r="L545" s="916"/>
    </row>
    <row r="546" spans="1:12" s="103" customFormat="1" ht="15.75" hidden="1" customHeight="1" outlineLevel="1">
      <c r="A546" s="916"/>
      <c r="B546" s="1124"/>
      <c r="C546" s="1128"/>
      <c r="D546" s="1126"/>
      <c r="E546" s="1126"/>
      <c r="F546" s="1132"/>
      <c r="G546" s="100"/>
      <c r="H546" s="98"/>
      <c r="I546" s="1126"/>
      <c r="J546" s="1135"/>
      <c r="K546" s="1135"/>
      <c r="L546" s="916"/>
    </row>
    <row r="547" spans="1:12" s="103" customFormat="1" ht="15.75" hidden="1" customHeight="1" outlineLevel="1">
      <c r="A547" s="916"/>
      <c r="B547" s="1123">
        <v>179</v>
      </c>
      <c r="C547" s="1127"/>
      <c r="D547" s="1125"/>
      <c r="E547" s="1125" t="s">
        <v>18</v>
      </c>
      <c r="F547" s="1130" t="str">
        <f>VLOOKUP(E547,$N$13:$O$17,2,0)</f>
        <v>-</v>
      </c>
      <c r="G547" s="92"/>
      <c r="H547" s="90"/>
      <c r="I547" s="1125"/>
      <c r="J547" s="1133"/>
      <c r="K547" s="1133"/>
      <c r="L547" s="916"/>
    </row>
    <row r="548" spans="1:12" s="103" customFormat="1" ht="15.75" hidden="1" customHeight="1" outlineLevel="1">
      <c r="A548" s="916"/>
      <c r="B548" s="1123"/>
      <c r="C548" s="1127"/>
      <c r="D548" s="1125"/>
      <c r="E548" s="1125"/>
      <c r="F548" s="1130"/>
      <c r="G548" s="95"/>
      <c r="H548" s="90"/>
      <c r="I548" s="1125"/>
      <c r="J548" s="1134"/>
      <c r="K548" s="1134"/>
      <c r="L548" s="916"/>
    </row>
    <row r="549" spans="1:12" s="103" customFormat="1" ht="15.75" hidden="1" customHeight="1" outlineLevel="1">
      <c r="A549" s="916"/>
      <c r="B549" s="1124"/>
      <c r="C549" s="1128"/>
      <c r="D549" s="1126"/>
      <c r="E549" s="1126"/>
      <c r="F549" s="1132"/>
      <c r="G549" s="100"/>
      <c r="H549" s="98"/>
      <c r="I549" s="1126"/>
      <c r="J549" s="1135"/>
      <c r="K549" s="1135"/>
      <c r="L549" s="916"/>
    </row>
    <row r="550" spans="1:12" s="103" customFormat="1" ht="15.75" hidden="1" customHeight="1" outlineLevel="1">
      <c r="A550" s="916"/>
      <c r="B550" s="1123">
        <v>180</v>
      </c>
      <c r="C550" s="1127"/>
      <c r="D550" s="1125"/>
      <c r="E550" s="1125" t="s">
        <v>18</v>
      </c>
      <c r="F550" s="1130" t="str">
        <f>VLOOKUP(E550,$N$13:$O$17,2,0)</f>
        <v>-</v>
      </c>
      <c r="G550" s="92"/>
      <c r="H550" s="90"/>
      <c r="I550" s="1125"/>
      <c r="J550" s="1133"/>
      <c r="K550" s="1133"/>
      <c r="L550" s="916"/>
    </row>
    <row r="551" spans="1:12" s="103" customFormat="1" ht="15.75" hidden="1" customHeight="1" outlineLevel="1">
      <c r="A551" s="916"/>
      <c r="B551" s="1123"/>
      <c r="C551" s="1127"/>
      <c r="D551" s="1125"/>
      <c r="E551" s="1125"/>
      <c r="F551" s="1130"/>
      <c r="G551" s="95"/>
      <c r="H551" s="90"/>
      <c r="I551" s="1125"/>
      <c r="J551" s="1134"/>
      <c r="K551" s="1134"/>
      <c r="L551" s="916"/>
    </row>
    <row r="552" spans="1:12" s="103" customFormat="1" ht="15.75" hidden="1" customHeight="1" outlineLevel="1">
      <c r="A552" s="916"/>
      <c r="B552" s="1124"/>
      <c r="C552" s="1128"/>
      <c r="D552" s="1126"/>
      <c r="E552" s="1126"/>
      <c r="F552" s="1132"/>
      <c r="G552" s="100"/>
      <c r="H552" s="98"/>
      <c r="I552" s="1126"/>
      <c r="J552" s="1135"/>
      <c r="K552" s="1135"/>
      <c r="L552" s="916"/>
    </row>
    <row r="553" spans="1:12" s="103" customFormat="1" ht="15.75" hidden="1" customHeight="1" outlineLevel="1">
      <c r="A553" s="916"/>
      <c r="B553" s="1123">
        <v>181</v>
      </c>
      <c r="C553" s="1127"/>
      <c r="D553" s="1125"/>
      <c r="E553" s="1125" t="s">
        <v>18</v>
      </c>
      <c r="F553" s="1130" t="str">
        <f>VLOOKUP(E553,$N$13:$O$17,2,0)</f>
        <v>-</v>
      </c>
      <c r="G553" s="92"/>
      <c r="H553" s="90"/>
      <c r="I553" s="1125"/>
      <c r="J553" s="1133"/>
      <c r="K553" s="1133"/>
      <c r="L553" s="916"/>
    </row>
    <row r="554" spans="1:12" s="103" customFormat="1" ht="15.75" hidden="1" customHeight="1" outlineLevel="1">
      <c r="A554" s="916"/>
      <c r="B554" s="1123"/>
      <c r="C554" s="1127"/>
      <c r="D554" s="1125"/>
      <c r="E554" s="1125"/>
      <c r="F554" s="1130"/>
      <c r="G554" s="95"/>
      <c r="H554" s="90"/>
      <c r="I554" s="1125"/>
      <c r="J554" s="1134"/>
      <c r="K554" s="1134"/>
      <c r="L554" s="916"/>
    </row>
    <row r="555" spans="1:12" s="103" customFormat="1" ht="15.75" hidden="1" customHeight="1" outlineLevel="1">
      <c r="A555" s="916"/>
      <c r="B555" s="1124"/>
      <c r="C555" s="1128"/>
      <c r="D555" s="1126"/>
      <c r="E555" s="1126"/>
      <c r="F555" s="1132"/>
      <c r="G555" s="100"/>
      <c r="H555" s="98"/>
      <c r="I555" s="1126"/>
      <c r="J555" s="1135"/>
      <c r="K555" s="1135"/>
      <c r="L555" s="916"/>
    </row>
    <row r="556" spans="1:12" s="103" customFormat="1" ht="15.75" hidden="1" customHeight="1" outlineLevel="1">
      <c r="A556" s="916"/>
      <c r="B556" s="1123">
        <v>182</v>
      </c>
      <c r="C556" s="1127"/>
      <c r="D556" s="1125"/>
      <c r="E556" s="1125" t="s">
        <v>18</v>
      </c>
      <c r="F556" s="1130" t="str">
        <f>VLOOKUP(E556,$N$13:$O$17,2,0)</f>
        <v>-</v>
      </c>
      <c r="G556" s="92"/>
      <c r="H556" s="90"/>
      <c r="I556" s="1125"/>
      <c r="J556" s="1133"/>
      <c r="K556" s="1133"/>
      <c r="L556" s="916"/>
    </row>
    <row r="557" spans="1:12" s="103" customFormat="1" ht="15.75" hidden="1" customHeight="1" outlineLevel="1">
      <c r="A557" s="916"/>
      <c r="B557" s="1123"/>
      <c r="C557" s="1127"/>
      <c r="D557" s="1125"/>
      <c r="E557" s="1125"/>
      <c r="F557" s="1130"/>
      <c r="G557" s="95"/>
      <c r="H557" s="90"/>
      <c r="I557" s="1125"/>
      <c r="J557" s="1134"/>
      <c r="K557" s="1134"/>
      <c r="L557" s="916"/>
    </row>
    <row r="558" spans="1:12" s="103" customFormat="1" ht="15.75" hidden="1" customHeight="1" outlineLevel="1">
      <c r="A558" s="916"/>
      <c r="B558" s="1124"/>
      <c r="C558" s="1128"/>
      <c r="D558" s="1126"/>
      <c r="E558" s="1126"/>
      <c r="F558" s="1132"/>
      <c r="G558" s="100"/>
      <c r="H558" s="98"/>
      <c r="I558" s="1126"/>
      <c r="J558" s="1135"/>
      <c r="K558" s="1135"/>
      <c r="L558" s="916"/>
    </row>
    <row r="559" spans="1:12" s="103" customFormat="1" ht="15.75" hidden="1" customHeight="1" outlineLevel="1">
      <c r="A559" s="916"/>
      <c r="B559" s="1123">
        <v>183</v>
      </c>
      <c r="C559" s="1127"/>
      <c r="D559" s="1125"/>
      <c r="E559" s="1125" t="s">
        <v>18</v>
      </c>
      <c r="F559" s="1130" t="str">
        <f>VLOOKUP(E559,$N$13:$O$17,2,0)</f>
        <v>-</v>
      </c>
      <c r="G559" s="92"/>
      <c r="H559" s="90"/>
      <c r="I559" s="1125"/>
      <c r="J559" s="1133"/>
      <c r="K559" s="1133"/>
      <c r="L559" s="916"/>
    </row>
    <row r="560" spans="1:12" s="103" customFormat="1" ht="15.75" hidden="1" customHeight="1" outlineLevel="1">
      <c r="A560" s="916"/>
      <c r="B560" s="1123"/>
      <c r="C560" s="1127"/>
      <c r="D560" s="1125"/>
      <c r="E560" s="1125"/>
      <c r="F560" s="1130"/>
      <c r="G560" s="95"/>
      <c r="H560" s="90"/>
      <c r="I560" s="1125"/>
      <c r="J560" s="1134"/>
      <c r="K560" s="1134"/>
      <c r="L560" s="916"/>
    </row>
    <row r="561" spans="1:12" s="103" customFormat="1" ht="15.75" hidden="1" customHeight="1" outlineLevel="1">
      <c r="A561" s="916"/>
      <c r="B561" s="1124"/>
      <c r="C561" s="1128"/>
      <c r="D561" s="1126"/>
      <c r="E561" s="1126"/>
      <c r="F561" s="1132"/>
      <c r="G561" s="100"/>
      <c r="H561" s="98"/>
      <c r="I561" s="1126"/>
      <c r="J561" s="1135"/>
      <c r="K561" s="1135"/>
      <c r="L561" s="916"/>
    </row>
    <row r="562" spans="1:12" s="103" customFormat="1" ht="15.75" hidden="1" customHeight="1" outlineLevel="1">
      <c r="A562" s="916"/>
      <c r="B562" s="1123">
        <v>184</v>
      </c>
      <c r="C562" s="1127"/>
      <c r="D562" s="1125"/>
      <c r="E562" s="1125" t="s">
        <v>18</v>
      </c>
      <c r="F562" s="1130" t="str">
        <f>VLOOKUP(E562,$N$13:$O$17,2,0)</f>
        <v>-</v>
      </c>
      <c r="G562" s="92"/>
      <c r="H562" s="90"/>
      <c r="I562" s="1125"/>
      <c r="J562" s="1133"/>
      <c r="K562" s="1133"/>
      <c r="L562" s="916"/>
    </row>
    <row r="563" spans="1:12" s="103" customFormat="1" ht="15.75" hidden="1" customHeight="1" outlineLevel="1">
      <c r="A563" s="916"/>
      <c r="B563" s="1123"/>
      <c r="C563" s="1127"/>
      <c r="D563" s="1125"/>
      <c r="E563" s="1125"/>
      <c r="F563" s="1130"/>
      <c r="G563" s="95"/>
      <c r="H563" s="90"/>
      <c r="I563" s="1125"/>
      <c r="J563" s="1134"/>
      <c r="K563" s="1134"/>
      <c r="L563" s="916"/>
    </row>
    <row r="564" spans="1:12" s="103" customFormat="1" ht="15.75" hidden="1" customHeight="1" outlineLevel="1">
      <c r="A564" s="916"/>
      <c r="B564" s="1124"/>
      <c r="C564" s="1128"/>
      <c r="D564" s="1126"/>
      <c r="E564" s="1126"/>
      <c r="F564" s="1132"/>
      <c r="G564" s="100"/>
      <c r="H564" s="98"/>
      <c r="I564" s="1126"/>
      <c r="J564" s="1135"/>
      <c r="K564" s="1135"/>
      <c r="L564" s="916"/>
    </row>
    <row r="565" spans="1:12" s="103" customFormat="1" ht="15.75" hidden="1" customHeight="1" outlineLevel="1">
      <c r="A565" s="916"/>
      <c r="B565" s="1123">
        <v>185</v>
      </c>
      <c r="C565" s="1127"/>
      <c r="D565" s="1125"/>
      <c r="E565" s="1125" t="s">
        <v>18</v>
      </c>
      <c r="F565" s="1130" t="str">
        <f>VLOOKUP(E565,$N$13:$O$17,2,0)</f>
        <v>-</v>
      </c>
      <c r="G565" s="92"/>
      <c r="H565" s="90"/>
      <c r="I565" s="1125"/>
      <c r="J565" s="1133"/>
      <c r="K565" s="1133"/>
      <c r="L565" s="916"/>
    </row>
    <row r="566" spans="1:12" s="103" customFormat="1" ht="15.75" hidden="1" customHeight="1" outlineLevel="1">
      <c r="A566" s="916"/>
      <c r="B566" s="1123"/>
      <c r="C566" s="1127"/>
      <c r="D566" s="1125"/>
      <c r="E566" s="1125"/>
      <c r="F566" s="1130"/>
      <c r="G566" s="95"/>
      <c r="H566" s="90"/>
      <c r="I566" s="1125"/>
      <c r="J566" s="1134"/>
      <c r="K566" s="1134"/>
      <c r="L566" s="916"/>
    </row>
    <row r="567" spans="1:12" s="103" customFormat="1" ht="15.75" hidden="1" customHeight="1" outlineLevel="1">
      <c r="A567" s="916"/>
      <c r="B567" s="1124"/>
      <c r="C567" s="1128"/>
      <c r="D567" s="1126"/>
      <c r="E567" s="1126"/>
      <c r="F567" s="1132"/>
      <c r="G567" s="100"/>
      <c r="H567" s="98"/>
      <c r="I567" s="1126"/>
      <c r="J567" s="1135"/>
      <c r="K567" s="1135"/>
      <c r="L567" s="916"/>
    </row>
    <row r="568" spans="1:12" s="103" customFormat="1" ht="15.75" hidden="1" customHeight="1" outlineLevel="1">
      <c r="A568" s="916"/>
      <c r="B568" s="1123">
        <v>186</v>
      </c>
      <c r="C568" s="1127"/>
      <c r="D568" s="1125"/>
      <c r="E568" s="1125" t="s">
        <v>18</v>
      </c>
      <c r="F568" s="1130" t="str">
        <f>VLOOKUP(E568,$N$13:$O$17,2,0)</f>
        <v>-</v>
      </c>
      <c r="G568" s="92"/>
      <c r="H568" s="90"/>
      <c r="I568" s="1125"/>
      <c r="J568" s="1133"/>
      <c r="K568" s="1133"/>
      <c r="L568" s="916"/>
    </row>
    <row r="569" spans="1:12" s="103" customFormat="1" ht="15.75" hidden="1" customHeight="1" outlineLevel="1">
      <c r="A569" s="916"/>
      <c r="B569" s="1123"/>
      <c r="C569" s="1127"/>
      <c r="D569" s="1125"/>
      <c r="E569" s="1125"/>
      <c r="F569" s="1130"/>
      <c r="G569" s="95"/>
      <c r="H569" s="90"/>
      <c r="I569" s="1125"/>
      <c r="J569" s="1134"/>
      <c r="K569" s="1134"/>
      <c r="L569" s="916"/>
    </row>
    <row r="570" spans="1:12" s="103" customFormat="1" ht="15.75" hidden="1" customHeight="1" outlineLevel="1">
      <c r="A570" s="916"/>
      <c r="B570" s="1124"/>
      <c r="C570" s="1128"/>
      <c r="D570" s="1126"/>
      <c r="E570" s="1126"/>
      <c r="F570" s="1132"/>
      <c r="G570" s="100"/>
      <c r="H570" s="98"/>
      <c r="I570" s="1126"/>
      <c r="J570" s="1135"/>
      <c r="K570" s="1135"/>
      <c r="L570" s="916"/>
    </row>
    <row r="571" spans="1:12" s="103" customFormat="1" ht="15.75" hidden="1" customHeight="1" outlineLevel="1">
      <c r="A571" s="916"/>
      <c r="B571" s="1123">
        <v>187</v>
      </c>
      <c r="C571" s="1127"/>
      <c r="D571" s="1125"/>
      <c r="E571" s="1125" t="s">
        <v>18</v>
      </c>
      <c r="F571" s="1130" t="str">
        <f>VLOOKUP(E571,$N$13:$O$17,2,0)</f>
        <v>-</v>
      </c>
      <c r="G571" s="92"/>
      <c r="H571" s="90"/>
      <c r="I571" s="1125"/>
      <c r="J571" s="1133"/>
      <c r="K571" s="1133"/>
      <c r="L571" s="916"/>
    </row>
    <row r="572" spans="1:12" s="103" customFormat="1" ht="15.75" hidden="1" customHeight="1" outlineLevel="1">
      <c r="A572" s="916"/>
      <c r="B572" s="1123"/>
      <c r="C572" s="1127"/>
      <c r="D572" s="1125"/>
      <c r="E572" s="1125"/>
      <c r="F572" s="1130"/>
      <c r="G572" s="95"/>
      <c r="H572" s="90"/>
      <c r="I572" s="1125"/>
      <c r="J572" s="1134"/>
      <c r="K572" s="1134"/>
      <c r="L572" s="916"/>
    </row>
    <row r="573" spans="1:12" s="103" customFormat="1" ht="15.75" hidden="1" customHeight="1" outlineLevel="1">
      <c r="A573" s="916"/>
      <c r="B573" s="1124"/>
      <c r="C573" s="1128"/>
      <c r="D573" s="1126"/>
      <c r="E573" s="1126"/>
      <c r="F573" s="1132"/>
      <c r="G573" s="100"/>
      <c r="H573" s="98"/>
      <c r="I573" s="1126"/>
      <c r="J573" s="1135"/>
      <c r="K573" s="1135"/>
      <c r="L573" s="916"/>
    </row>
    <row r="574" spans="1:12" s="103" customFormat="1" ht="15.75" hidden="1" customHeight="1" outlineLevel="1">
      <c r="A574" s="916"/>
      <c r="B574" s="1123">
        <v>188</v>
      </c>
      <c r="C574" s="1127"/>
      <c r="D574" s="1125"/>
      <c r="E574" s="1125" t="s">
        <v>18</v>
      </c>
      <c r="F574" s="1130" t="str">
        <f>VLOOKUP(E574,$N$13:$O$17,2,0)</f>
        <v>-</v>
      </c>
      <c r="G574" s="92"/>
      <c r="H574" s="90"/>
      <c r="I574" s="1125"/>
      <c r="J574" s="1133"/>
      <c r="K574" s="1133"/>
      <c r="L574" s="916"/>
    </row>
    <row r="575" spans="1:12" s="103" customFormat="1" ht="15.75" hidden="1" customHeight="1" outlineLevel="1">
      <c r="A575" s="916"/>
      <c r="B575" s="1123"/>
      <c r="C575" s="1127"/>
      <c r="D575" s="1125"/>
      <c r="E575" s="1125"/>
      <c r="F575" s="1130"/>
      <c r="G575" s="95"/>
      <c r="H575" s="90"/>
      <c r="I575" s="1125"/>
      <c r="J575" s="1134"/>
      <c r="K575" s="1134"/>
      <c r="L575" s="916"/>
    </row>
    <row r="576" spans="1:12" s="103" customFormat="1" ht="15.75" hidden="1" customHeight="1" outlineLevel="1">
      <c r="A576" s="916"/>
      <c r="B576" s="1124"/>
      <c r="C576" s="1128"/>
      <c r="D576" s="1126"/>
      <c r="E576" s="1126"/>
      <c r="F576" s="1132"/>
      <c r="G576" s="100"/>
      <c r="H576" s="98"/>
      <c r="I576" s="1126"/>
      <c r="J576" s="1135"/>
      <c r="K576" s="1135"/>
      <c r="L576" s="916"/>
    </row>
    <row r="577" spans="1:12" s="103" customFormat="1" ht="15.75" hidden="1" customHeight="1" outlineLevel="1">
      <c r="A577" s="916"/>
      <c r="B577" s="1123">
        <v>189</v>
      </c>
      <c r="C577" s="1127"/>
      <c r="D577" s="1125"/>
      <c r="E577" s="1125" t="s">
        <v>18</v>
      </c>
      <c r="F577" s="1130" t="str">
        <f>VLOOKUP(E577,$N$13:$O$17,2,0)</f>
        <v>-</v>
      </c>
      <c r="G577" s="92"/>
      <c r="H577" s="90"/>
      <c r="I577" s="1125"/>
      <c r="J577" s="1133"/>
      <c r="K577" s="1133"/>
      <c r="L577" s="916"/>
    </row>
    <row r="578" spans="1:12" s="103" customFormat="1" ht="15.75" hidden="1" customHeight="1" outlineLevel="1">
      <c r="A578" s="916"/>
      <c r="B578" s="1123"/>
      <c r="C578" s="1127"/>
      <c r="D578" s="1125"/>
      <c r="E578" s="1125"/>
      <c r="F578" s="1130"/>
      <c r="G578" s="95"/>
      <c r="H578" s="90"/>
      <c r="I578" s="1125"/>
      <c r="J578" s="1134"/>
      <c r="K578" s="1134"/>
      <c r="L578" s="916"/>
    </row>
    <row r="579" spans="1:12" s="103" customFormat="1" ht="15.75" hidden="1" customHeight="1" outlineLevel="1">
      <c r="A579" s="916"/>
      <c r="B579" s="1124"/>
      <c r="C579" s="1128"/>
      <c r="D579" s="1126"/>
      <c r="E579" s="1126"/>
      <c r="F579" s="1132"/>
      <c r="G579" s="100"/>
      <c r="H579" s="98"/>
      <c r="I579" s="1126"/>
      <c r="J579" s="1135"/>
      <c r="K579" s="1135"/>
      <c r="L579" s="916"/>
    </row>
    <row r="580" spans="1:12" s="103" customFormat="1" ht="15.75" hidden="1" customHeight="1" outlineLevel="1">
      <c r="A580" s="916"/>
      <c r="B580" s="1123">
        <v>190</v>
      </c>
      <c r="C580" s="1127"/>
      <c r="D580" s="1125"/>
      <c r="E580" s="1125" t="s">
        <v>18</v>
      </c>
      <c r="F580" s="1130" t="str">
        <f>VLOOKUP(E580,$N$13:$O$17,2,0)</f>
        <v>-</v>
      </c>
      <c r="G580" s="92"/>
      <c r="H580" s="90"/>
      <c r="I580" s="1125"/>
      <c r="J580" s="1133"/>
      <c r="K580" s="1133"/>
      <c r="L580" s="916"/>
    </row>
    <row r="581" spans="1:12" s="103" customFormat="1" ht="15.75" hidden="1" customHeight="1" outlineLevel="1">
      <c r="A581" s="916"/>
      <c r="B581" s="1123"/>
      <c r="C581" s="1127"/>
      <c r="D581" s="1125"/>
      <c r="E581" s="1125"/>
      <c r="F581" s="1130"/>
      <c r="G581" s="95"/>
      <c r="H581" s="90"/>
      <c r="I581" s="1125"/>
      <c r="J581" s="1134"/>
      <c r="K581" s="1134"/>
      <c r="L581" s="916"/>
    </row>
    <row r="582" spans="1:12" s="103" customFormat="1" ht="15.75" hidden="1" customHeight="1" outlineLevel="1">
      <c r="A582" s="916"/>
      <c r="B582" s="1124"/>
      <c r="C582" s="1128"/>
      <c r="D582" s="1126"/>
      <c r="E582" s="1126"/>
      <c r="F582" s="1132"/>
      <c r="G582" s="100"/>
      <c r="H582" s="98"/>
      <c r="I582" s="1126"/>
      <c r="J582" s="1135"/>
      <c r="K582" s="1135"/>
      <c r="L582" s="916"/>
    </row>
    <row r="583" spans="1:12" s="103" customFormat="1" ht="15.75" hidden="1" customHeight="1" outlineLevel="1">
      <c r="A583" s="916"/>
      <c r="B583" s="1123">
        <v>191</v>
      </c>
      <c r="C583" s="1127"/>
      <c r="D583" s="1125"/>
      <c r="E583" s="1125" t="s">
        <v>18</v>
      </c>
      <c r="F583" s="1130" t="str">
        <f>VLOOKUP(E583,$N$13:$O$17,2,0)</f>
        <v>-</v>
      </c>
      <c r="G583" s="92"/>
      <c r="H583" s="90"/>
      <c r="I583" s="1125"/>
      <c r="J583" s="1133"/>
      <c r="K583" s="1133"/>
      <c r="L583" s="916"/>
    </row>
    <row r="584" spans="1:12" s="103" customFormat="1" ht="15.75" hidden="1" customHeight="1" outlineLevel="1">
      <c r="A584" s="916"/>
      <c r="B584" s="1123"/>
      <c r="C584" s="1127"/>
      <c r="D584" s="1125"/>
      <c r="E584" s="1125"/>
      <c r="F584" s="1130"/>
      <c r="G584" s="95"/>
      <c r="H584" s="90"/>
      <c r="I584" s="1125"/>
      <c r="J584" s="1134"/>
      <c r="K584" s="1134"/>
      <c r="L584" s="916"/>
    </row>
    <row r="585" spans="1:12" s="103" customFormat="1" ht="15.75" hidden="1" customHeight="1" outlineLevel="1">
      <c r="A585" s="916"/>
      <c r="B585" s="1124"/>
      <c r="C585" s="1128"/>
      <c r="D585" s="1126"/>
      <c r="E585" s="1126"/>
      <c r="F585" s="1132"/>
      <c r="G585" s="100"/>
      <c r="H585" s="98"/>
      <c r="I585" s="1126"/>
      <c r="J585" s="1135"/>
      <c r="K585" s="1135"/>
      <c r="L585" s="916"/>
    </row>
    <row r="586" spans="1:12" s="103" customFormat="1" ht="15.75" hidden="1" customHeight="1" outlineLevel="1">
      <c r="A586" s="916"/>
      <c r="B586" s="1123">
        <v>192</v>
      </c>
      <c r="C586" s="1127"/>
      <c r="D586" s="1125"/>
      <c r="E586" s="1125" t="s">
        <v>18</v>
      </c>
      <c r="F586" s="1130" t="str">
        <f>VLOOKUP(E586,$N$13:$O$17,2,0)</f>
        <v>-</v>
      </c>
      <c r="G586" s="92"/>
      <c r="H586" s="90"/>
      <c r="I586" s="1125"/>
      <c r="J586" s="1133"/>
      <c r="K586" s="1133"/>
      <c r="L586" s="916"/>
    </row>
    <row r="587" spans="1:12" s="103" customFormat="1" ht="15.75" hidden="1" customHeight="1" outlineLevel="1">
      <c r="A587" s="916"/>
      <c r="B587" s="1123"/>
      <c r="C587" s="1127"/>
      <c r="D587" s="1125"/>
      <c r="E587" s="1125"/>
      <c r="F587" s="1130"/>
      <c r="G587" s="95"/>
      <c r="H587" s="90"/>
      <c r="I587" s="1125"/>
      <c r="J587" s="1134"/>
      <c r="K587" s="1134"/>
      <c r="L587" s="916"/>
    </row>
    <row r="588" spans="1:12" s="103" customFormat="1" ht="15.75" hidden="1" customHeight="1" outlineLevel="1">
      <c r="A588" s="916"/>
      <c r="B588" s="1124"/>
      <c r="C588" s="1128"/>
      <c r="D588" s="1126"/>
      <c r="E588" s="1126"/>
      <c r="F588" s="1132"/>
      <c r="G588" s="100"/>
      <c r="H588" s="98"/>
      <c r="I588" s="1126"/>
      <c r="J588" s="1135"/>
      <c r="K588" s="1135"/>
      <c r="L588" s="916"/>
    </row>
    <row r="589" spans="1:12" s="103" customFormat="1" ht="15.75" hidden="1" customHeight="1" outlineLevel="1">
      <c r="A589" s="916"/>
      <c r="B589" s="1123">
        <v>193</v>
      </c>
      <c r="C589" s="1127"/>
      <c r="D589" s="1125"/>
      <c r="E589" s="1125" t="s">
        <v>18</v>
      </c>
      <c r="F589" s="1130" t="str">
        <f>VLOOKUP(E589,$N$13:$O$17,2,0)</f>
        <v>-</v>
      </c>
      <c r="G589" s="92"/>
      <c r="H589" s="90"/>
      <c r="I589" s="1125"/>
      <c r="J589" s="1133"/>
      <c r="K589" s="1133"/>
      <c r="L589" s="916"/>
    </row>
    <row r="590" spans="1:12" s="103" customFormat="1" ht="15.75" hidden="1" customHeight="1" outlineLevel="1">
      <c r="A590" s="916"/>
      <c r="B590" s="1123"/>
      <c r="C590" s="1127"/>
      <c r="D590" s="1125"/>
      <c r="E590" s="1125"/>
      <c r="F590" s="1130"/>
      <c r="G590" s="95"/>
      <c r="H590" s="90"/>
      <c r="I590" s="1125"/>
      <c r="J590" s="1134"/>
      <c r="K590" s="1134"/>
      <c r="L590" s="916"/>
    </row>
    <row r="591" spans="1:12" s="103" customFormat="1" ht="15.75" hidden="1" customHeight="1" outlineLevel="1">
      <c r="A591" s="916"/>
      <c r="B591" s="1124"/>
      <c r="C591" s="1128"/>
      <c r="D591" s="1126"/>
      <c r="E591" s="1126"/>
      <c r="F591" s="1132"/>
      <c r="G591" s="100"/>
      <c r="H591" s="98"/>
      <c r="I591" s="1126"/>
      <c r="J591" s="1135"/>
      <c r="K591" s="1135"/>
      <c r="L591" s="916"/>
    </row>
    <row r="592" spans="1:12" s="103" customFormat="1" ht="15.75" hidden="1" customHeight="1" outlineLevel="1">
      <c r="A592" s="916"/>
      <c r="B592" s="1123">
        <v>194</v>
      </c>
      <c r="C592" s="1127"/>
      <c r="D592" s="1125"/>
      <c r="E592" s="1125" t="s">
        <v>18</v>
      </c>
      <c r="F592" s="1130" t="str">
        <f>VLOOKUP(E592,$N$13:$O$17,2,0)</f>
        <v>-</v>
      </c>
      <c r="G592" s="92"/>
      <c r="H592" s="90"/>
      <c r="I592" s="1125"/>
      <c r="J592" s="1133"/>
      <c r="K592" s="1133"/>
      <c r="L592" s="916"/>
    </row>
    <row r="593" spans="1:12" s="103" customFormat="1" ht="15.75" hidden="1" customHeight="1" outlineLevel="1">
      <c r="A593" s="916"/>
      <c r="B593" s="1123"/>
      <c r="C593" s="1127"/>
      <c r="D593" s="1125"/>
      <c r="E593" s="1125"/>
      <c r="F593" s="1130"/>
      <c r="G593" s="95"/>
      <c r="H593" s="90"/>
      <c r="I593" s="1125"/>
      <c r="J593" s="1134"/>
      <c r="K593" s="1134"/>
      <c r="L593" s="916"/>
    </row>
    <row r="594" spans="1:12" s="103" customFormat="1" ht="15.75" hidden="1" customHeight="1" outlineLevel="1">
      <c r="A594" s="916"/>
      <c r="B594" s="1124"/>
      <c r="C594" s="1128"/>
      <c r="D594" s="1126"/>
      <c r="E594" s="1126"/>
      <c r="F594" s="1132"/>
      <c r="G594" s="100"/>
      <c r="H594" s="98"/>
      <c r="I594" s="1126"/>
      <c r="J594" s="1135"/>
      <c r="K594" s="1135"/>
      <c r="L594" s="916"/>
    </row>
    <row r="595" spans="1:12" s="103" customFormat="1" ht="15.75" hidden="1" customHeight="1" outlineLevel="1">
      <c r="A595" s="916"/>
      <c r="B595" s="1123">
        <v>195</v>
      </c>
      <c r="C595" s="1127"/>
      <c r="D595" s="1125"/>
      <c r="E595" s="1125" t="s">
        <v>18</v>
      </c>
      <c r="F595" s="1130" t="str">
        <f>VLOOKUP(E595,$N$13:$O$17,2,0)</f>
        <v>-</v>
      </c>
      <c r="G595" s="92"/>
      <c r="H595" s="90"/>
      <c r="I595" s="1125"/>
      <c r="J595" s="1133"/>
      <c r="K595" s="1133"/>
      <c r="L595" s="916"/>
    </row>
    <row r="596" spans="1:12" s="103" customFormat="1" ht="15.75" hidden="1" customHeight="1" outlineLevel="1">
      <c r="A596" s="916"/>
      <c r="B596" s="1123"/>
      <c r="C596" s="1127"/>
      <c r="D596" s="1125"/>
      <c r="E596" s="1125"/>
      <c r="F596" s="1130"/>
      <c r="G596" s="95"/>
      <c r="H596" s="90"/>
      <c r="I596" s="1125"/>
      <c r="J596" s="1134"/>
      <c r="K596" s="1134"/>
      <c r="L596" s="916"/>
    </row>
    <row r="597" spans="1:12" s="103" customFormat="1" ht="15.75" hidden="1" customHeight="1" outlineLevel="1">
      <c r="A597" s="916"/>
      <c r="B597" s="1124"/>
      <c r="C597" s="1128"/>
      <c r="D597" s="1126"/>
      <c r="E597" s="1126"/>
      <c r="F597" s="1132"/>
      <c r="G597" s="100"/>
      <c r="H597" s="98"/>
      <c r="I597" s="1126"/>
      <c r="J597" s="1135"/>
      <c r="K597" s="1135"/>
      <c r="L597" s="916"/>
    </row>
    <row r="598" spans="1:12" s="103" customFormat="1" ht="15.75" hidden="1" customHeight="1" outlineLevel="1">
      <c r="A598" s="916"/>
      <c r="B598" s="1123">
        <v>196</v>
      </c>
      <c r="C598" s="1127"/>
      <c r="D598" s="1125"/>
      <c r="E598" s="1125" t="s">
        <v>18</v>
      </c>
      <c r="F598" s="1130" t="str">
        <f>VLOOKUP(E598,$N$13:$O$17,2,0)</f>
        <v>-</v>
      </c>
      <c r="G598" s="92"/>
      <c r="H598" s="90"/>
      <c r="I598" s="1125"/>
      <c r="J598" s="1133"/>
      <c r="K598" s="1133"/>
      <c r="L598" s="916"/>
    </row>
    <row r="599" spans="1:12" s="103" customFormat="1" ht="15.75" hidden="1" customHeight="1" outlineLevel="1">
      <c r="A599" s="916"/>
      <c r="B599" s="1123"/>
      <c r="C599" s="1127"/>
      <c r="D599" s="1125"/>
      <c r="E599" s="1125"/>
      <c r="F599" s="1130"/>
      <c r="G599" s="95"/>
      <c r="H599" s="90"/>
      <c r="I599" s="1125"/>
      <c r="J599" s="1134"/>
      <c r="K599" s="1134"/>
      <c r="L599" s="916"/>
    </row>
    <row r="600" spans="1:12" s="103" customFormat="1" ht="15.75" hidden="1" customHeight="1" outlineLevel="1">
      <c r="A600" s="916"/>
      <c r="B600" s="1124"/>
      <c r="C600" s="1128"/>
      <c r="D600" s="1126"/>
      <c r="E600" s="1126"/>
      <c r="F600" s="1132"/>
      <c r="G600" s="100"/>
      <c r="H600" s="98"/>
      <c r="I600" s="1126"/>
      <c r="J600" s="1135"/>
      <c r="K600" s="1135"/>
      <c r="L600" s="916"/>
    </row>
    <row r="601" spans="1:12" s="103" customFormat="1" ht="15.75" hidden="1" customHeight="1" outlineLevel="1">
      <c r="A601" s="916"/>
      <c r="B601" s="1123">
        <v>197</v>
      </c>
      <c r="C601" s="1127"/>
      <c r="D601" s="1125"/>
      <c r="E601" s="1125" t="s">
        <v>18</v>
      </c>
      <c r="F601" s="1130" t="str">
        <f>VLOOKUP(E601,$N$13:$O$17,2,0)</f>
        <v>-</v>
      </c>
      <c r="G601" s="92"/>
      <c r="H601" s="90"/>
      <c r="I601" s="1125"/>
      <c r="J601" s="1133"/>
      <c r="K601" s="1133"/>
      <c r="L601" s="916"/>
    </row>
    <row r="602" spans="1:12" s="103" customFormat="1" ht="15.75" hidden="1" customHeight="1" outlineLevel="1">
      <c r="A602" s="916"/>
      <c r="B602" s="1123"/>
      <c r="C602" s="1127"/>
      <c r="D602" s="1125"/>
      <c r="E602" s="1125"/>
      <c r="F602" s="1130"/>
      <c r="G602" s="95"/>
      <c r="H602" s="90"/>
      <c r="I602" s="1125"/>
      <c r="J602" s="1134"/>
      <c r="K602" s="1134"/>
      <c r="L602" s="916"/>
    </row>
    <row r="603" spans="1:12" s="103" customFormat="1" ht="15.75" hidden="1" customHeight="1" outlineLevel="1">
      <c r="A603" s="916"/>
      <c r="B603" s="1124"/>
      <c r="C603" s="1128"/>
      <c r="D603" s="1126"/>
      <c r="E603" s="1126"/>
      <c r="F603" s="1132"/>
      <c r="G603" s="100"/>
      <c r="H603" s="98"/>
      <c r="I603" s="1126"/>
      <c r="J603" s="1135"/>
      <c r="K603" s="1135"/>
      <c r="L603" s="916"/>
    </row>
    <row r="604" spans="1:12" s="103" customFormat="1" ht="15.75" hidden="1" customHeight="1" outlineLevel="1">
      <c r="A604" s="916"/>
      <c r="B604" s="1123">
        <v>198</v>
      </c>
      <c r="C604" s="1127"/>
      <c r="D604" s="1125"/>
      <c r="E604" s="1125" t="s">
        <v>18</v>
      </c>
      <c r="F604" s="1130" t="str">
        <f>VLOOKUP(E604,$N$13:$O$17,2,0)</f>
        <v>-</v>
      </c>
      <c r="G604" s="92"/>
      <c r="H604" s="90"/>
      <c r="I604" s="1125"/>
      <c r="J604" s="1133"/>
      <c r="K604" s="1133"/>
      <c r="L604" s="916"/>
    </row>
    <row r="605" spans="1:12" s="103" customFormat="1" ht="15.75" hidden="1" customHeight="1" outlineLevel="1">
      <c r="A605" s="916"/>
      <c r="B605" s="1123"/>
      <c r="C605" s="1127"/>
      <c r="D605" s="1125"/>
      <c r="E605" s="1125"/>
      <c r="F605" s="1130"/>
      <c r="G605" s="95"/>
      <c r="H605" s="90"/>
      <c r="I605" s="1125"/>
      <c r="J605" s="1134"/>
      <c r="K605" s="1134"/>
      <c r="L605" s="916"/>
    </row>
    <row r="606" spans="1:12" s="103" customFormat="1" ht="15.75" hidden="1" customHeight="1" outlineLevel="1">
      <c r="A606" s="916"/>
      <c r="B606" s="1124"/>
      <c r="C606" s="1128"/>
      <c r="D606" s="1126"/>
      <c r="E606" s="1126"/>
      <c r="F606" s="1132"/>
      <c r="G606" s="100"/>
      <c r="H606" s="98"/>
      <c r="I606" s="1126"/>
      <c r="J606" s="1135"/>
      <c r="K606" s="1135"/>
      <c r="L606" s="916"/>
    </row>
    <row r="607" spans="1:12" s="103" customFormat="1" ht="15.75" hidden="1" customHeight="1" outlineLevel="1">
      <c r="A607" s="916"/>
      <c r="B607" s="1123">
        <v>199</v>
      </c>
      <c r="C607" s="1127"/>
      <c r="D607" s="1125"/>
      <c r="E607" s="1125" t="s">
        <v>18</v>
      </c>
      <c r="F607" s="1130" t="str">
        <f>VLOOKUP(E607,$N$13:$O$17,2,0)</f>
        <v>-</v>
      </c>
      <c r="G607" s="92"/>
      <c r="H607" s="90"/>
      <c r="I607" s="1125"/>
      <c r="J607" s="1133"/>
      <c r="K607" s="1133"/>
      <c r="L607" s="916"/>
    </row>
    <row r="608" spans="1:12" s="103" customFormat="1" ht="15.75" hidden="1" customHeight="1" outlineLevel="1">
      <c r="A608" s="916"/>
      <c r="B608" s="1123"/>
      <c r="C608" s="1127"/>
      <c r="D608" s="1125"/>
      <c r="E608" s="1125"/>
      <c r="F608" s="1130"/>
      <c r="G608" s="95"/>
      <c r="H608" s="90"/>
      <c r="I608" s="1125"/>
      <c r="J608" s="1134"/>
      <c r="K608" s="1134"/>
      <c r="L608" s="916"/>
    </row>
    <row r="609" spans="1:12" s="103" customFormat="1" ht="15.75" hidden="1" customHeight="1" outlineLevel="1">
      <c r="A609" s="916"/>
      <c r="B609" s="1124"/>
      <c r="C609" s="1128"/>
      <c r="D609" s="1126"/>
      <c r="E609" s="1126"/>
      <c r="F609" s="1132"/>
      <c r="G609" s="100"/>
      <c r="H609" s="98"/>
      <c r="I609" s="1126"/>
      <c r="J609" s="1135"/>
      <c r="K609" s="1135"/>
      <c r="L609" s="916"/>
    </row>
    <row r="610" spans="1:12" s="103" customFormat="1" ht="15.75" hidden="1" customHeight="1" outlineLevel="1">
      <c r="A610" s="916"/>
      <c r="B610" s="1123">
        <v>200</v>
      </c>
      <c r="C610" s="1149" t="e">
        <f>CONCATENATE("Inne ",IF(#REF!=0,0,ROUND(#REF!/#REF!*100,1))," %")</f>
        <v>#REF!</v>
      </c>
      <c r="D610" s="1125"/>
      <c r="E610" s="1125" t="s">
        <v>18</v>
      </c>
      <c r="F610" s="1130" t="str">
        <f>VLOOKUP(E610,$N$13:$O$17,2,0)</f>
        <v>-</v>
      </c>
      <c r="G610" s="92"/>
      <c r="H610" s="90"/>
      <c r="I610" s="1125"/>
      <c r="J610" s="1133"/>
      <c r="K610" s="1133"/>
      <c r="L610" s="916"/>
    </row>
    <row r="611" spans="1:12" s="103" customFormat="1" ht="15.75" hidden="1" customHeight="1" outlineLevel="1">
      <c r="A611" s="916"/>
      <c r="B611" s="1123"/>
      <c r="C611" s="1150"/>
      <c r="D611" s="1125"/>
      <c r="E611" s="1125"/>
      <c r="F611" s="1130"/>
      <c r="G611" s="95"/>
      <c r="H611" s="90"/>
      <c r="I611" s="1125"/>
      <c r="J611" s="1134"/>
      <c r="K611" s="1134"/>
      <c r="L611" s="916"/>
    </row>
    <row r="612" spans="1:12" s="103" customFormat="1" ht="15.75" hidden="1" customHeight="1" outlineLevel="1" thickBot="1">
      <c r="A612" s="916"/>
      <c r="B612" s="1124"/>
      <c r="C612" s="1151"/>
      <c r="D612" s="1126"/>
      <c r="E612" s="1126"/>
      <c r="F612" s="1132"/>
      <c r="G612" s="100"/>
      <c r="H612" s="98"/>
      <c r="I612" s="1126"/>
      <c r="J612" s="1135"/>
      <c r="K612" s="1135"/>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45"/>
      <c r="G621" s="1146"/>
      <c r="H621" s="1146"/>
      <c r="I621" s="1146"/>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K8:K10"/>
    <mergeCell ref="F621:I621"/>
    <mergeCell ref="H22:H24"/>
    <mergeCell ref="H25:H27"/>
    <mergeCell ref="H28:H30"/>
    <mergeCell ref="H31:H33"/>
    <mergeCell ref="H136:H138"/>
    <mergeCell ref="H139:H141"/>
    <mergeCell ref="F604:F606"/>
    <mergeCell ref="I604:I606"/>
    <mergeCell ref="J607:J609"/>
    <mergeCell ref="F601:F603"/>
    <mergeCell ref="I601:I603"/>
    <mergeCell ref="J592:J594"/>
    <mergeCell ref="J595:J597"/>
    <mergeCell ref="D601:D603"/>
    <mergeCell ref="E601:E603"/>
    <mergeCell ref="I607:I609"/>
    <mergeCell ref="F595:F597"/>
    <mergeCell ref="I595:I597"/>
    <mergeCell ref="D586:D588"/>
    <mergeCell ref="E586:E588"/>
    <mergeCell ref="F577:F579"/>
    <mergeCell ref="I577:I579"/>
    <mergeCell ref="F574:F576"/>
    <mergeCell ref="J568:J570"/>
    <mergeCell ref="J571:J573"/>
    <mergeCell ref="F568:F570"/>
    <mergeCell ref="I568:I570"/>
    <mergeCell ref="J565:J567"/>
    <mergeCell ref="F535:F537"/>
    <mergeCell ref="K580:K582"/>
    <mergeCell ref="B604:B606"/>
    <mergeCell ref="C604:C606"/>
    <mergeCell ref="D604:D606"/>
    <mergeCell ref="E604:E606"/>
    <mergeCell ref="K601:K603"/>
    <mergeCell ref="J601:J603"/>
    <mergeCell ref="B601:B603"/>
    <mergeCell ref="C601:C603"/>
    <mergeCell ref="J604:J606"/>
    <mergeCell ref="F610:F612"/>
    <mergeCell ref="B607:B609"/>
    <mergeCell ref="C607:C609"/>
    <mergeCell ref="D607:D609"/>
    <mergeCell ref="E607:E609"/>
    <mergeCell ref="B610:B612"/>
    <mergeCell ref="C610:C612"/>
    <mergeCell ref="F607:F609"/>
    <mergeCell ref="K610:K612"/>
    <mergeCell ref="K604:K606"/>
    <mergeCell ref="K607:K609"/>
    <mergeCell ref="D610:D612"/>
    <mergeCell ref="E610:E612"/>
    <mergeCell ref="J610:J612"/>
    <mergeCell ref="I610:I612"/>
    <mergeCell ref="K595:K597"/>
    <mergeCell ref="F592:F594"/>
    <mergeCell ref="I592:I594"/>
    <mergeCell ref="K598:K600"/>
    <mergeCell ref="B598:B600"/>
    <mergeCell ref="C598:C600"/>
    <mergeCell ref="D598:D600"/>
    <mergeCell ref="E598:E600"/>
    <mergeCell ref="J598:J600"/>
    <mergeCell ref="I598:I600"/>
    <mergeCell ref="F598:F600"/>
    <mergeCell ref="D589:D591"/>
    <mergeCell ref="E589:E591"/>
    <mergeCell ref="B595:B597"/>
    <mergeCell ref="C595:C597"/>
    <mergeCell ref="D595:D597"/>
    <mergeCell ref="E595:E597"/>
    <mergeCell ref="F589:F591"/>
    <mergeCell ref="I589:I591"/>
    <mergeCell ref="B592:B594"/>
    <mergeCell ref="I586:I588"/>
    <mergeCell ref="F583:F585"/>
    <mergeCell ref="I583:I585"/>
    <mergeCell ref="F586:F588"/>
    <mergeCell ref="B589:B591"/>
    <mergeCell ref="C589:C591"/>
    <mergeCell ref="J589:J591"/>
    <mergeCell ref="K589:K591"/>
    <mergeCell ref="K586:K588"/>
    <mergeCell ref="J586:J588"/>
    <mergeCell ref="B586:B588"/>
    <mergeCell ref="C586:C588"/>
    <mergeCell ref="B583:B585"/>
    <mergeCell ref="C583:C585"/>
    <mergeCell ref="D583:D585"/>
    <mergeCell ref="E583:E585"/>
    <mergeCell ref="C592:C594"/>
    <mergeCell ref="D592:D594"/>
    <mergeCell ref="E592:E594"/>
    <mergeCell ref="K592:K594"/>
    <mergeCell ref="B580:B582"/>
    <mergeCell ref="C580:C582"/>
    <mergeCell ref="D580:D582"/>
    <mergeCell ref="E580:E582"/>
    <mergeCell ref="J580:J582"/>
    <mergeCell ref="J583:J585"/>
    <mergeCell ref="F580:F582"/>
    <mergeCell ref="I580:I582"/>
    <mergeCell ref="B574:B576"/>
    <mergeCell ref="C574:C576"/>
    <mergeCell ref="D574:D576"/>
    <mergeCell ref="E574:E576"/>
    <mergeCell ref="I574:I576"/>
    <mergeCell ref="K577:K579"/>
    <mergeCell ref="K574:K576"/>
    <mergeCell ref="K568:K570"/>
    <mergeCell ref="K571:K573"/>
    <mergeCell ref="B577:B579"/>
    <mergeCell ref="C577:C579"/>
    <mergeCell ref="D577:D579"/>
    <mergeCell ref="E577:E579"/>
    <mergeCell ref="J574:J576"/>
    <mergeCell ref="J577:J579"/>
    <mergeCell ref="B568:B570"/>
    <mergeCell ref="C568:C570"/>
    <mergeCell ref="D568:D570"/>
    <mergeCell ref="E568:E570"/>
    <mergeCell ref="K583:K585"/>
    <mergeCell ref="J562:J564"/>
    <mergeCell ref="K565:K567"/>
    <mergeCell ref="K562:K564"/>
    <mergeCell ref="F565:F567"/>
    <mergeCell ref="I565:I567"/>
    <mergeCell ref="B553:B555"/>
    <mergeCell ref="C553:C555"/>
    <mergeCell ref="D553:D555"/>
    <mergeCell ref="E553:E555"/>
    <mergeCell ref="B565:B567"/>
    <mergeCell ref="C565:C567"/>
    <mergeCell ref="D565:D567"/>
    <mergeCell ref="E565:E567"/>
    <mergeCell ref="F571:F573"/>
    <mergeCell ref="I571:I573"/>
    <mergeCell ref="B562:B564"/>
    <mergeCell ref="C562:C564"/>
    <mergeCell ref="D562:D564"/>
    <mergeCell ref="E562:E564"/>
    <mergeCell ref="B571:B573"/>
    <mergeCell ref="C571:C573"/>
    <mergeCell ref="D571:D573"/>
    <mergeCell ref="E571:E573"/>
    <mergeCell ref="K559:K561"/>
    <mergeCell ref="I562:I564"/>
    <mergeCell ref="F559:F561"/>
    <mergeCell ref="I559:I561"/>
    <mergeCell ref="F562:F564"/>
    <mergeCell ref="J553:J555"/>
    <mergeCell ref="K553:K555"/>
    <mergeCell ref="I556:I558"/>
    <mergeCell ref="F553:F555"/>
    <mergeCell ref="I553:I555"/>
    <mergeCell ref="B556:B558"/>
    <mergeCell ref="C556:C558"/>
    <mergeCell ref="D556:D558"/>
    <mergeCell ref="E556:E558"/>
    <mergeCell ref="K556:K558"/>
    <mergeCell ref="B559:B561"/>
    <mergeCell ref="C559:C561"/>
    <mergeCell ref="D559:D561"/>
    <mergeCell ref="E559:E561"/>
    <mergeCell ref="J556:J558"/>
    <mergeCell ref="J559:J561"/>
    <mergeCell ref="F556:F558"/>
    <mergeCell ref="B547:B549"/>
    <mergeCell ref="C547:C549"/>
    <mergeCell ref="D547:D549"/>
    <mergeCell ref="E547:E549"/>
    <mergeCell ref="B544:B546"/>
    <mergeCell ref="C544:C546"/>
    <mergeCell ref="D544:D546"/>
    <mergeCell ref="E544:E546"/>
    <mergeCell ref="K544:K546"/>
    <mergeCell ref="K547:K549"/>
    <mergeCell ref="I550:I552"/>
    <mergeCell ref="F547:F549"/>
    <mergeCell ref="I547:I549"/>
    <mergeCell ref="F550:F552"/>
    <mergeCell ref="F544:F546"/>
    <mergeCell ref="I544:I546"/>
    <mergeCell ref="J544:J546"/>
    <mergeCell ref="J547:J549"/>
    <mergeCell ref="B550:B552"/>
    <mergeCell ref="C550:C552"/>
    <mergeCell ref="D550:D552"/>
    <mergeCell ref="E550:E552"/>
    <mergeCell ref="J550:J552"/>
    <mergeCell ref="K550:K552"/>
    <mergeCell ref="J538:J540"/>
    <mergeCell ref="F532:F534"/>
    <mergeCell ref="D541:D543"/>
    <mergeCell ref="E541:E543"/>
    <mergeCell ref="B538:B540"/>
    <mergeCell ref="C538:C540"/>
    <mergeCell ref="D538:D540"/>
    <mergeCell ref="E538:E540"/>
    <mergeCell ref="B541:B543"/>
    <mergeCell ref="C541:C543"/>
    <mergeCell ref="F541:F543"/>
    <mergeCell ref="I541:I543"/>
    <mergeCell ref="J541:J543"/>
    <mergeCell ref="J529:J531"/>
    <mergeCell ref="K541:K543"/>
    <mergeCell ref="K538:K540"/>
    <mergeCell ref="I538:I540"/>
    <mergeCell ref="F538:F540"/>
    <mergeCell ref="K529:K531"/>
    <mergeCell ref="I535:I537"/>
    <mergeCell ref="F529:F531"/>
    <mergeCell ref="I529:I531"/>
    <mergeCell ref="B532:B534"/>
    <mergeCell ref="C532:C534"/>
    <mergeCell ref="D532:D534"/>
    <mergeCell ref="E532:E534"/>
    <mergeCell ref="B529:B531"/>
    <mergeCell ref="C529:C531"/>
    <mergeCell ref="D529:D531"/>
    <mergeCell ref="E529:E531"/>
    <mergeCell ref="I532:I534"/>
    <mergeCell ref="B535:B537"/>
    <mergeCell ref="C535:C537"/>
    <mergeCell ref="D535:D537"/>
    <mergeCell ref="E535:E537"/>
    <mergeCell ref="K532:K534"/>
    <mergeCell ref="K535:K537"/>
    <mergeCell ref="J532:J534"/>
    <mergeCell ref="J535:J537"/>
    <mergeCell ref="B520:B522"/>
    <mergeCell ref="C520:C522"/>
    <mergeCell ref="D520:D522"/>
    <mergeCell ref="E520:E522"/>
    <mergeCell ref="B526:B528"/>
    <mergeCell ref="C526:C528"/>
    <mergeCell ref="D526:D528"/>
    <mergeCell ref="E526:E528"/>
    <mergeCell ref="K520:K522"/>
    <mergeCell ref="K523:K525"/>
    <mergeCell ref="I526:I528"/>
    <mergeCell ref="F523:F525"/>
    <mergeCell ref="I523:I525"/>
    <mergeCell ref="F526:F528"/>
    <mergeCell ref="B523:B525"/>
    <mergeCell ref="C523:C525"/>
    <mergeCell ref="D523:D525"/>
    <mergeCell ref="E523:E525"/>
    <mergeCell ref="J520:J522"/>
    <mergeCell ref="J523:J525"/>
    <mergeCell ref="F520:F522"/>
    <mergeCell ref="I520:I522"/>
    <mergeCell ref="J526:J528"/>
    <mergeCell ref="K526:K528"/>
    <mergeCell ref="J511:J513"/>
    <mergeCell ref="B517:B519"/>
    <mergeCell ref="C517:C519"/>
    <mergeCell ref="D517:D519"/>
    <mergeCell ref="E517:E519"/>
    <mergeCell ref="B514:B516"/>
    <mergeCell ref="C514:C516"/>
    <mergeCell ref="D514:D516"/>
    <mergeCell ref="E514:E516"/>
    <mergeCell ref="J514:J516"/>
    <mergeCell ref="J517:J519"/>
    <mergeCell ref="K505:K507"/>
    <mergeCell ref="K502:K504"/>
    <mergeCell ref="B511:B513"/>
    <mergeCell ref="C511:C513"/>
    <mergeCell ref="D511:D513"/>
    <mergeCell ref="E511:E513"/>
    <mergeCell ref="B508:B510"/>
    <mergeCell ref="C508:C510"/>
    <mergeCell ref="D508:D510"/>
    <mergeCell ref="E508:E510"/>
    <mergeCell ref="K508:K510"/>
    <mergeCell ref="K511:K513"/>
    <mergeCell ref="I502:I504"/>
    <mergeCell ref="F511:F513"/>
    <mergeCell ref="I511:I513"/>
    <mergeCell ref="K517:K519"/>
    <mergeCell ref="K514:K516"/>
    <mergeCell ref="F517:F519"/>
    <mergeCell ref="I517:I519"/>
    <mergeCell ref="I514:I516"/>
    <mergeCell ref="F514:F516"/>
    <mergeCell ref="F502:F504"/>
    <mergeCell ref="J496:J498"/>
    <mergeCell ref="J499:J501"/>
    <mergeCell ref="J502:J504"/>
    <mergeCell ref="F496:F498"/>
    <mergeCell ref="D505:D507"/>
    <mergeCell ref="E505:E507"/>
    <mergeCell ref="B502:B504"/>
    <mergeCell ref="C502:C504"/>
    <mergeCell ref="D502:D504"/>
    <mergeCell ref="E502:E504"/>
    <mergeCell ref="B505:B507"/>
    <mergeCell ref="C505:C507"/>
    <mergeCell ref="F505:F507"/>
    <mergeCell ref="I505:I507"/>
    <mergeCell ref="J505:J507"/>
    <mergeCell ref="F508:F510"/>
    <mergeCell ref="I508:I510"/>
    <mergeCell ref="J508:J510"/>
    <mergeCell ref="J493:J495"/>
    <mergeCell ref="K493:K495"/>
    <mergeCell ref="K490:K492"/>
    <mergeCell ref="F493:F495"/>
    <mergeCell ref="I493:I495"/>
    <mergeCell ref="B496:B498"/>
    <mergeCell ref="C496:C498"/>
    <mergeCell ref="D496:D498"/>
    <mergeCell ref="E496:E498"/>
    <mergeCell ref="B493:B495"/>
    <mergeCell ref="C493:C495"/>
    <mergeCell ref="D493:D495"/>
    <mergeCell ref="E493:E495"/>
    <mergeCell ref="I496:I498"/>
    <mergeCell ref="B499:B501"/>
    <mergeCell ref="C499:C501"/>
    <mergeCell ref="D499:D501"/>
    <mergeCell ref="E499:E501"/>
    <mergeCell ref="K496:K498"/>
    <mergeCell ref="K499:K501"/>
    <mergeCell ref="B490:B492"/>
    <mergeCell ref="C490:C492"/>
    <mergeCell ref="D490:D492"/>
    <mergeCell ref="E490:E492"/>
    <mergeCell ref="F499:F501"/>
    <mergeCell ref="I499:I501"/>
    <mergeCell ref="K487:K489"/>
    <mergeCell ref="I490:I492"/>
    <mergeCell ref="F487:F489"/>
    <mergeCell ref="I487:I489"/>
    <mergeCell ref="F490:F492"/>
    <mergeCell ref="B487:B489"/>
    <mergeCell ref="C487:C489"/>
    <mergeCell ref="D487:D489"/>
    <mergeCell ref="E487:E489"/>
    <mergeCell ref="J484:J486"/>
    <mergeCell ref="J487:J489"/>
    <mergeCell ref="F484:F486"/>
    <mergeCell ref="I484:I486"/>
    <mergeCell ref="J490:J492"/>
    <mergeCell ref="B481:B483"/>
    <mergeCell ref="C481:C483"/>
    <mergeCell ref="D481:D483"/>
    <mergeCell ref="E481:E483"/>
    <mergeCell ref="B478:B480"/>
    <mergeCell ref="C478:C480"/>
    <mergeCell ref="D478:D480"/>
    <mergeCell ref="E478:E480"/>
    <mergeCell ref="J478:J480"/>
    <mergeCell ref="J481:J483"/>
    <mergeCell ref="K481:K483"/>
    <mergeCell ref="K478:K480"/>
    <mergeCell ref="F481:F483"/>
    <mergeCell ref="I481:I483"/>
    <mergeCell ref="B484:B486"/>
    <mergeCell ref="C484:C486"/>
    <mergeCell ref="D484:D486"/>
    <mergeCell ref="E484:E486"/>
    <mergeCell ref="K484:K486"/>
    <mergeCell ref="B475:B477"/>
    <mergeCell ref="C475:C477"/>
    <mergeCell ref="D475:D477"/>
    <mergeCell ref="E475:E477"/>
    <mergeCell ref="B472:B474"/>
    <mergeCell ref="C472:C474"/>
    <mergeCell ref="D472:D474"/>
    <mergeCell ref="E472:E474"/>
    <mergeCell ref="K472:K474"/>
    <mergeCell ref="K475:K477"/>
    <mergeCell ref="I478:I480"/>
    <mergeCell ref="F475:F477"/>
    <mergeCell ref="I475:I477"/>
    <mergeCell ref="F478:F480"/>
    <mergeCell ref="F472:F474"/>
    <mergeCell ref="I472:I474"/>
    <mergeCell ref="J472:J474"/>
    <mergeCell ref="J475:J477"/>
    <mergeCell ref="K460:K462"/>
    <mergeCell ref="K463:K465"/>
    <mergeCell ref="F463:F465"/>
    <mergeCell ref="I463:I465"/>
    <mergeCell ref="J460:J462"/>
    <mergeCell ref="J463:J465"/>
    <mergeCell ref="J466:J468"/>
    <mergeCell ref="F460:F462"/>
    <mergeCell ref="D469:D471"/>
    <mergeCell ref="E469:E471"/>
    <mergeCell ref="B466:B468"/>
    <mergeCell ref="C466:C468"/>
    <mergeCell ref="D466:D468"/>
    <mergeCell ref="E466:E468"/>
    <mergeCell ref="B469:B471"/>
    <mergeCell ref="C469:C471"/>
    <mergeCell ref="F469:F471"/>
    <mergeCell ref="I469:I471"/>
    <mergeCell ref="K454:K456"/>
    <mergeCell ref="J469:J471"/>
    <mergeCell ref="J457:J459"/>
    <mergeCell ref="K469:K471"/>
    <mergeCell ref="K466:K468"/>
    <mergeCell ref="I466:I468"/>
    <mergeCell ref="F466:F468"/>
    <mergeCell ref="K457:K459"/>
    <mergeCell ref="F457:F459"/>
    <mergeCell ref="I457:I459"/>
    <mergeCell ref="B460:B462"/>
    <mergeCell ref="C460:C462"/>
    <mergeCell ref="D460:D462"/>
    <mergeCell ref="E460:E462"/>
    <mergeCell ref="B457:B459"/>
    <mergeCell ref="C457:C459"/>
    <mergeCell ref="D457:D459"/>
    <mergeCell ref="E457:E459"/>
    <mergeCell ref="I460:I462"/>
    <mergeCell ref="B463:B465"/>
    <mergeCell ref="C463:C465"/>
    <mergeCell ref="D463:D465"/>
    <mergeCell ref="E463:E465"/>
    <mergeCell ref="K439:K441"/>
    <mergeCell ref="F439:F441"/>
    <mergeCell ref="I439:I441"/>
    <mergeCell ref="F436:F438"/>
    <mergeCell ref="I436:I438"/>
    <mergeCell ref="J436:J438"/>
    <mergeCell ref="J439:J441"/>
    <mergeCell ref="D433:D435"/>
    <mergeCell ref="E433:E435"/>
    <mergeCell ref="B448:B450"/>
    <mergeCell ref="C448:C450"/>
    <mergeCell ref="D448:D450"/>
    <mergeCell ref="E448:E450"/>
    <mergeCell ref="B454:B456"/>
    <mergeCell ref="C454:C456"/>
    <mergeCell ref="D454:D456"/>
    <mergeCell ref="E454:E456"/>
    <mergeCell ref="K448:K450"/>
    <mergeCell ref="K451:K453"/>
    <mergeCell ref="I454:I456"/>
    <mergeCell ref="F451:F453"/>
    <mergeCell ref="I451:I453"/>
    <mergeCell ref="F454:F456"/>
    <mergeCell ref="B451:B453"/>
    <mergeCell ref="C451:C453"/>
    <mergeCell ref="D451:D453"/>
    <mergeCell ref="E451:E453"/>
    <mergeCell ref="J448:J450"/>
    <mergeCell ref="J451:J453"/>
    <mergeCell ref="F448:F450"/>
    <mergeCell ref="I448:I450"/>
    <mergeCell ref="J454:J456"/>
    <mergeCell ref="E430:E432"/>
    <mergeCell ref="B433:B435"/>
    <mergeCell ref="C433:C435"/>
    <mergeCell ref="F433:F435"/>
    <mergeCell ref="I433:I435"/>
    <mergeCell ref="J433:J435"/>
    <mergeCell ref="B445:B447"/>
    <mergeCell ref="C445:C447"/>
    <mergeCell ref="D445:D447"/>
    <mergeCell ref="E445:E447"/>
    <mergeCell ref="B442:B444"/>
    <mergeCell ref="C442:C444"/>
    <mergeCell ref="D442:D444"/>
    <mergeCell ref="E442:E444"/>
    <mergeCell ref="J442:J444"/>
    <mergeCell ref="J445:J447"/>
    <mergeCell ref="K433:K435"/>
    <mergeCell ref="K445:K447"/>
    <mergeCell ref="K442:K444"/>
    <mergeCell ref="F445:F447"/>
    <mergeCell ref="I445:I447"/>
    <mergeCell ref="I442:I444"/>
    <mergeCell ref="F442:F444"/>
    <mergeCell ref="B439:B441"/>
    <mergeCell ref="C439:C441"/>
    <mergeCell ref="D439:D441"/>
    <mergeCell ref="E439:E441"/>
    <mergeCell ref="B436:B438"/>
    <mergeCell ref="C436:C438"/>
    <mergeCell ref="D436:D438"/>
    <mergeCell ref="E436:E438"/>
    <mergeCell ref="K436:K438"/>
    <mergeCell ref="J421:J423"/>
    <mergeCell ref="K430:K432"/>
    <mergeCell ref="K421:K423"/>
    <mergeCell ref="K418:K420"/>
    <mergeCell ref="F421:F423"/>
    <mergeCell ref="I421:I423"/>
    <mergeCell ref="B424:B426"/>
    <mergeCell ref="C424:C426"/>
    <mergeCell ref="D424:D426"/>
    <mergeCell ref="E424:E426"/>
    <mergeCell ref="B421:B423"/>
    <mergeCell ref="C421:C423"/>
    <mergeCell ref="D421:D423"/>
    <mergeCell ref="E421:E423"/>
    <mergeCell ref="I424:I426"/>
    <mergeCell ref="B427:B429"/>
    <mergeCell ref="C427:C429"/>
    <mergeCell ref="D427:D429"/>
    <mergeCell ref="E427:E429"/>
    <mergeCell ref="K424:K426"/>
    <mergeCell ref="K427:K429"/>
    <mergeCell ref="F427:F429"/>
    <mergeCell ref="I427:I429"/>
    <mergeCell ref="J424:J426"/>
    <mergeCell ref="J427:J429"/>
    <mergeCell ref="F424:F426"/>
    <mergeCell ref="I430:I432"/>
    <mergeCell ref="F430:F432"/>
    <mergeCell ref="J430:J432"/>
    <mergeCell ref="B430:B432"/>
    <mergeCell ref="C430:C432"/>
    <mergeCell ref="D430:D432"/>
    <mergeCell ref="B412:B414"/>
    <mergeCell ref="C412:C414"/>
    <mergeCell ref="D412:D414"/>
    <mergeCell ref="E412:E414"/>
    <mergeCell ref="B418:B420"/>
    <mergeCell ref="C418:C420"/>
    <mergeCell ref="D418:D420"/>
    <mergeCell ref="E418:E420"/>
    <mergeCell ref="K412:K414"/>
    <mergeCell ref="K415:K417"/>
    <mergeCell ref="I418:I420"/>
    <mergeCell ref="F415:F417"/>
    <mergeCell ref="I415:I417"/>
    <mergeCell ref="F418:F420"/>
    <mergeCell ref="B415:B417"/>
    <mergeCell ref="C415:C417"/>
    <mergeCell ref="D415:D417"/>
    <mergeCell ref="E415:E417"/>
    <mergeCell ref="J412:J414"/>
    <mergeCell ref="J415:J417"/>
    <mergeCell ref="F412:F414"/>
    <mergeCell ref="I412:I414"/>
    <mergeCell ref="J418:J420"/>
    <mergeCell ref="F406:F408"/>
    <mergeCell ref="F400:F402"/>
    <mergeCell ref="I400:I402"/>
    <mergeCell ref="J400:J402"/>
    <mergeCell ref="J403:J405"/>
    <mergeCell ref="B409:B411"/>
    <mergeCell ref="C409:C411"/>
    <mergeCell ref="D409:D411"/>
    <mergeCell ref="E409:E411"/>
    <mergeCell ref="B406:B408"/>
    <mergeCell ref="C406:C408"/>
    <mergeCell ref="D406:D408"/>
    <mergeCell ref="E406:E408"/>
    <mergeCell ref="J406:J408"/>
    <mergeCell ref="J409:J411"/>
    <mergeCell ref="K409:K411"/>
    <mergeCell ref="K406:K408"/>
    <mergeCell ref="F409:F411"/>
    <mergeCell ref="I409:I411"/>
    <mergeCell ref="I406:I408"/>
    <mergeCell ref="K397:K399"/>
    <mergeCell ref="K394:K396"/>
    <mergeCell ref="B403:B405"/>
    <mergeCell ref="C403:C405"/>
    <mergeCell ref="D403:D405"/>
    <mergeCell ref="E403:E405"/>
    <mergeCell ref="B400:B402"/>
    <mergeCell ref="C400:C402"/>
    <mergeCell ref="D400:D402"/>
    <mergeCell ref="E400:E402"/>
    <mergeCell ref="K400:K402"/>
    <mergeCell ref="K403:K405"/>
    <mergeCell ref="I394:I396"/>
    <mergeCell ref="F403:F405"/>
    <mergeCell ref="I403:I405"/>
    <mergeCell ref="F394:F396"/>
    <mergeCell ref="J394:J396"/>
    <mergeCell ref="D397:D399"/>
    <mergeCell ref="E397:E399"/>
    <mergeCell ref="B394:B396"/>
    <mergeCell ref="C394:C396"/>
    <mergeCell ref="D394:D396"/>
    <mergeCell ref="E394:E396"/>
    <mergeCell ref="B397:B399"/>
    <mergeCell ref="C397:C399"/>
    <mergeCell ref="F397:F399"/>
    <mergeCell ref="I397:I399"/>
    <mergeCell ref="J397:J399"/>
    <mergeCell ref="B388:B390"/>
    <mergeCell ref="C388:C390"/>
    <mergeCell ref="D388:D390"/>
    <mergeCell ref="E388:E390"/>
    <mergeCell ref="I388:I390"/>
    <mergeCell ref="B391:B393"/>
    <mergeCell ref="C391:C393"/>
    <mergeCell ref="D391:D393"/>
    <mergeCell ref="E391:E393"/>
    <mergeCell ref="K388:K390"/>
    <mergeCell ref="K391:K393"/>
    <mergeCell ref="F391:F393"/>
    <mergeCell ref="I391:I393"/>
    <mergeCell ref="K379:K381"/>
    <mergeCell ref="I382:I384"/>
    <mergeCell ref="F379:F381"/>
    <mergeCell ref="I379:I381"/>
    <mergeCell ref="F382:F384"/>
    <mergeCell ref="J388:J390"/>
    <mergeCell ref="J391:J393"/>
    <mergeCell ref="B379:B381"/>
    <mergeCell ref="C379:C381"/>
    <mergeCell ref="D379:D381"/>
    <mergeCell ref="E379:E381"/>
    <mergeCell ref="F388:F390"/>
    <mergeCell ref="J379:J381"/>
    <mergeCell ref="J382:J384"/>
    <mergeCell ref="J385:J387"/>
    <mergeCell ref="K385:K387"/>
    <mergeCell ref="K382:K384"/>
    <mergeCell ref="F385:F387"/>
    <mergeCell ref="I385:I387"/>
    <mergeCell ref="I367:I369"/>
    <mergeCell ref="F370:F372"/>
    <mergeCell ref="F364:F366"/>
    <mergeCell ref="I364:I366"/>
    <mergeCell ref="J364:J366"/>
    <mergeCell ref="J367:J369"/>
    <mergeCell ref="B382:B384"/>
    <mergeCell ref="C382:C384"/>
    <mergeCell ref="D382:D384"/>
    <mergeCell ref="E382:E384"/>
    <mergeCell ref="B385:B387"/>
    <mergeCell ref="C385:C387"/>
    <mergeCell ref="D385:D387"/>
    <mergeCell ref="E385:E387"/>
    <mergeCell ref="B373:B375"/>
    <mergeCell ref="C373:C375"/>
    <mergeCell ref="D373:D375"/>
    <mergeCell ref="E373:E375"/>
    <mergeCell ref="B370:B372"/>
    <mergeCell ref="C370:C372"/>
    <mergeCell ref="D370:D372"/>
    <mergeCell ref="E370:E372"/>
    <mergeCell ref="J370:J372"/>
    <mergeCell ref="J373:J375"/>
    <mergeCell ref="C358:C360"/>
    <mergeCell ref="D358:D360"/>
    <mergeCell ref="E358:E360"/>
    <mergeCell ref="B361:B363"/>
    <mergeCell ref="C361:C363"/>
    <mergeCell ref="F361:F363"/>
    <mergeCell ref="I361:I363"/>
    <mergeCell ref="J361:J363"/>
    <mergeCell ref="K373:K375"/>
    <mergeCell ref="K370:K372"/>
    <mergeCell ref="F373:F375"/>
    <mergeCell ref="I373:I375"/>
    <mergeCell ref="B376:B378"/>
    <mergeCell ref="C376:C378"/>
    <mergeCell ref="D376:D378"/>
    <mergeCell ref="E376:E378"/>
    <mergeCell ref="K376:K378"/>
    <mergeCell ref="J376:J378"/>
    <mergeCell ref="B367:B369"/>
    <mergeCell ref="C367:C369"/>
    <mergeCell ref="D367:D369"/>
    <mergeCell ref="E367:E369"/>
    <mergeCell ref="F376:F378"/>
    <mergeCell ref="I376:I378"/>
    <mergeCell ref="B364:B366"/>
    <mergeCell ref="C364:C366"/>
    <mergeCell ref="D364:D366"/>
    <mergeCell ref="E364:E366"/>
    <mergeCell ref="K364:K366"/>
    <mergeCell ref="K367:K369"/>
    <mergeCell ref="I370:I372"/>
    <mergeCell ref="F367:F369"/>
    <mergeCell ref="J349:J351"/>
    <mergeCell ref="K361:K363"/>
    <mergeCell ref="K358:K360"/>
    <mergeCell ref="I358:I360"/>
    <mergeCell ref="F358:F360"/>
    <mergeCell ref="K349:K351"/>
    <mergeCell ref="F349:F351"/>
    <mergeCell ref="I349:I351"/>
    <mergeCell ref="B352:B354"/>
    <mergeCell ref="C352:C354"/>
    <mergeCell ref="D352:D354"/>
    <mergeCell ref="E352:E354"/>
    <mergeCell ref="B349:B351"/>
    <mergeCell ref="C349:C351"/>
    <mergeCell ref="D349:D351"/>
    <mergeCell ref="E349:E351"/>
    <mergeCell ref="I352:I354"/>
    <mergeCell ref="B355:B357"/>
    <mergeCell ref="C355:C357"/>
    <mergeCell ref="D355:D357"/>
    <mergeCell ref="E355:E357"/>
    <mergeCell ref="K352:K354"/>
    <mergeCell ref="K355:K357"/>
    <mergeCell ref="F355:F357"/>
    <mergeCell ref="I355:I357"/>
    <mergeCell ref="J352:J354"/>
    <mergeCell ref="J355:J357"/>
    <mergeCell ref="J358:J360"/>
    <mergeCell ref="F352:F354"/>
    <mergeCell ref="D361:D363"/>
    <mergeCell ref="E361:E363"/>
    <mergeCell ref="B358:B360"/>
    <mergeCell ref="B340:B342"/>
    <mergeCell ref="C340:C342"/>
    <mergeCell ref="D340:D342"/>
    <mergeCell ref="E340:E342"/>
    <mergeCell ref="B346:B348"/>
    <mergeCell ref="C346:C348"/>
    <mergeCell ref="D346:D348"/>
    <mergeCell ref="E346:E348"/>
    <mergeCell ref="K340:K342"/>
    <mergeCell ref="K343:K345"/>
    <mergeCell ref="I346:I348"/>
    <mergeCell ref="F343:F345"/>
    <mergeCell ref="I343:I345"/>
    <mergeCell ref="F346:F348"/>
    <mergeCell ref="B343:B345"/>
    <mergeCell ref="C343:C345"/>
    <mergeCell ref="D343:D345"/>
    <mergeCell ref="E343:E345"/>
    <mergeCell ref="J340:J342"/>
    <mergeCell ref="J343:J345"/>
    <mergeCell ref="F340:F342"/>
    <mergeCell ref="I340:I342"/>
    <mergeCell ref="J346:J348"/>
    <mergeCell ref="K346:K348"/>
    <mergeCell ref="F334:F336"/>
    <mergeCell ref="F328:F330"/>
    <mergeCell ref="I328:I330"/>
    <mergeCell ref="J328:J330"/>
    <mergeCell ref="J331:J333"/>
    <mergeCell ref="B337:B339"/>
    <mergeCell ref="C337:C339"/>
    <mergeCell ref="D337:D339"/>
    <mergeCell ref="E337:E339"/>
    <mergeCell ref="B334:B336"/>
    <mergeCell ref="C334:C336"/>
    <mergeCell ref="D334:D336"/>
    <mergeCell ref="E334:E336"/>
    <mergeCell ref="J334:J336"/>
    <mergeCell ref="J337:J339"/>
    <mergeCell ref="K337:K339"/>
    <mergeCell ref="K334:K336"/>
    <mergeCell ref="F337:F339"/>
    <mergeCell ref="I337:I339"/>
    <mergeCell ref="I334:I336"/>
    <mergeCell ref="K325:K327"/>
    <mergeCell ref="K322:K324"/>
    <mergeCell ref="B331:B333"/>
    <mergeCell ref="C331:C333"/>
    <mergeCell ref="D331:D333"/>
    <mergeCell ref="E331:E333"/>
    <mergeCell ref="B328:B330"/>
    <mergeCell ref="C328:C330"/>
    <mergeCell ref="D328:D330"/>
    <mergeCell ref="E328:E330"/>
    <mergeCell ref="K328:K330"/>
    <mergeCell ref="K331:K333"/>
    <mergeCell ref="I322:I324"/>
    <mergeCell ref="F331:F333"/>
    <mergeCell ref="I331:I333"/>
    <mergeCell ref="F322:F324"/>
    <mergeCell ref="J322:J324"/>
    <mergeCell ref="F316:F318"/>
    <mergeCell ref="D325:D327"/>
    <mergeCell ref="E325:E327"/>
    <mergeCell ref="B322:B324"/>
    <mergeCell ref="C322:C324"/>
    <mergeCell ref="D322:D324"/>
    <mergeCell ref="E322:E324"/>
    <mergeCell ref="B325:B327"/>
    <mergeCell ref="C325:C327"/>
    <mergeCell ref="F325:F327"/>
    <mergeCell ref="I325:I327"/>
    <mergeCell ref="J325:J327"/>
    <mergeCell ref="B316:B318"/>
    <mergeCell ref="C316:C318"/>
    <mergeCell ref="D316:D318"/>
    <mergeCell ref="E316:E318"/>
    <mergeCell ref="I316:I318"/>
    <mergeCell ref="B319:B321"/>
    <mergeCell ref="C319:C321"/>
    <mergeCell ref="D319:D321"/>
    <mergeCell ref="E319:E321"/>
    <mergeCell ref="K301:K303"/>
    <mergeCell ref="K298:K300"/>
    <mergeCell ref="F301:F303"/>
    <mergeCell ref="I301:I303"/>
    <mergeCell ref="B304:B306"/>
    <mergeCell ref="C304:C306"/>
    <mergeCell ref="D304:D306"/>
    <mergeCell ref="E304:E306"/>
    <mergeCell ref="K304:K306"/>
    <mergeCell ref="K316:K318"/>
    <mergeCell ref="K319:K321"/>
    <mergeCell ref="F319:F321"/>
    <mergeCell ref="I319:I321"/>
    <mergeCell ref="K307:K309"/>
    <mergeCell ref="I310:I312"/>
    <mergeCell ref="F307:F309"/>
    <mergeCell ref="I307:I309"/>
    <mergeCell ref="F310:F312"/>
    <mergeCell ref="J316:J318"/>
    <mergeCell ref="J319:J321"/>
    <mergeCell ref="B307:B309"/>
    <mergeCell ref="C307:C309"/>
    <mergeCell ref="D307:D309"/>
    <mergeCell ref="E307:E309"/>
    <mergeCell ref="J304:J306"/>
    <mergeCell ref="J307:J309"/>
    <mergeCell ref="F304:F306"/>
    <mergeCell ref="I304:I306"/>
    <mergeCell ref="J310:J312"/>
    <mergeCell ref="J313:J315"/>
    <mergeCell ref="K313:K315"/>
    <mergeCell ref="K310:K312"/>
    <mergeCell ref="E313:E315"/>
    <mergeCell ref="B301:B303"/>
    <mergeCell ref="C301:C303"/>
    <mergeCell ref="D301:D303"/>
    <mergeCell ref="E301:E303"/>
    <mergeCell ref="B298:B300"/>
    <mergeCell ref="C298:C300"/>
    <mergeCell ref="D298:D300"/>
    <mergeCell ref="E298:E300"/>
    <mergeCell ref="J298:J300"/>
    <mergeCell ref="J301:J303"/>
    <mergeCell ref="F313:F315"/>
    <mergeCell ref="I313:I315"/>
    <mergeCell ref="B310:B312"/>
    <mergeCell ref="C310:C312"/>
    <mergeCell ref="D310:D312"/>
    <mergeCell ref="E310:E312"/>
    <mergeCell ref="B313:B315"/>
    <mergeCell ref="C313:C315"/>
    <mergeCell ref="D313:D315"/>
    <mergeCell ref="K289:K291"/>
    <mergeCell ref="K286:K288"/>
    <mergeCell ref="B295:B297"/>
    <mergeCell ref="C295:C297"/>
    <mergeCell ref="D295:D297"/>
    <mergeCell ref="E295:E297"/>
    <mergeCell ref="B292:B294"/>
    <mergeCell ref="C292:C294"/>
    <mergeCell ref="D292:D294"/>
    <mergeCell ref="E292:E294"/>
    <mergeCell ref="K292:K294"/>
    <mergeCell ref="K295:K297"/>
    <mergeCell ref="F283:F285"/>
    <mergeCell ref="I283:I285"/>
    <mergeCell ref="J280:J282"/>
    <mergeCell ref="J283:J285"/>
    <mergeCell ref="I298:I300"/>
    <mergeCell ref="F295:F297"/>
    <mergeCell ref="I295:I297"/>
    <mergeCell ref="F298:F300"/>
    <mergeCell ref="F292:F294"/>
    <mergeCell ref="I292:I294"/>
    <mergeCell ref="J292:J294"/>
    <mergeCell ref="J295:J297"/>
    <mergeCell ref="I286:I288"/>
    <mergeCell ref="F286:F288"/>
    <mergeCell ref="J286:J288"/>
    <mergeCell ref="K277:K279"/>
    <mergeCell ref="K274:K276"/>
    <mergeCell ref="F277:F279"/>
    <mergeCell ref="I277:I279"/>
    <mergeCell ref="B280:B282"/>
    <mergeCell ref="C280:C282"/>
    <mergeCell ref="D280:D282"/>
    <mergeCell ref="E280:E282"/>
    <mergeCell ref="B277:B279"/>
    <mergeCell ref="C277:C279"/>
    <mergeCell ref="D277:D279"/>
    <mergeCell ref="E277:E279"/>
    <mergeCell ref="I280:I282"/>
    <mergeCell ref="B283:B285"/>
    <mergeCell ref="C283:C285"/>
    <mergeCell ref="D283:D285"/>
    <mergeCell ref="E283:E285"/>
    <mergeCell ref="K280:K282"/>
    <mergeCell ref="K283:K285"/>
    <mergeCell ref="F274:F276"/>
    <mergeCell ref="B271:B273"/>
    <mergeCell ref="C271:C273"/>
    <mergeCell ref="D271:D273"/>
    <mergeCell ref="E271:E273"/>
    <mergeCell ref="F280:F282"/>
    <mergeCell ref="D289:D291"/>
    <mergeCell ref="E289:E291"/>
    <mergeCell ref="B286:B288"/>
    <mergeCell ref="C286:C288"/>
    <mergeCell ref="D286:D288"/>
    <mergeCell ref="E286:E288"/>
    <mergeCell ref="B289:B291"/>
    <mergeCell ref="C289:C291"/>
    <mergeCell ref="F289:F291"/>
    <mergeCell ref="I289:I291"/>
    <mergeCell ref="J289:J291"/>
    <mergeCell ref="J277:J279"/>
    <mergeCell ref="J268:J270"/>
    <mergeCell ref="J271:J273"/>
    <mergeCell ref="F268:F270"/>
    <mergeCell ref="I268:I270"/>
    <mergeCell ref="J274:J276"/>
    <mergeCell ref="B265:B267"/>
    <mergeCell ref="C265:C267"/>
    <mergeCell ref="D265:D267"/>
    <mergeCell ref="E265:E267"/>
    <mergeCell ref="B262:B264"/>
    <mergeCell ref="C262:C264"/>
    <mergeCell ref="D262:D264"/>
    <mergeCell ref="E262:E264"/>
    <mergeCell ref="J262:J264"/>
    <mergeCell ref="J265:J267"/>
    <mergeCell ref="K265:K267"/>
    <mergeCell ref="K262:K264"/>
    <mergeCell ref="F265:F267"/>
    <mergeCell ref="I265:I267"/>
    <mergeCell ref="B268:B270"/>
    <mergeCell ref="C268:C270"/>
    <mergeCell ref="D268:D270"/>
    <mergeCell ref="E268:E270"/>
    <mergeCell ref="K268:K270"/>
    <mergeCell ref="B274:B276"/>
    <mergeCell ref="C274:C276"/>
    <mergeCell ref="D274:D276"/>
    <mergeCell ref="E274:E276"/>
    <mergeCell ref="K271:K273"/>
    <mergeCell ref="I274:I276"/>
    <mergeCell ref="F271:F273"/>
    <mergeCell ref="I271:I273"/>
    <mergeCell ref="B259:B261"/>
    <mergeCell ref="C259:C261"/>
    <mergeCell ref="D259:D261"/>
    <mergeCell ref="E259:E261"/>
    <mergeCell ref="B256:B258"/>
    <mergeCell ref="C256:C258"/>
    <mergeCell ref="D256:D258"/>
    <mergeCell ref="E256:E258"/>
    <mergeCell ref="K256:K258"/>
    <mergeCell ref="K259:K261"/>
    <mergeCell ref="I262:I264"/>
    <mergeCell ref="F259:F261"/>
    <mergeCell ref="I259:I261"/>
    <mergeCell ref="F262:F264"/>
    <mergeCell ref="F256:F258"/>
    <mergeCell ref="I256:I258"/>
    <mergeCell ref="J256:J258"/>
    <mergeCell ref="J259:J261"/>
    <mergeCell ref="K241:K243"/>
    <mergeCell ref="K238:K240"/>
    <mergeCell ref="F244:F246"/>
    <mergeCell ref="D253:D255"/>
    <mergeCell ref="E253:E255"/>
    <mergeCell ref="B250:B252"/>
    <mergeCell ref="C250:C252"/>
    <mergeCell ref="D250:D252"/>
    <mergeCell ref="E250:E252"/>
    <mergeCell ref="B253:B255"/>
    <mergeCell ref="C253:C255"/>
    <mergeCell ref="F253:F255"/>
    <mergeCell ref="I253:I255"/>
    <mergeCell ref="J253:J255"/>
    <mergeCell ref="B244:B246"/>
    <mergeCell ref="C244:C246"/>
    <mergeCell ref="D244:D246"/>
    <mergeCell ref="E244:E246"/>
    <mergeCell ref="I244:I246"/>
    <mergeCell ref="B247:B249"/>
    <mergeCell ref="C247:C249"/>
    <mergeCell ref="D247:D249"/>
    <mergeCell ref="E247:E249"/>
    <mergeCell ref="K253:K255"/>
    <mergeCell ref="K250:K252"/>
    <mergeCell ref="I250:I252"/>
    <mergeCell ref="F250:F252"/>
    <mergeCell ref="J250:J252"/>
    <mergeCell ref="E241:E243"/>
    <mergeCell ref="D223:D225"/>
    <mergeCell ref="E223:E225"/>
    <mergeCell ref="K229:K231"/>
    <mergeCell ref="K226:K228"/>
    <mergeCell ref="F229:F231"/>
    <mergeCell ref="I229:I231"/>
    <mergeCell ref="B232:B234"/>
    <mergeCell ref="C232:C234"/>
    <mergeCell ref="D232:D234"/>
    <mergeCell ref="E232:E234"/>
    <mergeCell ref="K232:K234"/>
    <mergeCell ref="K244:K246"/>
    <mergeCell ref="K247:K249"/>
    <mergeCell ref="F247:F249"/>
    <mergeCell ref="I247:I249"/>
    <mergeCell ref="K235:K237"/>
    <mergeCell ref="I238:I240"/>
    <mergeCell ref="F235:F237"/>
    <mergeCell ref="I235:I237"/>
    <mergeCell ref="F238:F240"/>
    <mergeCell ref="J244:J246"/>
    <mergeCell ref="J247:J249"/>
    <mergeCell ref="B235:B237"/>
    <mergeCell ref="C235:C237"/>
    <mergeCell ref="D235:D237"/>
    <mergeCell ref="E235:E237"/>
    <mergeCell ref="J232:J234"/>
    <mergeCell ref="J235:J237"/>
    <mergeCell ref="F232:F234"/>
    <mergeCell ref="I232:I234"/>
    <mergeCell ref="J238:J240"/>
    <mergeCell ref="J241:J243"/>
    <mergeCell ref="B229:B231"/>
    <mergeCell ref="C229:C231"/>
    <mergeCell ref="D229:D231"/>
    <mergeCell ref="E229:E231"/>
    <mergeCell ref="B226:B228"/>
    <mergeCell ref="C226:C228"/>
    <mergeCell ref="D226:D228"/>
    <mergeCell ref="E226:E228"/>
    <mergeCell ref="J226:J228"/>
    <mergeCell ref="J229:J231"/>
    <mergeCell ref="F241:F243"/>
    <mergeCell ref="I241:I243"/>
    <mergeCell ref="B238:B240"/>
    <mergeCell ref="C238:C240"/>
    <mergeCell ref="D238:D240"/>
    <mergeCell ref="E238:E240"/>
    <mergeCell ref="B241:B243"/>
    <mergeCell ref="C241:C243"/>
    <mergeCell ref="D241:D243"/>
    <mergeCell ref="B220:B222"/>
    <mergeCell ref="C220:C222"/>
    <mergeCell ref="D220:D222"/>
    <mergeCell ref="E220:E222"/>
    <mergeCell ref="K220:K222"/>
    <mergeCell ref="K223:K225"/>
    <mergeCell ref="I226:I228"/>
    <mergeCell ref="F223:F225"/>
    <mergeCell ref="I223:I225"/>
    <mergeCell ref="F226:F228"/>
    <mergeCell ref="F220:F222"/>
    <mergeCell ref="I220:I222"/>
    <mergeCell ref="J220:J222"/>
    <mergeCell ref="J223:J225"/>
    <mergeCell ref="E214:E216"/>
    <mergeCell ref="B217:B219"/>
    <mergeCell ref="C217:C219"/>
    <mergeCell ref="F217:F219"/>
    <mergeCell ref="I217:I219"/>
    <mergeCell ref="J217:J219"/>
    <mergeCell ref="K217:K219"/>
    <mergeCell ref="K214:K216"/>
    <mergeCell ref="I214:I216"/>
    <mergeCell ref="F214:F216"/>
    <mergeCell ref="J214:J216"/>
    <mergeCell ref="D217:D219"/>
    <mergeCell ref="E217:E219"/>
    <mergeCell ref="B214:B216"/>
    <mergeCell ref="C214:C216"/>
    <mergeCell ref="D214:D216"/>
    <mergeCell ref="B223:B225"/>
    <mergeCell ref="C223:C225"/>
    <mergeCell ref="F205:F207"/>
    <mergeCell ref="I205:I207"/>
    <mergeCell ref="B208:B210"/>
    <mergeCell ref="C208:C210"/>
    <mergeCell ref="D208:D210"/>
    <mergeCell ref="E208:E210"/>
    <mergeCell ref="B205:B207"/>
    <mergeCell ref="C205:C207"/>
    <mergeCell ref="D205:D207"/>
    <mergeCell ref="E205:E207"/>
    <mergeCell ref="I208:I210"/>
    <mergeCell ref="B211:B213"/>
    <mergeCell ref="C211:C213"/>
    <mergeCell ref="D211:D213"/>
    <mergeCell ref="E211:E213"/>
    <mergeCell ref="J205:J207"/>
    <mergeCell ref="K205:K207"/>
    <mergeCell ref="K208:K210"/>
    <mergeCell ref="K211:K213"/>
    <mergeCell ref="F211:F213"/>
    <mergeCell ref="I211:I213"/>
    <mergeCell ref="J208:J210"/>
    <mergeCell ref="J211:J213"/>
    <mergeCell ref="F208:F210"/>
    <mergeCell ref="B196:B198"/>
    <mergeCell ref="C196:C198"/>
    <mergeCell ref="D196:D198"/>
    <mergeCell ref="E196:E198"/>
    <mergeCell ref="B202:B204"/>
    <mergeCell ref="C202:C204"/>
    <mergeCell ref="D202:D204"/>
    <mergeCell ref="E202:E204"/>
    <mergeCell ref="K196:K198"/>
    <mergeCell ref="K199:K201"/>
    <mergeCell ref="I202:I204"/>
    <mergeCell ref="F199:F201"/>
    <mergeCell ref="I199:I201"/>
    <mergeCell ref="F202:F204"/>
    <mergeCell ref="B199:B201"/>
    <mergeCell ref="C199:C201"/>
    <mergeCell ref="D199:D201"/>
    <mergeCell ref="E199:E201"/>
    <mergeCell ref="J196:J198"/>
    <mergeCell ref="J199:J201"/>
    <mergeCell ref="F196:F198"/>
    <mergeCell ref="I196:I198"/>
    <mergeCell ref="J202:J204"/>
    <mergeCell ref="K202:K204"/>
    <mergeCell ref="B193:B195"/>
    <mergeCell ref="C193:C195"/>
    <mergeCell ref="D193:D195"/>
    <mergeCell ref="E193:E195"/>
    <mergeCell ref="B190:B192"/>
    <mergeCell ref="C190:C192"/>
    <mergeCell ref="D190:D192"/>
    <mergeCell ref="E190:E192"/>
    <mergeCell ref="J190:J192"/>
    <mergeCell ref="J193:J195"/>
    <mergeCell ref="K193:K195"/>
    <mergeCell ref="K190:K192"/>
    <mergeCell ref="F193:F195"/>
    <mergeCell ref="I193:I195"/>
    <mergeCell ref="I190:I192"/>
    <mergeCell ref="F190:F192"/>
    <mergeCell ref="K181:K183"/>
    <mergeCell ref="B187:B189"/>
    <mergeCell ref="C187:C189"/>
    <mergeCell ref="D187:D189"/>
    <mergeCell ref="E187:E189"/>
    <mergeCell ref="B184:B186"/>
    <mergeCell ref="C184:C186"/>
    <mergeCell ref="D184:D186"/>
    <mergeCell ref="E184:E186"/>
    <mergeCell ref="K184:K186"/>
    <mergeCell ref="K187:K189"/>
    <mergeCell ref="F187:F189"/>
    <mergeCell ref="I187:I189"/>
    <mergeCell ref="F184:F186"/>
    <mergeCell ref="I184:I186"/>
    <mergeCell ref="J184:J186"/>
    <mergeCell ref="J187:J189"/>
    <mergeCell ref="F178:F180"/>
    <mergeCell ref="J172:J174"/>
    <mergeCell ref="J175:J177"/>
    <mergeCell ref="J178:J180"/>
    <mergeCell ref="F172:F174"/>
    <mergeCell ref="D181:D183"/>
    <mergeCell ref="E181:E183"/>
    <mergeCell ref="B178:B180"/>
    <mergeCell ref="C178:C180"/>
    <mergeCell ref="D178:D180"/>
    <mergeCell ref="E178:E180"/>
    <mergeCell ref="B181:B183"/>
    <mergeCell ref="C181:C183"/>
    <mergeCell ref="F181:F183"/>
    <mergeCell ref="I181:I183"/>
    <mergeCell ref="J181:J183"/>
    <mergeCell ref="K178:K180"/>
    <mergeCell ref="J169:J171"/>
    <mergeCell ref="K169:K171"/>
    <mergeCell ref="K166:K168"/>
    <mergeCell ref="F169:F171"/>
    <mergeCell ref="I169:I171"/>
    <mergeCell ref="B172:B174"/>
    <mergeCell ref="C172:C174"/>
    <mergeCell ref="D172:D174"/>
    <mergeCell ref="E172:E174"/>
    <mergeCell ref="B169:B171"/>
    <mergeCell ref="C169:C171"/>
    <mergeCell ref="D169:D171"/>
    <mergeCell ref="E169:E171"/>
    <mergeCell ref="I172:I174"/>
    <mergeCell ref="B175:B177"/>
    <mergeCell ref="C175:C177"/>
    <mergeCell ref="D175:D177"/>
    <mergeCell ref="E175:E177"/>
    <mergeCell ref="K172:K174"/>
    <mergeCell ref="K175:K177"/>
    <mergeCell ref="B166:B168"/>
    <mergeCell ref="C166:C168"/>
    <mergeCell ref="D166:D168"/>
    <mergeCell ref="E166:E168"/>
    <mergeCell ref="F175:F177"/>
    <mergeCell ref="I175:I177"/>
    <mergeCell ref="I178:I180"/>
    <mergeCell ref="K163:K165"/>
    <mergeCell ref="I166:I168"/>
    <mergeCell ref="F163:F165"/>
    <mergeCell ref="I163:I165"/>
    <mergeCell ref="F166:F168"/>
    <mergeCell ref="B163:B165"/>
    <mergeCell ref="C163:C165"/>
    <mergeCell ref="D163:D165"/>
    <mergeCell ref="E163:E165"/>
    <mergeCell ref="J160:J162"/>
    <mergeCell ref="J163:J165"/>
    <mergeCell ref="F160:F162"/>
    <mergeCell ref="J166:J168"/>
    <mergeCell ref="K139:K141"/>
    <mergeCell ref="E157:E159"/>
    <mergeCell ref="J154:J156"/>
    <mergeCell ref="J157:J159"/>
    <mergeCell ref="K157:K159"/>
    <mergeCell ref="K154:K156"/>
    <mergeCell ref="I160:I162"/>
    <mergeCell ref="F157:F159"/>
    <mergeCell ref="I157:I159"/>
    <mergeCell ref="B160:B162"/>
    <mergeCell ref="C160:C162"/>
    <mergeCell ref="D160:D162"/>
    <mergeCell ref="E160:E162"/>
    <mergeCell ref="B157:B159"/>
    <mergeCell ref="C157:C159"/>
    <mergeCell ref="D157:D159"/>
    <mergeCell ref="K160:K162"/>
    <mergeCell ref="B154:B156"/>
    <mergeCell ref="C154:C156"/>
    <mergeCell ref="D154:D156"/>
    <mergeCell ref="E154:E156"/>
    <mergeCell ref="K151:K153"/>
    <mergeCell ref="I154:I156"/>
    <mergeCell ref="F151:F153"/>
    <mergeCell ref="I151:I153"/>
    <mergeCell ref="F154:F156"/>
    <mergeCell ref="B151:B153"/>
    <mergeCell ref="C151:C153"/>
    <mergeCell ref="D151:D153"/>
    <mergeCell ref="E151:E153"/>
    <mergeCell ref="J148:J150"/>
    <mergeCell ref="J151:J153"/>
    <mergeCell ref="B148:B150"/>
    <mergeCell ref="B145:B147"/>
    <mergeCell ref="C145:C147"/>
    <mergeCell ref="D145:D147"/>
    <mergeCell ref="E145:E147"/>
    <mergeCell ref="J145:J147"/>
    <mergeCell ref="K145:K147"/>
    <mergeCell ref="K142:K144"/>
    <mergeCell ref="H133:H135"/>
    <mergeCell ref="B133:B135"/>
    <mergeCell ref="C133:C135"/>
    <mergeCell ref="F148:F150"/>
    <mergeCell ref="I148:I150"/>
    <mergeCell ref="F145:F147"/>
    <mergeCell ref="I145:I147"/>
    <mergeCell ref="K148:K150"/>
    <mergeCell ref="C148:C150"/>
    <mergeCell ref="D148:D150"/>
    <mergeCell ref="E148:E150"/>
    <mergeCell ref="D133:D135"/>
    <mergeCell ref="B139:B141"/>
    <mergeCell ref="C139:C141"/>
    <mergeCell ref="D139:D141"/>
    <mergeCell ref="B136:B138"/>
    <mergeCell ref="C136:C138"/>
    <mergeCell ref="D136:D138"/>
    <mergeCell ref="E136:E138"/>
    <mergeCell ref="F136:F138"/>
    <mergeCell ref="I136:I138"/>
    <mergeCell ref="K136:K138"/>
    <mergeCell ref="E139:E141"/>
    <mergeCell ref="I142:I144"/>
    <mergeCell ref="F139:F141"/>
    <mergeCell ref="I139:I141"/>
    <mergeCell ref="F142:F144"/>
    <mergeCell ref="J142:J144"/>
    <mergeCell ref="J136:J138"/>
    <mergeCell ref="J139:J141"/>
    <mergeCell ref="H130:H132"/>
    <mergeCell ref="H127:H129"/>
    <mergeCell ref="E133:E135"/>
    <mergeCell ref="F133:F135"/>
    <mergeCell ref="B121:B123"/>
    <mergeCell ref="C121:C123"/>
    <mergeCell ref="D121:D123"/>
    <mergeCell ref="B124:B126"/>
    <mergeCell ref="C124:C126"/>
    <mergeCell ref="D124:D126"/>
    <mergeCell ref="E121:E123"/>
    <mergeCell ref="B130:B132"/>
    <mergeCell ref="C130:C132"/>
    <mergeCell ref="D130:D132"/>
    <mergeCell ref="E130:E132"/>
    <mergeCell ref="E127:E129"/>
    <mergeCell ref="F124:F126"/>
    <mergeCell ref="B127:B129"/>
    <mergeCell ref="C127:C129"/>
    <mergeCell ref="D127:D129"/>
    <mergeCell ref="F130:F132"/>
    <mergeCell ref="J127:J129"/>
    <mergeCell ref="B142:B144"/>
    <mergeCell ref="C142:C144"/>
    <mergeCell ref="D142:D144"/>
    <mergeCell ref="E142:E144"/>
    <mergeCell ref="K127:K129"/>
    <mergeCell ref="K130:K132"/>
    <mergeCell ref="I133:I135"/>
    <mergeCell ref="J130:J132"/>
    <mergeCell ref="K112:K114"/>
    <mergeCell ref="J112:J114"/>
    <mergeCell ref="J115:J117"/>
    <mergeCell ref="K115:K117"/>
    <mergeCell ref="H124:H126"/>
    <mergeCell ref="J133:J135"/>
    <mergeCell ref="K133:K135"/>
    <mergeCell ref="H121:H123"/>
    <mergeCell ref="F121:F123"/>
    <mergeCell ref="I121:I123"/>
    <mergeCell ref="K118:K120"/>
    <mergeCell ref="J118:J120"/>
    <mergeCell ref="J121:J123"/>
    <mergeCell ref="K121:K123"/>
    <mergeCell ref="I118:I120"/>
    <mergeCell ref="E112:E114"/>
    <mergeCell ref="I124:I126"/>
    <mergeCell ref="K124:K126"/>
    <mergeCell ref="J124:J126"/>
    <mergeCell ref="E124:E126"/>
    <mergeCell ref="I130:I132"/>
    <mergeCell ref="F127:F129"/>
    <mergeCell ref="I127:I129"/>
    <mergeCell ref="B109:B111"/>
    <mergeCell ref="C109:C111"/>
    <mergeCell ref="D109:D111"/>
    <mergeCell ref="B115:B117"/>
    <mergeCell ref="C115:C117"/>
    <mergeCell ref="D115:D117"/>
    <mergeCell ref="B112:B114"/>
    <mergeCell ref="C112:C114"/>
    <mergeCell ref="I112:I114"/>
    <mergeCell ref="B118:B120"/>
    <mergeCell ref="C118:C120"/>
    <mergeCell ref="D118:D120"/>
    <mergeCell ref="E118:E120"/>
    <mergeCell ref="E115:E117"/>
    <mergeCell ref="F112:F114"/>
    <mergeCell ref="D112:D114"/>
    <mergeCell ref="F118:F120"/>
    <mergeCell ref="H112:H114"/>
    <mergeCell ref="F115:F117"/>
    <mergeCell ref="I115:I117"/>
    <mergeCell ref="H118:H120"/>
    <mergeCell ref="H115:H117"/>
    <mergeCell ref="J103:J105"/>
    <mergeCell ref="K103:K105"/>
    <mergeCell ref="E109:E111"/>
    <mergeCell ref="F106:F108"/>
    <mergeCell ref="I106:I108"/>
    <mergeCell ref="F103:F105"/>
    <mergeCell ref="I103:I105"/>
    <mergeCell ref="H106:H108"/>
    <mergeCell ref="H103:H105"/>
    <mergeCell ref="H109:H111"/>
    <mergeCell ref="F109:F111"/>
    <mergeCell ref="I109:I111"/>
    <mergeCell ref="K106:K108"/>
    <mergeCell ref="J106:J108"/>
    <mergeCell ref="J109:J111"/>
    <mergeCell ref="K109:K111"/>
    <mergeCell ref="I100:I102"/>
    <mergeCell ref="K100:K102"/>
    <mergeCell ref="J100:J102"/>
    <mergeCell ref="H100:H102"/>
    <mergeCell ref="E100:E102"/>
    <mergeCell ref="D97:D99"/>
    <mergeCell ref="B100:B102"/>
    <mergeCell ref="C100:C102"/>
    <mergeCell ref="D100:D102"/>
    <mergeCell ref="E97:E99"/>
    <mergeCell ref="B94:B96"/>
    <mergeCell ref="C94:C96"/>
    <mergeCell ref="D94:D96"/>
    <mergeCell ref="E94:E96"/>
    <mergeCell ref="F94:F96"/>
    <mergeCell ref="H94:H96"/>
    <mergeCell ref="H91:H93"/>
    <mergeCell ref="B106:B108"/>
    <mergeCell ref="C106:C108"/>
    <mergeCell ref="D106:D108"/>
    <mergeCell ref="E106:E108"/>
    <mergeCell ref="E103:E105"/>
    <mergeCell ref="F100:F102"/>
    <mergeCell ref="B103:B105"/>
    <mergeCell ref="C103:C105"/>
    <mergeCell ref="D103:D105"/>
    <mergeCell ref="H97:H99"/>
    <mergeCell ref="F97:F99"/>
    <mergeCell ref="I97:I99"/>
    <mergeCell ref="H85:H87"/>
    <mergeCell ref="F85:F87"/>
    <mergeCell ref="I85:I87"/>
    <mergeCell ref="K94:K96"/>
    <mergeCell ref="J94:J96"/>
    <mergeCell ref="J97:J99"/>
    <mergeCell ref="K97:K99"/>
    <mergeCell ref="K82:K84"/>
    <mergeCell ref="J82:J84"/>
    <mergeCell ref="J85:J87"/>
    <mergeCell ref="K85:K87"/>
    <mergeCell ref="E88:E90"/>
    <mergeCell ref="K88:K90"/>
    <mergeCell ref="J88:J90"/>
    <mergeCell ref="I94:I96"/>
    <mergeCell ref="B91:B93"/>
    <mergeCell ref="C91:C93"/>
    <mergeCell ref="D91:D93"/>
    <mergeCell ref="B88:B90"/>
    <mergeCell ref="C88:C90"/>
    <mergeCell ref="I88:I90"/>
    <mergeCell ref="E91:E93"/>
    <mergeCell ref="F88:F90"/>
    <mergeCell ref="D88:D90"/>
    <mergeCell ref="H88:H90"/>
    <mergeCell ref="F91:F93"/>
    <mergeCell ref="I91:I93"/>
    <mergeCell ref="E85:E87"/>
    <mergeCell ref="I82:I84"/>
    <mergeCell ref="B97:B99"/>
    <mergeCell ref="C97:C99"/>
    <mergeCell ref="C73:C75"/>
    <mergeCell ref="D73:D75"/>
    <mergeCell ref="B76:B78"/>
    <mergeCell ref="C76:C78"/>
    <mergeCell ref="D76:D78"/>
    <mergeCell ref="E73:E75"/>
    <mergeCell ref="B82:B84"/>
    <mergeCell ref="C82:C84"/>
    <mergeCell ref="D82:D84"/>
    <mergeCell ref="E82:E84"/>
    <mergeCell ref="E79:E81"/>
    <mergeCell ref="F76:F78"/>
    <mergeCell ref="B79:B81"/>
    <mergeCell ref="C79:C81"/>
    <mergeCell ref="D79:D81"/>
    <mergeCell ref="E76:E78"/>
    <mergeCell ref="F82:F84"/>
    <mergeCell ref="F79:F81"/>
    <mergeCell ref="I79:I81"/>
    <mergeCell ref="H82:H84"/>
    <mergeCell ref="H79:H81"/>
    <mergeCell ref="I76:I78"/>
    <mergeCell ref="I70:I72"/>
    <mergeCell ref="H76:H78"/>
    <mergeCell ref="F67:F69"/>
    <mergeCell ref="I67:I69"/>
    <mergeCell ref="H70:H72"/>
    <mergeCell ref="H67:H69"/>
    <mergeCell ref="I64:I66"/>
    <mergeCell ref="B85:B87"/>
    <mergeCell ref="C85:C87"/>
    <mergeCell ref="D85:D87"/>
    <mergeCell ref="E61:E63"/>
    <mergeCell ref="B67:B69"/>
    <mergeCell ref="C67:C69"/>
    <mergeCell ref="D67:D69"/>
    <mergeCell ref="B64:B66"/>
    <mergeCell ref="C64:C66"/>
    <mergeCell ref="B70:B72"/>
    <mergeCell ref="C70:C72"/>
    <mergeCell ref="D70:D72"/>
    <mergeCell ref="E70:E72"/>
    <mergeCell ref="E67:E69"/>
    <mergeCell ref="F64:F66"/>
    <mergeCell ref="D64:D66"/>
    <mergeCell ref="F70:F72"/>
    <mergeCell ref="H73:H75"/>
    <mergeCell ref="F73:F75"/>
    <mergeCell ref="I73:I75"/>
    <mergeCell ref="B73:B75"/>
    <mergeCell ref="D52:D54"/>
    <mergeCell ref="E52:E54"/>
    <mergeCell ref="I49:I51"/>
    <mergeCell ref="H52:H54"/>
    <mergeCell ref="H49:H51"/>
    <mergeCell ref="F49:F51"/>
    <mergeCell ref="F52:F54"/>
    <mergeCell ref="I52:I54"/>
    <mergeCell ref="B58:B60"/>
    <mergeCell ref="C58:C60"/>
    <mergeCell ref="D58:D60"/>
    <mergeCell ref="E58:E60"/>
    <mergeCell ref="B55:B57"/>
    <mergeCell ref="C55:C57"/>
    <mergeCell ref="D55:D57"/>
    <mergeCell ref="E55:E57"/>
    <mergeCell ref="F58:F60"/>
    <mergeCell ref="I58:I60"/>
    <mergeCell ref="F55:F57"/>
    <mergeCell ref="I55:I57"/>
    <mergeCell ref="H58:H60"/>
    <mergeCell ref="D37:D39"/>
    <mergeCell ref="B34:B36"/>
    <mergeCell ref="I34:I36"/>
    <mergeCell ref="H55:H57"/>
    <mergeCell ref="E64:E66"/>
    <mergeCell ref="E46:E48"/>
    <mergeCell ref="E43:E45"/>
    <mergeCell ref="I46:I48"/>
    <mergeCell ref="F43:F45"/>
    <mergeCell ref="I43:I45"/>
    <mergeCell ref="H43:H45"/>
    <mergeCell ref="H46:H48"/>
    <mergeCell ref="F46:F48"/>
    <mergeCell ref="D49:D51"/>
    <mergeCell ref="E49:E51"/>
    <mergeCell ref="B43:B45"/>
    <mergeCell ref="C43:C45"/>
    <mergeCell ref="D43:D45"/>
    <mergeCell ref="B46:B48"/>
    <mergeCell ref="C46:C48"/>
    <mergeCell ref="D46:D48"/>
    <mergeCell ref="B49:B51"/>
    <mergeCell ref="C49:C51"/>
    <mergeCell ref="H64:H66"/>
    <mergeCell ref="B61:B63"/>
    <mergeCell ref="C61:C63"/>
    <mergeCell ref="D61:D63"/>
    <mergeCell ref="H61:H63"/>
    <mergeCell ref="F61:F63"/>
    <mergeCell ref="I61:I63"/>
    <mergeCell ref="B52:B54"/>
    <mergeCell ref="C52:C54"/>
    <mergeCell ref="C3:H3"/>
    <mergeCell ref="C4:H4"/>
    <mergeCell ref="J34:J36"/>
    <mergeCell ref="F31:F33"/>
    <mergeCell ref="I31:I33"/>
    <mergeCell ref="C5:H5"/>
    <mergeCell ref="D25:D27"/>
    <mergeCell ref="C31:C33"/>
    <mergeCell ref="D31:D33"/>
    <mergeCell ref="B8:B10"/>
    <mergeCell ref="C8:C10"/>
    <mergeCell ref="D8:D10"/>
    <mergeCell ref="E8:E10"/>
    <mergeCell ref="F8:F10"/>
    <mergeCell ref="G8:G10"/>
    <mergeCell ref="I8:I10"/>
    <mergeCell ref="H8:H10"/>
    <mergeCell ref="E34:E36"/>
    <mergeCell ref="C34:C36"/>
    <mergeCell ref="D34:D36"/>
    <mergeCell ref="H34:H36"/>
    <mergeCell ref="F22:F24"/>
    <mergeCell ref="F25:F27"/>
    <mergeCell ref="F34:F36"/>
    <mergeCell ref="I22:I24"/>
    <mergeCell ref="I25:I27"/>
    <mergeCell ref="C6:H6"/>
    <mergeCell ref="K13:K15"/>
    <mergeCell ref="K16:K18"/>
    <mergeCell ref="F16:F18"/>
    <mergeCell ref="E13:E15"/>
    <mergeCell ref="J13:J15"/>
    <mergeCell ref="F13:F15"/>
    <mergeCell ref="I19:I21"/>
    <mergeCell ref="H19:H21"/>
    <mergeCell ref="H13:H15"/>
    <mergeCell ref="D13:D15"/>
    <mergeCell ref="D16:D18"/>
    <mergeCell ref="E16:E18"/>
    <mergeCell ref="E31:E33"/>
    <mergeCell ref="B25:B27"/>
    <mergeCell ref="B28:B30"/>
    <mergeCell ref="C28:C30"/>
    <mergeCell ref="B19:B21"/>
    <mergeCell ref="C19:C21"/>
    <mergeCell ref="D19:D21"/>
    <mergeCell ref="E19:E21"/>
    <mergeCell ref="B22:B24"/>
    <mergeCell ref="C22:C24"/>
    <mergeCell ref="C13:C15"/>
    <mergeCell ref="B13:B15"/>
    <mergeCell ref="B31:B33"/>
    <mergeCell ref="I13:I15"/>
    <mergeCell ref="I16:I18"/>
    <mergeCell ref="K25:K27"/>
    <mergeCell ref="K22:K24"/>
    <mergeCell ref="J25:J27"/>
    <mergeCell ref="J19:J21"/>
    <mergeCell ref="J22:J24"/>
    <mergeCell ref="K19:K21"/>
    <mergeCell ref="I28:I30"/>
    <mergeCell ref="I37:I39"/>
    <mergeCell ref="J16:J18"/>
    <mergeCell ref="H16:H18"/>
    <mergeCell ref="B16:B18"/>
    <mergeCell ref="F28:F30"/>
    <mergeCell ref="E28:E30"/>
    <mergeCell ref="E25:E27"/>
    <mergeCell ref="C25:C27"/>
    <mergeCell ref="C16:C18"/>
    <mergeCell ref="F19:F21"/>
    <mergeCell ref="D22:D24"/>
    <mergeCell ref="E22:E24"/>
    <mergeCell ref="D28:D30"/>
    <mergeCell ref="K43:K45"/>
    <mergeCell ref="K37:K39"/>
    <mergeCell ref="J43:J45"/>
    <mergeCell ref="K40:K42"/>
    <mergeCell ref="J40:J42"/>
    <mergeCell ref="B40:B42"/>
    <mergeCell ref="C40:C42"/>
    <mergeCell ref="D40:D42"/>
    <mergeCell ref="E40:E42"/>
    <mergeCell ref="E37:E39"/>
    <mergeCell ref="B37:B39"/>
    <mergeCell ref="C37:C39"/>
    <mergeCell ref="F40:F42"/>
    <mergeCell ref="I40:I42"/>
    <mergeCell ref="H40:H42"/>
    <mergeCell ref="F37:F39"/>
    <mergeCell ref="H37:H39"/>
    <mergeCell ref="K46:K48"/>
    <mergeCell ref="K34:K36"/>
    <mergeCell ref="J37:J39"/>
    <mergeCell ref="J28:J30"/>
    <mergeCell ref="K28:K30"/>
    <mergeCell ref="J31:J33"/>
    <mergeCell ref="K31:K33"/>
    <mergeCell ref="J46:J48"/>
    <mergeCell ref="J49:J51"/>
    <mergeCell ref="K49:K51"/>
    <mergeCell ref="K64:K66"/>
    <mergeCell ref="K67:K69"/>
    <mergeCell ref="K79:K81"/>
    <mergeCell ref="J91:J93"/>
    <mergeCell ref="K91:K93"/>
    <mergeCell ref="K52:K54"/>
    <mergeCell ref="J52:J54"/>
    <mergeCell ref="J55:J57"/>
    <mergeCell ref="K55:K57"/>
    <mergeCell ref="K58:K60"/>
    <mergeCell ref="J58:J60"/>
    <mergeCell ref="J61:J63"/>
    <mergeCell ref="K61:K63"/>
    <mergeCell ref="J79:J81"/>
    <mergeCell ref="J64:J66"/>
    <mergeCell ref="J67:J69"/>
    <mergeCell ref="K70:K72"/>
    <mergeCell ref="J70:J72"/>
    <mergeCell ref="J73:J75"/>
    <mergeCell ref="K73:K75"/>
    <mergeCell ref="K76:K78"/>
    <mergeCell ref="J76:J78"/>
  </mergeCells>
  <phoneticPr fontId="2" type="noConversion"/>
  <dataValidations count="1">
    <dataValidation type="list" allowBlank="1" showInputMessage="1" showErrorMessage="1" sqref="E13:E612" xr:uid="{00000000-0002-0000-1700-000000000000}">
      <formula1>$N$13:$N$17</formula1>
    </dataValidation>
  </dataValidations>
  <hyperlinks>
    <hyperlink ref="C1" location="Spis!B48" display="&gt;&gt; powrót do spisu treści" xr:uid="{00000000-0004-0000-17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1">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0" width="10.77734375" style="78" customWidth="1"/>
    <col min="21" max="16384" width="15.77734375" style="78"/>
  </cols>
  <sheetData>
    <row r="1" spans="1:24">
      <c r="A1" s="898"/>
      <c r="B1" s="898"/>
      <c r="C1" s="925" t="s">
        <v>9</v>
      </c>
      <c r="D1" s="899"/>
      <c r="E1" s="900"/>
      <c r="F1" s="900"/>
      <c r="G1" s="901"/>
      <c r="H1" s="902"/>
      <c r="I1" s="903"/>
      <c r="J1" s="880"/>
      <c r="K1" s="880"/>
      <c r="L1" s="880"/>
      <c r="P1"/>
      <c r="Q1"/>
      <c r="R1"/>
      <c r="S1"/>
      <c r="T1"/>
      <c r="U1"/>
      <c r="V1"/>
      <c r="W1"/>
      <c r="X1"/>
    </row>
    <row r="2" spans="1:24" ht="9.9499999999999993" customHeight="1">
      <c r="A2" s="898"/>
      <c r="B2" s="898"/>
      <c r="C2" s="924"/>
      <c r="D2" s="899"/>
      <c r="E2" s="900"/>
      <c r="F2" s="900"/>
      <c r="G2" s="901"/>
      <c r="H2" s="902"/>
      <c r="I2" s="903"/>
      <c r="J2" s="880"/>
      <c r="K2" s="880"/>
      <c r="L2" s="880"/>
      <c r="P2"/>
      <c r="Q2"/>
      <c r="R2"/>
      <c r="S2"/>
      <c r="T2"/>
      <c r="U2"/>
      <c r="V2"/>
      <c r="W2"/>
      <c r="X2"/>
    </row>
    <row r="3" spans="1:24" ht="15" customHeight="1">
      <c r="A3" s="898"/>
      <c r="B3" s="914" t="s">
        <v>13</v>
      </c>
      <c r="C3" s="1147" t="s">
        <v>19</v>
      </c>
      <c r="D3" s="1147"/>
      <c r="E3" s="1147"/>
      <c r="F3" s="1147"/>
      <c r="G3" s="1147"/>
      <c r="H3" s="1148"/>
      <c r="I3" s="903"/>
      <c r="J3" s="880"/>
      <c r="K3" s="880"/>
      <c r="L3" s="880"/>
      <c r="P3"/>
      <c r="Q3"/>
      <c r="R3"/>
      <c r="S3"/>
      <c r="T3"/>
      <c r="U3"/>
      <c r="V3"/>
      <c r="W3"/>
      <c r="X3"/>
    </row>
    <row r="4" spans="1:24" ht="15" customHeight="1">
      <c r="A4" s="898"/>
      <c r="B4" s="915" t="s">
        <v>27</v>
      </c>
      <c r="C4" s="1147" t="s">
        <v>177</v>
      </c>
      <c r="D4" s="1147"/>
      <c r="E4" s="1147"/>
      <c r="F4" s="1147"/>
      <c r="G4" s="1147"/>
      <c r="H4" s="1148"/>
      <c r="I4" s="903"/>
      <c r="J4" s="880"/>
      <c r="K4" s="880"/>
      <c r="L4" s="880"/>
      <c r="P4"/>
      <c r="Q4"/>
      <c r="R4"/>
      <c r="S4"/>
      <c r="T4"/>
      <c r="U4"/>
      <c r="V4"/>
      <c r="W4"/>
      <c r="X4"/>
    </row>
    <row r="5" spans="1:24" ht="15" customHeight="1">
      <c r="A5" s="880"/>
      <c r="B5" s="897" t="s">
        <v>28</v>
      </c>
      <c r="C5" s="1116" t="s">
        <v>104</v>
      </c>
      <c r="D5" s="1116"/>
      <c r="E5" s="1116"/>
      <c r="F5" s="1116"/>
      <c r="G5" s="1116"/>
      <c r="H5" s="1148"/>
      <c r="I5" s="903"/>
      <c r="J5" s="880"/>
      <c r="K5" s="880"/>
      <c r="L5" s="880"/>
      <c r="P5"/>
      <c r="Q5"/>
      <c r="R5"/>
      <c r="S5"/>
      <c r="T5"/>
      <c r="U5"/>
      <c r="V5"/>
      <c r="W5"/>
      <c r="X5"/>
    </row>
    <row r="6" spans="1:24" ht="50.1" customHeight="1">
      <c r="A6" s="880"/>
      <c r="B6" s="897" t="s">
        <v>35</v>
      </c>
      <c r="C6" s="1116" t="s">
        <v>175</v>
      </c>
      <c r="D6" s="1120"/>
      <c r="E6" s="1120"/>
      <c r="F6" s="1120"/>
      <c r="G6" s="1120"/>
      <c r="H6" s="1148"/>
      <c r="I6" s="903"/>
      <c r="J6" s="880"/>
      <c r="K6" s="880"/>
      <c r="L6" s="880"/>
      <c r="P6"/>
      <c r="Q6"/>
      <c r="R6"/>
      <c r="S6"/>
      <c r="T6"/>
      <c r="U6"/>
      <c r="V6"/>
      <c r="W6"/>
      <c r="X6"/>
    </row>
    <row r="7" spans="1:24" s="79" customFormat="1" ht="30" customHeight="1" thickBot="1">
      <c r="A7" s="907"/>
      <c r="B7" s="908" t="s">
        <v>257</v>
      </c>
      <c r="C7" s="911"/>
      <c r="D7" s="909"/>
      <c r="E7" s="907"/>
      <c r="F7" s="910"/>
      <c r="G7" s="911"/>
      <c r="H7" s="912"/>
      <c r="I7" s="912"/>
      <c r="J7" s="913"/>
      <c r="K7" s="913"/>
      <c r="L7" s="913"/>
      <c r="M7" s="81"/>
      <c r="P7"/>
      <c r="Q7"/>
      <c r="R7"/>
      <c r="S7"/>
      <c r="T7"/>
      <c r="U7"/>
      <c r="V7"/>
      <c r="W7"/>
      <c r="X7"/>
    </row>
    <row r="8" spans="1:24" ht="20.100000000000001" customHeight="1" thickBot="1">
      <c r="A8" s="880"/>
      <c r="B8" s="1138" t="str">
        <f>'Tab.G1.1-4'!$B$8</f>
        <v>LP</v>
      </c>
      <c r="C8" s="1104" t="str">
        <f>Tab.G6!$C$9</f>
        <v>Nazwa projektu inwestycyjnego</v>
      </c>
      <c r="D8" s="1104" t="str">
        <f>Tab.G6!$D$9</f>
        <v>Lokalizacja projektu inwestycyjnego</v>
      </c>
      <c r="E8" s="1104" t="str">
        <f>Tab.G6!$E$9</f>
        <v>Cel realizacji projektu</v>
      </c>
      <c r="F8" s="1104" t="str">
        <f>Tab.G6!$F$9</f>
        <v>Spodziewane efekty, wynikające z realizacji projektu</v>
      </c>
      <c r="G8" s="1104" t="str">
        <f>Tab.G6!$G$9</f>
        <v>Wartość dla poszczególnych spodziewanych efektów</v>
      </c>
      <c r="H8" s="1104" t="str">
        <f>Tab.G7!$H$8</f>
        <v>Rodzaj i zakres powiązania projektu z główną działalnością</v>
      </c>
      <c r="I8" s="1103" t="str">
        <f>Tab.G6!$H$9</f>
        <v>Zakres prac</v>
      </c>
      <c r="J8" s="627" t="str">
        <f>'Tab.G1.1-4'!$E$8</f>
        <v>Wykonanie</v>
      </c>
      <c r="K8" s="1101" t="str">
        <f>Tab.G6!$J$9</f>
        <v>UWAGI</v>
      </c>
      <c r="L8" s="878"/>
      <c r="M8" s="83"/>
      <c r="N8" s="76"/>
      <c r="O8" s="76"/>
      <c r="P8"/>
      <c r="Q8"/>
      <c r="R8"/>
      <c r="S8"/>
      <c r="T8"/>
      <c r="U8"/>
      <c r="V8"/>
      <c r="W8"/>
      <c r="X8"/>
    </row>
    <row r="9" spans="1:24" ht="20.100000000000001" customHeight="1" thickBot="1">
      <c r="A9" s="880"/>
      <c r="B9" s="1152"/>
      <c r="C9" s="1106"/>
      <c r="D9" s="1106"/>
      <c r="E9" s="1106"/>
      <c r="F9" s="1106"/>
      <c r="G9" s="1106"/>
      <c r="H9" s="1106"/>
      <c r="I9" s="1103"/>
      <c r="J9" s="628">
        <f>Rok_ZPR</f>
        <v>2023</v>
      </c>
      <c r="K9" s="1102"/>
      <c r="L9" s="860"/>
      <c r="M9" s="84"/>
      <c r="N9" s="76"/>
      <c r="O9" s="76"/>
      <c r="P9"/>
      <c r="Q9"/>
      <c r="R9"/>
      <c r="S9"/>
      <c r="T9"/>
      <c r="U9"/>
      <c r="V9"/>
      <c r="W9"/>
      <c r="X9"/>
    </row>
    <row r="10" spans="1:24" ht="20.100000000000001" customHeight="1">
      <c r="A10" s="880"/>
      <c r="B10" s="1152"/>
      <c r="C10" s="1106"/>
      <c r="D10" s="1106"/>
      <c r="E10" s="1106"/>
      <c r="F10" s="1106"/>
      <c r="G10" s="1106"/>
      <c r="H10" s="1106"/>
      <c r="I10" s="1104"/>
      <c r="J10" s="628" t="str">
        <f>'Tab.G1.1-4'!$D$11</f>
        <v>[tys. zł]</v>
      </c>
      <c r="K10" s="1102"/>
      <c r="L10" s="891"/>
      <c r="M10" s="85"/>
      <c r="N10" s="76"/>
      <c r="O10" s="76"/>
      <c r="P10"/>
      <c r="Q10"/>
      <c r="R10"/>
      <c r="S10"/>
      <c r="T10"/>
      <c r="U10"/>
      <c r="V10"/>
      <c r="W10"/>
      <c r="X10"/>
    </row>
    <row r="11" spans="1:24"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c r="Q11"/>
      <c r="R11"/>
      <c r="S11"/>
      <c r="T11"/>
      <c r="U11"/>
      <c r="V11"/>
      <c r="W11"/>
      <c r="X11"/>
    </row>
    <row r="12" spans="1:24" s="82" customFormat="1" ht="16.5" thickBot="1">
      <c r="A12" s="900"/>
      <c r="B12" s="87"/>
      <c r="C12" s="87"/>
      <c r="D12" s="88"/>
      <c r="E12" s="87"/>
      <c r="F12" s="87"/>
      <c r="G12" s="88"/>
      <c r="H12" s="88"/>
      <c r="I12" s="88"/>
      <c r="J12" s="89"/>
      <c r="K12" s="89"/>
      <c r="L12" s="892"/>
      <c r="M12" s="86"/>
      <c r="P12"/>
      <c r="Q12"/>
      <c r="R12"/>
      <c r="S12"/>
      <c r="T12"/>
      <c r="U12"/>
      <c r="V12"/>
      <c r="W12"/>
      <c r="X12"/>
    </row>
    <row r="13" spans="1:24" s="82" customFormat="1" ht="12.75" customHeight="1">
      <c r="A13" s="900"/>
      <c r="B13" s="1123">
        <v>1</v>
      </c>
      <c r="C13" s="1127"/>
      <c r="D13" s="1125"/>
      <c r="E13" s="1125" t="s">
        <v>18</v>
      </c>
      <c r="F13" s="1130" t="str">
        <f>VLOOKUP(E13,$N$13:$O$17,2,0)</f>
        <v>-</v>
      </c>
      <c r="G13" s="92"/>
      <c r="H13" s="1125"/>
      <c r="I13" s="1125"/>
      <c r="J13" s="1134"/>
      <c r="K13" s="1134"/>
      <c r="L13" s="892"/>
      <c r="M13" s="86"/>
      <c r="N13" s="93" t="s">
        <v>20</v>
      </c>
      <c r="O13" s="94" t="s">
        <v>21</v>
      </c>
      <c r="P13"/>
      <c r="Q13"/>
      <c r="R13"/>
      <c r="S13"/>
      <c r="T13"/>
      <c r="U13"/>
      <c r="V13"/>
      <c r="W13"/>
      <c r="X13"/>
    </row>
    <row r="14" spans="1:24" s="82" customFormat="1" ht="12.75" customHeight="1">
      <c r="A14" s="900"/>
      <c r="B14" s="1123"/>
      <c r="C14" s="1153"/>
      <c r="D14" s="1125"/>
      <c r="E14" s="1125"/>
      <c r="F14" s="1130"/>
      <c r="G14" s="95"/>
      <c r="H14" s="1125"/>
      <c r="I14" s="1125"/>
      <c r="J14" s="1134"/>
      <c r="K14" s="1134"/>
      <c r="L14" s="892"/>
      <c r="M14" s="86"/>
      <c r="N14" s="96" t="s">
        <v>22</v>
      </c>
      <c r="O14" s="97" t="s">
        <v>59</v>
      </c>
      <c r="P14"/>
      <c r="Q14"/>
      <c r="R14"/>
      <c r="S14"/>
      <c r="T14"/>
      <c r="U14"/>
      <c r="V14"/>
      <c r="W14"/>
      <c r="X14"/>
    </row>
    <row r="15" spans="1:24" s="82" customFormat="1" ht="12.75" customHeight="1">
      <c r="A15" s="900"/>
      <c r="B15" s="1124"/>
      <c r="C15" s="1154"/>
      <c r="D15" s="1126"/>
      <c r="E15" s="1126"/>
      <c r="F15" s="1132"/>
      <c r="G15" s="100"/>
      <c r="H15" s="1126"/>
      <c r="I15" s="1126"/>
      <c r="J15" s="1135"/>
      <c r="K15" s="1135"/>
      <c r="L15" s="892"/>
      <c r="M15" s="86"/>
      <c r="N15" s="96" t="s">
        <v>23</v>
      </c>
      <c r="O15" s="97" t="s">
        <v>24</v>
      </c>
      <c r="P15"/>
      <c r="Q15"/>
      <c r="R15"/>
      <c r="S15"/>
      <c r="T15"/>
      <c r="U15"/>
      <c r="V15"/>
      <c r="W15"/>
      <c r="X15"/>
    </row>
    <row r="16" spans="1:24" s="82" customFormat="1" ht="12.75" customHeight="1">
      <c r="A16" s="900"/>
      <c r="B16" s="1123">
        <v>2</v>
      </c>
      <c r="C16" s="1127"/>
      <c r="D16" s="1125"/>
      <c r="E16" s="1125" t="s">
        <v>18</v>
      </c>
      <c r="F16" s="1130" t="str">
        <f>VLOOKUP(E16,$N$13:$O$17,2,0)</f>
        <v>-</v>
      </c>
      <c r="G16" s="92"/>
      <c r="H16" s="1125"/>
      <c r="I16" s="1125"/>
      <c r="J16" s="1133"/>
      <c r="K16" s="1133"/>
      <c r="L16" s="892"/>
      <c r="M16" s="86"/>
      <c r="N16" s="96" t="s">
        <v>25</v>
      </c>
      <c r="O16" s="97" t="s">
        <v>26</v>
      </c>
      <c r="P16"/>
      <c r="Q16"/>
      <c r="R16"/>
      <c r="S16"/>
      <c r="T16"/>
      <c r="U16"/>
      <c r="V16"/>
      <c r="W16"/>
      <c r="X16"/>
    </row>
    <row r="17" spans="1:24" s="82" customFormat="1" ht="12.75" customHeight="1" thickBot="1">
      <c r="A17" s="900"/>
      <c r="B17" s="1123"/>
      <c r="C17" s="1127"/>
      <c r="D17" s="1125"/>
      <c r="E17" s="1125"/>
      <c r="F17" s="1130"/>
      <c r="G17" s="95"/>
      <c r="H17" s="1125"/>
      <c r="I17" s="1125"/>
      <c r="J17" s="1134"/>
      <c r="K17" s="1134"/>
      <c r="L17" s="892"/>
      <c r="M17" s="86"/>
      <c r="N17" s="101" t="s">
        <v>18</v>
      </c>
      <c r="O17" s="102" t="s">
        <v>18</v>
      </c>
      <c r="P17"/>
      <c r="Q17"/>
      <c r="R17"/>
      <c r="S17"/>
      <c r="T17"/>
      <c r="U17"/>
      <c r="V17"/>
      <c r="W17"/>
      <c r="X17"/>
    </row>
    <row r="18" spans="1:24" s="82" customFormat="1" ht="12.75" customHeight="1">
      <c r="A18" s="900"/>
      <c r="B18" s="1124"/>
      <c r="C18" s="1128"/>
      <c r="D18" s="1126"/>
      <c r="E18" s="1126"/>
      <c r="F18" s="1132"/>
      <c r="G18" s="100"/>
      <c r="H18" s="1126"/>
      <c r="I18" s="1126"/>
      <c r="J18" s="1135"/>
      <c r="K18" s="1135"/>
      <c r="L18" s="892"/>
      <c r="M18" s="86"/>
      <c r="N18" s="103"/>
      <c r="O18" s="104"/>
      <c r="P18"/>
      <c r="Q18"/>
      <c r="R18"/>
      <c r="S18"/>
      <c r="T18"/>
      <c r="U18"/>
      <c r="V18"/>
      <c r="W18"/>
      <c r="X18"/>
    </row>
    <row r="19" spans="1:24" s="82" customFormat="1" ht="12.75" customHeight="1">
      <c r="A19" s="900"/>
      <c r="B19" s="1123">
        <v>3</v>
      </c>
      <c r="C19" s="1127"/>
      <c r="D19" s="1125"/>
      <c r="E19" s="1125" t="s">
        <v>18</v>
      </c>
      <c r="F19" s="1130" t="str">
        <f>VLOOKUP(E19,$N$13:$O$17,2,0)</f>
        <v>-</v>
      </c>
      <c r="G19" s="92"/>
      <c r="H19" s="1125"/>
      <c r="I19" s="1125"/>
      <c r="J19" s="1133"/>
      <c r="K19" s="1133"/>
      <c r="L19" s="892"/>
      <c r="M19" s="86"/>
      <c r="N19" s="103"/>
      <c r="O19" s="104"/>
      <c r="P19"/>
      <c r="Q19"/>
      <c r="R19"/>
      <c r="S19"/>
      <c r="T19"/>
      <c r="U19"/>
      <c r="V19"/>
      <c r="W19"/>
      <c r="X19"/>
    </row>
    <row r="20" spans="1:24" s="82" customFormat="1" ht="12.75" customHeight="1">
      <c r="A20" s="900"/>
      <c r="B20" s="1123"/>
      <c r="C20" s="1127"/>
      <c r="D20" s="1125"/>
      <c r="E20" s="1125"/>
      <c r="F20" s="1130"/>
      <c r="G20" s="95"/>
      <c r="H20" s="1125"/>
      <c r="I20" s="1125"/>
      <c r="J20" s="1134"/>
      <c r="K20" s="1134"/>
      <c r="L20" s="892"/>
      <c r="M20" s="86"/>
      <c r="N20" s="103"/>
      <c r="O20" s="104"/>
      <c r="P20"/>
      <c r="Q20"/>
      <c r="R20"/>
      <c r="S20"/>
      <c r="T20"/>
      <c r="U20"/>
      <c r="V20"/>
      <c r="W20"/>
      <c r="X20"/>
    </row>
    <row r="21" spans="1:24" s="82" customFormat="1" ht="12.75" customHeight="1">
      <c r="A21" s="900"/>
      <c r="B21" s="1124"/>
      <c r="C21" s="1128"/>
      <c r="D21" s="1126"/>
      <c r="E21" s="1126"/>
      <c r="F21" s="1132"/>
      <c r="G21" s="100"/>
      <c r="H21" s="1126"/>
      <c r="I21" s="1126"/>
      <c r="J21" s="1135"/>
      <c r="K21" s="1135"/>
      <c r="L21" s="892"/>
      <c r="M21" s="86"/>
      <c r="N21" s="103"/>
      <c r="O21" s="104"/>
      <c r="P21"/>
      <c r="Q21"/>
      <c r="R21"/>
      <c r="S21"/>
      <c r="T21"/>
      <c r="U21"/>
      <c r="V21"/>
      <c r="W21"/>
      <c r="X21"/>
    </row>
    <row r="22" spans="1:24" s="82" customFormat="1" ht="12.75" customHeight="1">
      <c r="A22" s="900"/>
      <c r="B22" s="1123">
        <v>4</v>
      </c>
      <c r="C22" s="1127"/>
      <c r="D22" s="1125"/>
      <c r="E22" s="1125" t="s">
        <v>18</v>
      </c>
      <c r="F22" s="1130" t="str">
        <f>VLOOKUP(E22,$N$13:$O$17,2,0)</f>
        <v>-</v>
      </c>
      <c r="G22" s="92"/>
      <c r="H22" s="1125"/>
      <c r="I22" s="1125"/>
      <c r="J22" s="1133"/>
      <c r="K22" s="1133"/>
      <c r="L22" s="892"/>
      <c r="M22" s="86"/>
      <c r="N22" s="103"/>
      <c r="O22" s="104"/>
      <c r="P22"/>
      <c r="Q22"/>
      <c r="R22"/>
      <c r="S22"/>
      <c r="T22"/>
      <c r="U22"/>
      <c r="V22"/>
      <c r="W22"/>
      <c r="X22"/>
    </row>
    <row r="23" spans="1:24" s="82" customFormat="1" ht="12.75" customHeight="1">
      <c r="A23" s="900"/>
      <c r="B23" s="1123"/>
      <c r="C23" s="1127"/>
      <c r="D23" s="1125"/>
      <c r="E23" s="1125"/>
      <c r="F23" s="1130"/>
      <c r="G23" s="95"/>
      <c r="H23" s="1125"/>
      <c r="I23" s="1125"/>
      <c r="J23" s="1134"/>
      <c r="K23" s="1134"/>
      <c r="L23" s="892"/>
      <c r="M23" s="86"/>
      <c r="N23" s="103"/>
      <c r="O23" s="104"/>
      <c r="P23"/>
      <c r="Q23"/>
      <c r="R23"/>
      <c r="S23"/>
      <c r="T23"/>
      <c r="U23"/>
      <c r="V23"/>
      <c r="W23"/>
      <c r="X23"/>
    </row>
    <row r="24" spans="1:24" s="82" customFormat="1" ht="12.75" customHeight="1">
      <c r="A24" s="900"/>
      <c r="B24" s="1124"/>
      <c r="C24" s="1128"/>
      <c r="D24" s="1126"/>
      <c r="E24" s="1126"/>
      <c r="F24" s="1132"/>
      <c r="G24" s="100"/>
      <c r="H24" s="1126"/>
      <c r="I24" s="1126"/>
      <c r="J24" s="1135"/>
      <c r="K24" s="1135"/>
      <c r="L24" s="892"/>
      <c r="M24" s="86"/>
      <c r="N24" s="103"/>
      <c r="O24" s="104"/>
      <c r="P24"/>
      <c r="Q24"/>
      <c r="R24"/>
      <c r="S24"/>
      <c r="T24"/>
      <c r="U24"/>
      <c r="V24"/>
      <c r="W24"/>
      <c r="X24"/>
    </row>
    <row r="25" spans="1:24" s="82" customFormat="1" ht="12.75" customHeight="1">
      <c r="A25" s="900"/>
      <c r="B25" s="1123">
        <v>5</v>
      </c>
      <c r="C25" s="1127"/>
      <c r="D25" s="1125"/>
      <c r="E25" s="1125" t="s">
        <v>18</v>
      </c>
      <c r="F25" s="1130" t="str">
        <f>VLOOKUP(E25,$N$13:$O$17,2,0)</f>
        <v>-</v>
      </c>
      <c r="G25" s="92"/>
      <c r="H25" s="1125"/>
      <c r="I25" s="1125"/>
      <c r="J25" s="1133"/>
      <c r="K25" s="1133"/>
      <c r="L25" s="892"/>
      <c r="M25" s="86"/>
      <c r="N25" s="103"/>
      <c r="O25" s="104"/>
      <c r="P25"/>
      <c r="Q25"/>
      <c r="R25"/>
      <c r="S25"/>
      <c r="T25"/>
      <c r="U25"/>
      <c r="V25"/>
      <c r="W25"/>
      <c r="X25"/>
    </row>
    <row r="26" spans="1:24" s="82" customFormat="1" ht="12.75" customHeight="1">
      <c r="A26" s="900"/>
      <c r="B26" s="1123"/>
      <c r="C26" s="1127"/>
      <c r="D26" s="1125"/>
      <c r="E26" s="1125"/>
      <c r="F26" s="1130"/>
      <c r="G26" s="95"/>
      <c r="H26" s="1125"/>
      <c r="I26" s="1125"/>
      <c r="J26" s="1134"/>
      <c r="K26" s="1134"/>
      <c r="L26" s="892"/>
      <c r="M26" s="86"/>
      <c r="N26" s="103"/>
      <c r="O26" s="104"/>
      <c r="P26"/>
      <c r="Q26"/>
      <c r="R26"/>
      <c r="S26"/>
      <c r="T26"/>
      <c r="U26"/>
      <c r="V26"/>
      <c r="W26"/>
      <c r="X26"/>
    </row>
    <row r="27" spans="1:24" s="82" customFormat="1" ht="12.75" customHeight="1">
      <c r="A27" s="900"/>
      <c r="B27" s="1124"/>
      <c r="C27" s="1128"/>
      <c r="D27" s="1126"/>
      <c r="E27" s="1126"/>
      <c r="F27" s="1132"/>
      <c r="G27" s="100"/>
      <c r="H27" s="1126"/>
      <c r="I27" s="1126"/>
      <c r="J27" s="1135"/>
      <c r="K27" s="1135"/>
      <c r="L27" s="892"/>
      <c r="M27" s="86"/>
      <c r="N27" s="103"/>
      <c r="O27" s="104"/>
      <c r="P27"/>
      <c r="Q27"/>
      <c r="R27"/>
      <c r="S27"/>
      <c r="T27"/>
      <c r="U27"/>
      <c r="V27"/>
      <c r="W27"/>
      <c r="X27"/>
    </row>
    <row r="28" spans="1:24" s="82" customFormat="1" ht="12.75" customHeight="1">
      <c r="A28" s="900"/>
      <c r="B28" s="1123">
        <v>6</v>
      </c>
      <c r="C28" s="1127"/>
      <c r="D28" s="1125"/>
      <c r="E28" s="1125" t="s">
        <v>18</v>
      </c>
      <c r="F28" s="1130" t="str">
        <f>VLOOKUP(E28,$N$13:$O$17,2,0)</f>
        <v>-</v>
      </c>
      <c r="G28" s="92"/>
      <c r="H28" s="1125"/>
      <c r="I28" s="1125"/>
      <c r="J28" s="1133"/>
      <c r="K28" s="1133"/>
      <c r="L28" s="892"/>
      <c r="M28" s="86"/>
      <c r="N28" s="103"/>
      <c r="O28" s="104"/>
      <c r="P28"/>
      <c r="Q28"/>
      <c r="R28"/>
      <c r="S28"/>
      <c r="T28"/>
      <c r="U28"/>
      <c r="V28"/>
      <c r="W28"/>
      <c r="X28"/>
    </row>
    <row r="29" spans="1:24" s="82" customFormat="1" ht="12.75" customHeight="1">
      <c r="A29" s="900"/>
      <c r="B29" s="1123"/>
      <c r="C29" s="1127"/>
      <c r="D29" s="1125"/>
      <c r="E29" s="1125"/>
      <c r="F29" s="1130"/>
      <c r="G29" s="95"/>
      <c r="H29" s="1125"/>
      <c r="I29" s="1125"/>
      <c r="J29" s="1134"/>
      <c r="K29" s="1134"/>
      <c r="L29" s="892"/>
      <c r="M29" s="86"/>
      <c r="N29" s="103"/>
      <c r="O29" s="104"/>
      <c r="P29"/>
      <c r="Q29"/>
      <c r="R29"/>
      <c r="S29"/>
      <c r="T29"/>
      <c r="U29"/>
      <c r="V29"/>
      <c r="W29"/>
      <c r="X29"/>
    </row>
    <row r="30" spans="1:24" s="82" customFormat="1" ht="12.75" customHeight="1">
      <c r="A30" s="900"/>
      <c r="B30" s="1124"/>
      <c r="C30" s="1128"/>
      <c r="D30" s="1126"/>
      <c r="E30" s="1126"/>
      <c r="F30" s="1132"/>
      <c r="G30" s="100"/>
      <c r="H30" s="1126"/>
      <c r="I30" s="1126"/>
      <c r="J30" s="1135"/>
      <c r="K30" s="1135"/>
      <c r="L30" s="892"/>
      <c r="M30" s="86"/>
      <c r="N30" s="103"/>
      <c r="O30" s="104"/>
      <c r="P30"/>
      <c r="Q30"/>
      <c r="R30"/>
      <c r="S30"/>
      <c r="T30"/>
      <c r="U30"/>
      <c r="V30"/>
      <c r="W30"/>
      <c r="X30"/>
    </row>
    <row r="31" spans="1:24" s="82" customFormat="1" ht="12.75" customHeight="1">
      <c r="A31" s="900"/>
      <c r="B31" s="1123">
        <v>7</v>
      </c>
      <c r="C31" s="1127"/>
      <c r="D31" s="1125"/>
      <c r="E31" s="1125" t="s">
        <v>18</v>
      </c>
      <c r="F31" s="1130" t="str">
        <f>VLOOKUP(E31,$N$13:$O$17,2,0)</f>
        <v>-</v>
      </c>
      <c r="G31" s="92"/>
      <c r="H31" s="1125"/>
      <c r="I31" s="1125"/>
      <c r="J31" s="1133"/>
      <c r="K31" s="1133"/>
      <c r="L31" s="892"/>
      <c r="M31" s="86"/>
      <c r="N31" s="103"/>
      <c r="O31" s="104"/>
      <c r="P31"/>
      <c r="Q31"/>
      <c r="R31"/>
      <c r="S31"/>
      <c r="T31"/>
      <c r="U31"/>
      <c r="V31"/>
      <c r="W31"/>
      <c r="X31"/>
    </row>
    <row r="32" spans="1:24" s="82" customFormat="1" ht="12.75" customHeight="1">
      <c r="A32" s="900"/>
      <c r="B32" s="1123"/>
      <c r="C32" s="1127"/>
      <c r="D32" s="1125"/>
      <c r="E32" s="1125"/>
      <c r="F32" s="1130"/>
      <c r="G32" s="95"/>
      <c r="H32" s="1125"/>
      <c r="I32" s="1125"/>
      <c r="J32" s="1134"/>
      <c r="K32" s="1134"/>
      <c r="L32" s="892"/>
      <c r="M32" s="86"/>
      <c r="N32" s="103"/>
      <c r="O32" s="104"/>
      <c r="P32"/>
      <c r="Q32"/>
      <c r="R32"/>
      <c r="S32"/>
      <c r="T32"/>
      <c r="U32"/>
      <c r="V32"/>
      <c r="W32"/>
      <c r="X32"/>
    </row>
    <row r="33" spans="1:24" s="82" customFormat="1" ht="12.75" customHeight="1">
      <c r="A33" s="900"/>
      <c r="B33" s="1124"/>
      <c r="C33" s="1128"/>
      <c r="D33" s="1126"/>
      <c r="E33" s="1126"/>
      <c r="F33" s="1132"/>
      <c r="G33" s="100"/>
      <c r="H33" s="1126"/>
      <c r="I33" s="1126"/>
      <c r="J33" s="1135"/>
      <c r="K33" s="1135"/>
      <c r="L33" s="892"/>
      <c r="M33" s="86"/>
      <c r="N33" s="103"/>
      <c r="O33" s="104"/>
      <c r="P33"/>
      <c r="Q33"/>
      <c r="R33"/>
      <c r="S33"/>
      <c r="T33"/>
      <c r="U33"/>
      <c r="V33"/>
      <c r="W33"/>
      <c r="X33"/>
    </row>
    <row r="34" spans="1:24" s="82" customFormat="1" ht="12.75" customHeight="1">
      <c r="A34" s="900"/>
      <c r="B34" s="1123">
        <v>8</v>
      </c>
      <c r="C34" s="1127"/>
      <c r="D34" s="1125"/>
      <c r="E34" s="1125" t="s">
        <v>18</v>
      </c>
      <c r="F34" s="1130" t="str">
        <f>VLOOKUP(E34,$N$13:$O$17,2,0)</f>
        <v>-</v>
      </c>
      <c r="G34" s="92"/>
      <c r="H34" s="1125"/>
      <c r="I34" s="1125"/>
      <c r="J34" s="1133"/>
      <c r="K34" s="1133"/>
      <c r="L34" s="892"/>
      <c r="M34" s="86"/>
      <c r="N34" s="103"/>
      <c r="O34" s="104"/>
      <c r="P34"/>
      <c r="Q34"/>
      <c r="R34"/>
      <c r="S34"/>
      <c r="T34"/>
      <c r="U34"/>
      <c r="V34"/>
      <c r="W34"/>
      <c r="X34"/>
    </row>
    <row r="35" spans="1:24" s="82" customFormat="1" ht="12.75" customHeight="1">
      <c r="A35" s="900"/>
      <c r="B35" s="1123"/>
      <c r="C35" s="1127"/>
      <c r="D35" s="1125"/>
      <c r="E35" s="1125"/>
      <c r="F35" s="1130"/>
      <c r="G35" s="825"/>
      <c r="H35" s="1125"/>
      <c r="I35" s="1125"/>
      <c r="J35" s="1134"/>
      <c r="K35" s="1134"/>
      <c r="L35" s="892"/>
      <c r="M35" s="86"/>
      <c r="N35" s="103"/>
      <c r="O35" s="104"/>
      <c r="P35"/>
      <c r="Q35"/>
      <c r="R35"/>
      <c r="S35"/>
      <c r="T35"/>
      <c r="U35"/>
      <c r="V35"/>
      <c r="W35"/>
      <c r="X35"/>
    </row>
    <row r="36" spans="1:24" s="82" customFormat="1" ht="12.75" customHeight="1">
      <c r="A36" s="900"/>
      <c r="B36" s="1124"/>
      <c r="C36" s="1128"/>
      <c r="D36" s="1126"/>
      <c r="E36" s="1126"/>
      <c r="F36" s="1132"/>
      <c r="G36" s="100"/>
      <c r="H36" s="1126"/>
      <c r="I36" s="1126"/>
      <c r="J36" s="1135"/>
      <c r="K36" s="1135"/>
      <c r="L36" s="892"/>
      <c r="M36" s="86"/>
      <c r="N36" s="103"/>
      <c r="O36" s="104"/>
      <c r="P36"/>
      <c r="Q36"/>
      <c r="R36"/>
      <c r="S36"/>
      <c r="T36"/>
      <c r="U36"/>
      <c r="V36"/>
      <c r="W36"/>
      <c r="X36"/>
    </row>
    <row r="37" spans="1:24" s="82" customFormat="1" ht="12.75" customHeight="1">
      <c r="A37" s="900"/>
      <c r="B37" s="1123">
        <v>9</v>
      </c>
      <c r="C37" s="1127"/>
      <c r="D37" s="1125"/>
      <c r="E37" s="1125" t="s">
        <v>18</v>
      </c>
      <c r="F37" s="1130" t="str">
        <f>VLOOKUP(E37,$N$13:$O$17,2,0)</f>
        <v>-</v>
      </c>
      <c r="G37" s="92"/>
      <c r="H37" s="1125"/>
      <c r="I37" s="1125"/>
      <c r="J37" s="1133"/>
      <c r="K37" s="1133"/>
      <c r="L37" s="892"/>
      <c r="M37" s="86"/>
      <c r="N37" s="103"/>
      <c r="O37" s="104"/>
      <c r="P37"/>
      <c r="Q37"/>
      <c r="R37"/>
      <c r="S37"/>
      <c r="T37"/>
      <c r="U37"/>
      <c r="V37"/>
      <c r="W37"/>
      <c r="X37"/>
    </row>
    <row r="38" spans="1:24" s="82" customFormat="1" ht="12.75" customHeight="1">
      <c r="A38" s="900"/>
      <c r="B38" s="1123"/>
      <c r="C38" s="1127"/>
      <c r="D38" s="1125"/>
      <c r="E38" s="1125"/>
      <c r="F38" s="1130"/>
      <c r="G38" s="95"/>
      <c r="H38" s="1125"/>
      <c r="I38" s="1125"/>
      <c r="J38" s="1134"/>
      <c r="K38" s="1134"/>
      <c r="L38" s="892"/>
      <c r="M38" s="86"/>
      <c r="N38" s="103"/>
      <c r="O38" s="104"/>
      <c r="P38"/>
      <c r="Q38"/>
      <c r="R38"/>
      <c r="S38"/>
      <c r="T38"/>
      <c r="U38"/>
      <c r="V38"/>
      <c r="W38"/>
      <c r="X38"/>
    </row>
    <row r="39" spans="1:24" s="82" customFormat="1" ht="12.75" customHeight="1">
      <c r="A39" s="900"/>
      <c r="B39" s="1124"/>
      <c r="C39" s="1128"/>
      <c r="D39" s="1126"/>
      <c r="E39" s="1126"/>
      <c r="F39" s="1132"/>
      <c r="G39" s="100"/>
      <c r="H39" s="1126"/>
      <c r="I39" s="1126"/>
      <c r="J39" s="1135"/>
      <c r="K39" s="1135"/>
      <c r="L39" s="892"/>
      <c r="M39" s="86"/>
      <c r="N39" s="103"/>
      <c r="O39" s="104"/>
      <c r="P39"/>
      <c r="Q39"/>
      <c r="R39"/>
      <c r="S39"/>
      <c r="T39"/>
      <c r="U39"/>
      <c r="V39"/>
      <c r="W39"/>
      <c r="X39"/>
    </row>
    <row r="40" spans="1:24" s="82" customFormat="1" ht="12.75" customHeight="1">
      <c r="A40" s="900"/>
      <c r="B40" s="1123">
        <v>10</v>
      </c>
      <c r="C40" s="1127"/>
      <c r="D40" s="1125"/>
      <c r="E40" s="1125" t="s">
        <v>18</v>
      </c>
      <c r="F40" s="1130" t="str">
        <f>VLOOKUP(E40,$N$13:$O$17,2,0)</f>
        <v>-</v>
      </c>
      <c r="G40" s="92"/>
      <c r="H40" s="1125"/>
      <c r="I40" s="1125"/>
      <c r="J40" s="1133"/>
      <c r="K40" s="1133"/>
      <c r="L40" s="892"/>
      <c r="M40" s="86"/>
      <c r="N40" s="103"/>
      <c r="O40" s="104"/>
      <c r="P40"/>
      <c r="Q40"/>
      <c r="R40"/>
      <c r="S40"/>
      <c r="T40"/>
      <c r="U40"/>
      <c r="V40"/>
      <c r="W40"/>
      <c r="X40"/>
    </row>
    <row r="41" spans="1:24" s="82" customFormat="1" ht="12.75" customHeight="1">
      <c r="A41" s="900"/>
      <c r="B41" s="1123"/>
      <c r="C41" s="1127"/>
      <c r="D41" s="1125"/>
      <c r="E41" s="1125"/>
      <c r="F41" s="1130"/>
      <c r="G41" s="95"/>
      <c r="H41" s="1125"/>
      <c r="I41" s="1125"/>
      <c r="J41" s="1134"/>
      <c r="K41" s="1134"/>
      <c r="L41" s="892"/>
      <c r="M41" s="86"/>
      <c r="N41" s="103"/>
      <c r="O41" s="104"/>
    </row>
    <row r="42" spans="1:24" s="82" customFormat="1" ht="12.75" customHeight="1" thickBot="1">
      <c r="A42" s="900"/>
      <c r="B42" s="1124"/>
      <c r="C42" s="1128"/>
      <c r="D42" s="1126"/>
      <c r="E42" s="1126"/>
      <c r="F42" s="1132"/>
      <c r="G42" s="100"/>
      <c r="H42" s="1126"/>
      <c r="I42" s="1126"/>
      <c r="J42" s="1135"/>
      <c r="K42" s="1135"/>
      <c r="L42" s="892"/>
      <c r="M42" s="86"/>
      <c r="N42" s="103"/>
      <c r="O42" s="104"/>
    </row>
    <row r="43" spans="1:24" s="103" customFormat="1" ht="15.75" hidden="1" customHeight="1" outlineLevel="1">
      <c r="A43" s="916"/>
      <c r="B43" s="1123">
        <v>11</v>
      </c>
      <c r="C43" s="1127"/>
      <c r="D43" s="1125"/>
      <c r="E43" s="1125" t="s">
        <v>18</v>
      </c>
      <c r="F43" s="1130" t="str">
        <f>VLOOKUP(E43,$N$13:$O$17,2,0)</f>
        <v>-</v>
      </c>
      <c r="G43" s="92"/>
      <c r="H43" s="1125"/>
      <c r="I43" s="1125"/>
      <c r="J43" s="1133"/>
      <c r="K43" s="1133"/>
      <c r="L43" s="916"/>
    </row>
    <row r="44" spans="1:24" s="103" customFormat="1" ht="15.75" hidden="1" customHeight="1" outlineLevel="1">
      <c r="A44" s="916"/>
      <c r="B44" s="1123"/>
      <c r="C44" s="1127"/>
      <c r="D44" s="1125"/>
      <c r="E44" s="1125"/>
      <c r="F44" s="1130"/>
      <c r="G44" s="95"/>
      <c r="H44" s="1125"/>
      <c r="I44" s="1125"/>
      <c r="J44" s="1134"/>
      <c r="K44" s="1134"/>
      <c r="L44" s="916"/>
    </row>
    <row r="45" spans="1:24" s="80" customFormat="1" ht="15.75" hidden="1" customHeight="1" outlineLevel="1">
      <c r="A45" s="910"/>
      <c r="B45" s="1124"/>
      <c r="C45" s="1128"/>
      <c r="D45" s="1126"/>
      <c r="E45" s="1126"/>
      <c r="F45" s="1132"/>
      <c r="G45" s="100"/>
      <c r="H45" s="1126"/>
      <c r="I45" s="1126"/>
      <c r="J45" s="1135"/>
      <c r="K45" s="1135"/>
      <c r="L45" s="910"/>
    </row>
    <row r="46" spans="1:24" s="80" customFormat="1" ht="15.75" hidden="1" customHeight="1" outlineLevel="1">
      <c r="A46" s="910"/>
      <c r="B46" s="1123">
        <v>12</v>
      </c>
      <c r="C46" s="1127"/>
      <c r="D46" s="1125"/>
      <c r="E46" s="1125" t="s">
        <v>18</v>
      </c>
      <c r="F46" s="1130" t="str">
        <f>VLOOKUP(E46,$N$13:$O$17,2,0)</f>
        <v>-</v>
      </c>
      <c r="G46" s="92"/>
      <c r="H46" s="1125"/>
      <c r="I46" s="1125"/>
      <c r="J46" s="1133"/>
      <c r="K46" s="1133"/>
      <c r="L46" s="910"/>
    </row>
    <row r="47" spans="1:24" s="103" customFormat="1" ht="15.75" hidden="1" customHeight="1" outlineLevel="1">
      <c r="A47" s="916"/>
      <c r="B47" s="1123"/>
      <c r="C47" s="1127"/>
      <c r="D47" s="1125"/>
      <c r="E47" s="1125"/>
      <c r="F47" s="1130"/>
      <c r="G47" s="95"/>
      <c r="H47" s="1125"/>
      <c r="I47" s="1125"/>
      <c r="J47" s="1134"/>
      <c r="K47" s="1134"/>
      <c r="L47" s="916"/>
    </row>
    <row r="48" spans="1:24" s="103" customFormat="1" ht="15.75" hidden="1" customHeight="1" outlineLevel="1">
      <c r="A48" s="916"/>
      <c r="B48" s="1124"/>
      <c r="C48" s="1128"/>
      <c r="D48" s="1126"/>
      <c r="E48" s="1126"/>
      <c r="F48" s="1132"/>
      <c r="G48" s="100"/>
      <c r="H48" s="1126"/>
      <c r="I48" s="1126"/>
      <c r="J48" s="1135"/>
      <c r="K48" s="1135"/>
      <c r="L48" s="916"/>
    </row>
    <row r="49" spans="1:12" s="103" customFormat="1" ht="15.75" hidden="1" customHeight="1" outlineLevel="1">
      <c r="A49" s="916"/>
      <c r="B49" s="1123">
        <v>13</v>
      </c>
      <c r="C49" s="1127"/>
      <c r="D49" s="1125"/>
      <c r="E49" s="1125" t="s">
        <v>18</v>
      </c>
      <c r="F49" s="1130" t="str">
        <f>VLOOKUP(E49,$N$13:$O$17,2,0)</f>
        <v>-</v>
      </c>
      <c r="G49" s="92"/>
      <c r="H49" s="1125"/>
      <c r="I49" s="1125"/>
      <c r="J49" s="1133"/>
      <c r="K49" s="1133"/>
      <c r="L49" s="916"/>
    </row>
    <row r="50" spans="1:12" s="103" customFormat="1" ht="15.75" hidden="1" customHeight="1" outlineLevel="1">
      <c r="A50" s="916"/>
      <c r="B50" s="1123"/>
      <c r="C50" s="1127"/>
      <c r="D50" s="1125"/>
      <c r="E50" s="1125"/>
      <c r="F50" s="1130"/>
      <c r="G50" s="95"/>
      <c r="H50" s="1125"/>
      <c r="I50" s="1125"/>
      <c r="J50" s="1134"/>
      <c r="K50" s="1134"/>
      <c r="L50" s="916"/>
    </row>
    <row r="51" spans="1:12" s="103" customFormat="1" ht="15.75" hidden="1" customHeight="1" outlineLevel="1">
      <c r="A51" s="916"/>
      <c r="B51" s="1124"/>
      <c r="C51" s="1128"/>
      <c r="D51" s="1126"/>
      <c r="E51" s="1126"/>
      <c r="F51" s="1132"/>
      <c r="G51" s="100"/>
      <c r="H51" s="1126"/>
      <c r="I51" s="1126"/>
      <c r="J51" s="1135"/>
      <c r="K51" s="1135"/>
      <c r="L51" s="916"/>
    </row>
    <row r="52" spans="1:12" s="103" customFormat="1" ht="15.75" hidden="1" customHeight="1" outlineLevel="1">
      <c r="A52" s="916"/>
      <c r="B52" s="1123">
        <v>14</v>
      </c>
      <c r="C52" s="1127"/>
      <c r="D52" s="1125"/>
      <c r="E52" s="1125" t="s">
        <v>18</v>
      </c>
      <c r="F52" s="1130" t="str">
        <f>VLOOKUP(E52,$N$13:$O$17,2,0)</f>
        <v>-</v>
      </c>
      <c r="G52" s="92"/>
      <c r="H52" s="1125"/>
      <c r="I52" s="1125"/>
      <c r="J52" s="1133"/>
      <c r="K52" s="1133"/>
      <c r="L52" s="916"/>
    </row>
    <row r="53" spans="1:12" s="103" customFormat="1" ht="15.75" hidden="1" customHeight="1" outlineLevel="1">
      <c r="A53" s="916"/>
      <c r="B53" s="1123"/>
      <c r="C53" s="1127"/>
      <c r="D53" s="1125"/>
      <c r="E53" s="1125"/>
      <c r="F53" s="1130"/>
      <c r="G53" s="95"/>
      <c r="H53" s="1125"/>
      <c r="I53" s="1125"/>
      <c r="J53" s="1134"/>
      <c r="K53" s="1134"/>
      <c r="L53" s="916"/>
    </row>
    <row r="54" spans="1:12" s="103" customFormat="1" ht="15.75" hidden="1" customHeight="1" outlineLevel="1">
      <c r="A54" s="916"/>
      <c r="B54" s="1124"/>
      <c r="C54" s="1128"/>
      <c r="D54" s="1126"/>
      <c r="E54" s="1126"/>
      <c r="F54" s="1132"/>
      <c r="G54" s="100"/>
      <c r="H54" s="1126"/>
      <c r="I54" s="1126"/>
      <c r="J54" s="1135"/>
      <c r="K54" s="1135"/>
      <c r="L54" s="916"/>
    </row>
    <row r="55" spans="1:12" s="103" customFormat="1" ht="15.75" hidden="1" customHeight="1" outlineLevel="1">
      <c r="A55" s="916"/>
      <c r="B55" s="1123">
        <v>15</v>
      </c>
      <c r="C55" s="1127"/>
      <c r="D55" s="1125"/>
      <c r="E55" s="1125" t="s">
        <v>18</v>
      </c>
      <c r="F55" s="1130" t="str">
        <f>VLOOKUP(E55,$N$13:$O$17,2,0)</f>
        <v>-</v>
      </c>
      <c r="G55" s="92"/>
      <c r="H55" s="1125"/>
      <c r="I55" s="1125"/>
      <c r="J55" s="1133"/>
      <c r="K55" s="1133"/>
      <c r="L55" s="916"/>
    </row>
    <row r="56" spans="1:12" s="103" customFormat="1" ht="15.75" hidden="1" customHeight="1" outlineLevel="1">
      <c r="A56" s="916"/>
      <c r="B56" s="1123"/>
      <c r="C56" s="1127"/>
      <c r="D56" s="1125"/>
      <c r="E56" s="1125"/>
      <c r="F56" s="1130"/>
      <c r="G56" s="95"/>
      <c r="H56" s="1125"/>
      <c r="I56" s="1125"/>
      <c r="J56" s="1134"/>
      <c r="K56" s="1134"/>
      <c r="L56" s="916"/>
    </row>
    <row r="57" spans="1:12" s="103" customFormat="1" ht="15.75" hidden="1" customHeight="1" outlineLevel="1">
      <c r="A57" s="916"/>
      <c r="B57" s="1124"/>
      <c r="C57" s="1128"/>
      <c r="D57" s="1126"/>
      <c r="E57" s="1126"/>
      <c r="F57" s="1132"/>
      <c r="G57" s="100"/>
      <c r="H57" s="1126"/>
      <c r="I57" s="1126"/>
      <c r="J57" s="1135"/>
      <c r="K57" s="1135"/>
      <c r="L57" s="916"/>
    </row>
    <row r="58" spans="1:12" s="103" customFormat="1" ht="15.75" hidden="1" customHeight="1" outlineLevel="1">
      <c r="A58" s="916"/>
      <c r="B58" s="1123">
        <v>16</v>
      </c>
      <c r="C58" s="1127"/>
      <c r="D58" s="1125"/>
      <c r="E58" s="1125" t="s">
        <v>18</v>
      </c>
      <c r="F58" s="1130" t="e">
        <f>IF(F$25=0,0,F32/F$25)</f>
        <v>#VALUE!</v>
      </c>
      <c r="G58" s="92"/>
      <c r="H58" s="1125"/>
      <c r="I58" s="1125"/>
      <c r="J58" s="1133"/>
      <c r="K58" s="1133"/>
      <c r="L58" s="916"/>
    </row>
    <row r="59" spans="1:12" s="103" customFormat="1" ht="15.75" hidden="1" customHeight="1" outlineLevel="1">
      <c r="A59" s="916"/>
      <c r="B59" s="1123"/>
      <c r="C59" s="1127"/>
      <c r="D59" s="1125"/>
      <c r="E59" s="1125"/>
      <c r="F59" s="1130"/>
      <c r="G59" s="95"/>
      <c r="H59" s="1125"/>
      <c r="I59" s="1125"/>
      <c r="J59" s="1134"/>
      <c r="K59" s="1134"/>
      <c r="L59" s="916"/>
    </row>
    <row r="60" spans="1:12" s="103" customFormat="1" ht="15.75" hidden="1" customHeight="1" outlineLevel="1">
      <c r="A60" s="916"/>
      <c r="B60" s="1124"/>
      <c r="C60" s="1128"/>
      <c r="D60" s="1126"/>
      <c r="E60" s="1126"/>
      <c r="F60" s="1132"/>
      <c r="G60" s="100"/>
      <c r="H60" s="1126"/>
      <c r="I60" s="1126"/>
      <c r="J60" s="1135"/>
      <c r="K60" s="1135"/>
      <c r="L60" s="916"/>
    </row>
    <row r="61" spans="1:12" s="103" customFormat="1" ht="15.75" hidden="1" customHeight="1" outlineLevel="1">
      <c r="A61" s="916"/>
      <c r="B61" s="1123">
        <v>17</v>
      </c>
      <c r="C61" s="1127"/>
      <c r="D61" s="1125"/>
      <c r="E61" s="1125" t="s">
        <v>18</v>
      </c>
      <c r="F61" s="1130" t="str">
        <f>VLOOKUP(E61,$N$13:$O$17,2,0)</f>
        <v>-</v>
      </c>
      <c r="G61" s="92"/>
      <c r="H61" s="1125"/>
      <c r="I61" s="1125"/>
      <c r="J61" s="1133"/>
      <c r="K61" s="1133"/>
      <c r="L61" s="916"/>
    </row>
    <row r="62" spans="1:12" s="103" customFormat="1" ht="15.75" hidden="1" customHeight="1" outlineLevel="1">
      <c r="A62" s="916"/>
      <c r="B62" s="1123"/>
      <c r="C62" s="1127"/>
      <c r="D62" s="1125"/>
      <c r="E62" s="1125"/>
      <c r="F62" s="1130"/>
      <c r="G62" s="95"/>
      <c r="H62" s="1125"/>
      <c r="I62" s="1125"/>
      <c r="J62" s="1134"/>
      <c r="K62" s="1134"/>
      <c r="L62" s="916"/>
    </row>
    <row r="63" spans="1:12" s="103" customFormat="1" ht="15.75" hidden="1" customHeight="1" outlineLevel="1">
      <c r="A63" s="916"/>
      <c r="B63" s="1124"/>
      <c r="C63" s="1128"/>
      <c r="D63" s="1126"/>
      <c r="E63" s="1126"/>
      <c r="F63" s="1132"/>
      <c r="G63" s="100"/>
      <c r="H63" s="1126"/>
      <c r="I63" s="1126"/>
      <c r="J63" s="1135"/>
      <c r="K63" s="1135"/>
      <c r="L63" s="916"/>
    </row>
    <row r="64" spans="1:12" s="103" customFormat="1" ht="15.75" hidden="1" customHeight="1" outlineLevel="1">
      <c r="A64" s="916"/>
      <c r="B64" s="1123">
        <v>18</v>
      </c>
      <c r="C64" s="1127"/>
      <c r="D64" s="1125"/>
      <c r="E64" s="1125" t="s">
        <v>18</v>
      </c>
      <c r="F64" s="1130" t="str">
        <f>VLOOKUP(E64,$N$13:$O$17,2,0)</f>
        <v>-</v>
      </c>
      <c r="G64" s="92"/>
      <c r="H64" s="1125"/>
      <c r="I64" s="1125"/>
      <c r="J64" s="1133"/>
      <c r="K64" s="1133"/>
      <c r="L64" s="916"/>
    </row>
    <row r="65" spans="1:12" s="103" customFormat="1" ht="15.75" hidden="1" customHeight="1" outlineLevel="1">
      <c r="A65" s="916"/>
      <c r="B65" s="1123"/>
      <c r="C65" s="1127"/>
      <c r="D65" s="1125"/>
      <c r="E65" s="1125"/>
      <c r="F65" s="1130"/>
      <c r="G65" s="95"/>
      <c r="H65" s="1125"/>
      <c r="I65" s="1125"/>
      <c r="J65" s="1134"/>
      <c r="K65" s="1134"/>
      <c r="L65" s="916"/>
    </row>
    <row r="66" spans="1:12" s="103" customFormat="1" ht="15.75" hidden="1" customHeight="1" outlineLevel="1">
      <c r="A66" s="916"/>
      <c r="B66" s="1124"/>
      <c r="C66" s="1128"/>
      <c r="D66" s="1126"/>
      <c r="E66" s="1126"/>
      <c r="F66" s="1132"/>
      <c r="G66" s="100"/>
      <c r="H66" s="1126"/>
      <c r="I66" s="1126"/>
      <c r="J66" s="1135"/>
      <c r="K66" s="1135"/>
      <c r="L66" s="916"/>
    </row>
    <row r="67" spans="1:12" s="103" customFormat="1" ht="15.75" hidden="1" customHeight="1" outlineLevel="1">
      <c r="A67" s="916"/>
      <c r="B67" s="1123">
        <v>19</v>
      </c>
      <c r="C67" s="1127"/>
      <c r="D67" s="1125"/>
      <c r="E67" s="1125" t="s">
        <v>18</v>
      </c>
      <c r="F67" s="1130" t="str">
        <f>VLOOKUP(E67,$N$13:$O$17,2,0)</f>
        <v>-</v>
      </c>
      <c r="G67" s="92"/>
      <c r="H67" s="1125"/>
      <c r="I67" s="1125"/>
      <c r="J67" s="1133"/>
      <c r="K67" s="1133"/>
      <c r="L67" s="916"/>
    </row>
    <row r="68" spans="1:12" s="103" customFormat="1" ht="15.75" hidden="1" customHeight="1" outlineLevel="1">
      <c r="A68" s="916"/>
      <c r="B68" s="1123"/>
      <c r="C68" s="1127"/>
      <c r="D68" s="1125"/>
      <c r="E68" s="1125"/>
      <c r="F68" s="1130"/>
      <c r="G68" s="95"/>
      <c r="H68" s="1125"/>
      <c r="I68" s="1125"/>
      <c r="J68" s="1134"/>
      <c r="K68" s="1134"/>
      <c r="L68" s="916"/>
    </row>
    <row r="69" spans="1:12" s="103" customFormat="1" ht="15.75" hidden="1" customHeight="1" outlineLevel="1">
      <c r="A69" s="916"/>
      <c r="B69" s="1124"/>
      <c r="C69" s="1128"/>
      <c r="D69" s="1126"/>
      <c r="E69" s="1126"/>
      <c r="F69" s="1132"/>
      <c r="G69" s="100"/>
      <c r="H69" s="1126"/>
      <c r="I69" s="1126"/>
      <c r="J69" s="1135"/>
      <c r="K69" s="1135"/>
      <c r="L69" s="916"/>
    </row>
    <row r="70" spans="1:12" s="103" customFormat="1" ht="15.75" hidden="1" customHeight="1" outlineLevel="1">
      <c r="A70" s="916"/>
      <c r="B70" s="1123">
        <v>20</v>
      </c>
      <c r="C70" s="1127"/>
      <c r="D70" s="1125"/>
      <c r="E70" s="1125" t="s">
        <v>18</v>
      </c>
      <c r="F70" s="1130" t="str">
        <f>VLOOKUP(E70,$N$13:$O$17,2,0)</f>
        <v>-</v>
      </c>
      <c r="G70" s="92"/>
      <c r="H70" s="1125"/>
      <c r="I70" s="1125"/>
      <c r="J70" s="1133"/>
      <c r="K70" s="1133"/>
      <c r="L70" s="916"/>
    </row>
    <row r="71" spans="1:12" s="103" customFormat="1" ht="15.75" hidden="1" customHeight="1" outlineLevel="1">
      <c r="A71" s="916"/>
      <c r="B71" s="1123"/>
      <c r="C71" s="1127"/>
      <c r="D71" s="1125"/>
      <c r="E71" s="1125"/>
      <c r="F71" s="1130"/>
      <c r="G71" s="95"/>
      <c r="H71" s="1125"/>
      <c r="I71" s="1125"/>
      <c r="J71" s="1134"/>
      <c r="K71" s="1134"/>
      <c r="L71" s="916"/>
    </row>
    <row r="72" spans="1:12" s="103" customFormat="1" ht="15.75" hidden="1" customHeight="1" outlineLevel="1">
      <c r="A72" s="916"/>
      <c r="B72" s="1124"/>
      <c r="C72" s="1128"/>
      <c r="D72" s="1126"/>
      <c r="E72" s="1126"/>
      <c r="F72" s="1132"/>
      <c r="G72" s="100"/>
      <c r="H72" s="1126"/>
      <c r="I72" s="1126"/>
      <c r="J72" s="1135"/>
      <c r="K72" s="1135"/>
      <c r="L72" s="916"/>
    </row>
    <row r="73" spans="1:12" s="103" customFormat="1" ht="15.75" hidden="1" customHeight="1" outlineLevel="1">
      <c r="A73" s="916"/>
      <c r="B73" s="1123">
        <v>21</v>
      </c>
      <c r="C73" s="1127"/>
      <c r="D73" s="1125"/>
      <c r="E73" s="1125" t="s">
        <v>18</v>
      </c>
      <c r="F73" s="1130" t="str">
        <f>VLOOKUP(E73,$N$13:$O$17,2,0)</f>
        <v>-</v>
      </c>
      <c r="G73" s="92"/>
      <c r="H73" s="1125"/>
      <c r="I73" s="1125"/>
      <c r="J73" s="1133"/>
      <c r="K73" s="1133"/>
      <c r="L73" s="916"/>
    </row>
    <row r="74" spans="1:12" s="103" customFormat="1" ht="15.75" hidden="1" customHeight="1" outlineLevel="1">
      <c r="A74" s="916"/>
      <c r="B74" s="1123"/>
      <c r="C74" s="1127"/>
      <c r="D74" s="1125"/>
      <c r="E74" s="1125"/>
      <c r="F74" s="1130"/>
      <c r="G74" s="95"/>
      <c r="H74" s="1125"/>
      <c r="I74" s="1125"/>
      <c r="J74" s="1134"/>
      <c r="K74" s="1134"/>
      <c r="L74" s="916"/>
    </row>
    <row r="75" spans="1:12" s="103" customFormat="1" ht="15.75" hidden="1" customHeight="1" outlineLevel="1">
      <c r="A75" s="916"/>
      <c r="B75" s="1124"/>
      <c r="C75" s="1128"/>
      <c r="D75" s="1126"/>
      <c r="E75" s="1126"/>
      <c r="F75" s="1132"/>
      <c r="G75" s="100"/>
      <c r="H75" s="1126"/>
      <c r="I75" s="1126"/>
      <c r="J75" s="1135"/>
      <c r="K75" s="1135"/>
      <c r="L75" s="916"/>
    </row>
    <row r="76" spans="1:12" s="103" customFormat="1" ht="15.75" hidden="1" customHeight="1" outlineLevel="1">
      <c r="A76" s="916"/>
      <c r="B76" s="1123">
        <v>22</v>
      </c>
      <c r="C76" s="1127"/>
      <c r="D76" s="1125"/>
      <c r="E76" s="1125" t="s">
        <v>18</v>
      </c>
      <c r="F76" s="1130" t="str">
        <f>VLOOKUP(E76,$N$13:$O$17,2,0)</f>
        <v>-</v>
      </c>
      <c r="G76" s="92"/>
      <c r="H76" s="1125"/>
      <c r="I76" s="1125"/>
      <c r="J76" s="1133"/>
      <c r="K76" s="1133"/>
      <c r="L76" s="916"/>
    </row>
    <row r="77" spans="1:12" s="103" customFormat="1" ht="15.75" hidden="1" customHeight="1" outlineLevel="1">
      <c r="A77" s="916"/>
      <c r="B77" s="1123"/>
      <c r="C77" s="1127"/>
      <c r="D77" s="1125"/>
      <c r="E77" s="1125"/>
      <c r="F77" s="1130"/>
      <c r="G77" s="95"/>
      <c r="H77" s="1125"/>
      <c r="I77" s="1125"/>
      <c r="J77" s="1134"/>
      <c r="K77" s="1134"/>
      <c r="L77" s="916"/>
    </row>
    <row r="78" spans="1:12" s="103" customFormat="1" ht="15.75" hidden="1" customHeight="1" outlineLevel="1">
      <c r="A78" s="916"/>
      <c r="B78" s="1124"/>
      <c r="C78" s="1128"/>
      <c r="D78" s="1126"/>
      <c r="E78" s="1126"/>
      <c r="F78" s="1132"/>
      <c r="G78" s="100"/>
      <c r="H78" s="1126"/>
      <c r="I78" s="1126"/>
      <c r="J78" s="1135"/>
      <c r="K78" s="1135"/>
      <c r="L78" s="916"/>
    </row>
    <row r="79" spans="1:12" s="103" customFormat="1" ht="15.75" hidden="1" customHeight="1" outlineLevel="1">
      <c r="A79" s="916"/>
      <c r="B79" s="1123">
        <v>23</v>
      </c>
      <c r="C79" s="1127"/>
      <c r="D79" s="1125"/>
      <c r="E79" s="1125" t="s">
        <v>18</v>
      </c>
      <c r="F79" s="1130" t="str">
        <f>VLOOKUP(E79,$N$13:$O$17,2,0)</f>
        <v>-</v>
      </c>
      <c r="G79" s="92"/>
      <c r="H79" s="1125"/>
      <c r="I79" s="1125"/>
      <c r="J79" s="1133"/>
      <c r="K79" s="1133"/>
      <c r="L79" s="916"/>
    </row>
    <row r="80" spans="1:12" s="103" customFormat="1" ht="15.75" hidden="1" customHeight="1" outlineLevel="1">
      <c r="A80" s="916"/>
      <c r="B80" s="1123"/>
      <c r="C80" s="1127"/>
      <c r="D80" s="1125"/>
      <c r="E80" s="1125"/>
      <c r="F80" s="1130"/>
      <c r="G80" s="95"/>
      <c r="H80" s="1125"/>
      <c r="I80" s="1125"/>
      <c r="J80" s="1134"/>
      <c r="K80" s="1134"/>
      <c r="L80" s="916"/>
    </row>
    <row r="81" spans="1:12" s="103" customFormat="1" ht="15.75" hidden="1" customHeight="1" outlineLevel="1">
      <c r="A81" s="916"/>
      <c r="B81" s="1124"/>
      <c r="C81" s="1128"/>
      <c r="D81" s="1126"/>
      <c r="E81" s="1126"/>
      <c r="F81" s="1132"/>
      <c r="G81" s="100"/>
      <c r="H81" s="1126"/>
      <c r="I81" s="1126"/>
      <c r="J81" s="1135"/>
      <c r="K81" s="1135"/>
      <c r="L81" s="916"/>
    </row>
    <row r="82" spans="1:12" s="103" customFormat="1" ht="15.75" hidden="1" customHeight="1" outlineLevel="1">
      <c r="A82" s="916"/>
      <c r="B82" s="1123">
        <v>24</v>
      </c>
      <c r="C82" s="1127"/>
      <c r="D82" s="1125"/>
      <c r="E82" s="1125" t="s">
        <v>18</v>
      </c>
      <c r="F82" s="1130" t="str">
        <f>VLOOKUP(E82,$N$13:$O$17,2,0)</f>
        <v>-</v>
      </c>
      <c r="G82" s="92"/>
      <c r="H82" s="1125"/>
      <c r="I82" s="1125"/>
      <c r="J82" s="1133"/>
      <c r="K82" s="1133"/>
      <c r="L82" s="916"/>
    </row>
    <row r="83" spans="1:12" s="103" customFormat="1" ht="15.75" hidden="1" customHeight="1" outlineLevel="1">
      <c r="A83" s="916"/>
      <c r="B83" s="1123"/>
      <c r="C83" s="1127"/>
      <c r="D83" s="1125"/>
      <c r="E83" s="1125"/>
      <c r="F83" s="1130"/>
      <c r="G83" s="95"/>
      <c r="H83" s="1125"/>
      <c r="I83" s="1125"/>
      <c r="J83" s="1134"/>
      <c r="K83" s="1134"/>
      <c r="L83" s="916"/>
    </row>
    <row r="84" spans="1:12" s="103" customFormat="1" ht="15.75" hidden="1" customHeight="1" outlineLevel="1">
      <c r="A84" s="916"/>
      <c r="B84" s="1124"/>
      <c r="C84" s="1128"/>
      <c r="D84" s="1126"/>
      <c r="E84" s="1126"/>
      <c r="F84" s="1132"/>
      <c r="G84" s="100"/>
      <c r="H84" s="1126"/>
      <c r="I84" s="1126"/>
      <c r="J84" s="1135"/>
      <c r="K84" s="1135"/>
      <c r="L84" s="916"/>
    </row>
    <row r="85" spans="1:12" s="103" customFormat="1" ht="15.75" hidden="1" customHeight="1" outlineLevel="1">
      <c r="A85" s="916"/>
      <c r="B85" s="1123">
        <v>25</v>
      </c>
      <c r="C85" s="1127"/>
      <c r="D85" s="1125"/>
      <c r="E85" s="1125" t="s">
        <v>18</v>
      </c>
      <c r="F85" s="1130" t="str">
        <f>VLOOKUP(E85,$N$13:$O$17,2,0)</f>
        <v>-</v>
      </c>
      <c r="G85" s="92"/>
      <c r="H85" s="1125"/>
      <c r="I85" s="1125"/>
      <c r="J85" s="1133"/>
      <c r="K85" s="1133"/>
      <c r="L85" s="916"/>
    </row>
    <row r="86" spans="1:12" s="103" customFormat="1" ht="15.75" hidden="1" customHeight="1" outlineLevel="1">
      <c r="A86" s="916"/>
      <c r="B86" s="1123"/>
      <c r="C86" s="1127"/>
      <c r="D86" s="1125"/>
      <c r="E86" s="1125"/>
      <c r="F86" s="1130"/>
      <c r="G86" s="95"/>
      <c r="H86" s="1125"/>
      <c r="I86" s="1125"/>
      <c r="J86" s="1134"/>
      <c r="K86" s="1134"/>
      <c r="L86" s="916"/>
    </row>
    <row r="87" spans="1:12" s="103" customFormat="1" ht="15.75" hidden="1" customHeight="1" outlineLevel="1">
      <c r="A87" s="916"/>
      <c r="B87" s="1124"/>
      <c r="C87" s="1128"/>
      <c r="D87" s="1126"/>
      <c r="E87" s="1126"/>
      <c r="F87" s="1132"/>
      <c r="G87" s="100"/>
      <c r="H87" s="1126"/>
      <c r="I87" s="1126"/>
      <c r="J87" s="1135"/>
      <c r="K87" s="1135"/>
      <c r="L87" s="916"/>
    </row>
    <row r="88" spans="1:12" s="103" customFormat="1" ht="15.75" hidden="1" customHeight="1" outlineLevel="1">
      <c r="A88" s="916"/>
      <c r="B88" s="1123">
        <v>26</v>
      </c>
      <c r="C88" s="1127"/>
      <c r="D88" s="1125"/>
      <c r="E88" s="1125" t="s">
        <v>18</v>
      </c>
      <c r="F88" s="1130" t="str">
        <f>VLOOKUP(E88,$N$13:$O$17,2,0)</f>
        <v>-</v>
      </c>
      <c r="G88" s="92"/>
      <c r="H88" s="1125"/>
      <c r="I88" s="1125"/>
      <c r="J88" s="1133"/>
      <c r="K88" s="1133"/>
      <c r="L88" s="916"/>
    </row>
    <row r="89" spans="1:12" s="103" customFormat="1" ht="15.75" hidden="1" customHeight="1" outlineLevel="1">
      <c r="A89" s="916"/>
      <c r="B89" s="1123"/>
      <c r="C89" s="1127"/>
      <c r="D89" s="1125"/>
      <c r="E89" s="1125"/>
      <c r="F89" s="1130"/>
      <c r="G89" s="95"/>
      <c r="H89" s="1125"/>
      <c r="I89" s="1125"/>
      <c r="J89" s="1134"/>
      <c r="K89" s="1134"/>
      <c r="L89" s="916"/>
    </row>
    <row r="90" spans="1:12" s="103" customFormat="1" ht="15.75" hidden="1" customHeight="1" outlineLevel="1">
      <c r="A90" s="916"/>
      <c r="B90" s="1124"/>
      <c r="C90" s="1128"/>
      <c r="D90" s="1126"/>
      <c r="E90" s="1126"/>
      <c r="F90" s="1132"/>
      <c r="G90" s="100"/>
      <c r="H90" s="1126"/>
      <c r="I90" s="1126"/>
      <c r="J90" s="1135"/>
      <c r="K90" s="1135"/>
      <c r="L90" s="916"/>
    </row>
    <row r="91" spans="1:12" s="103" customFormat="1" ht="15.75" hidden="1" customHeight="1" outlineLevel="1">
      <c r="A91" s="916"/>
      <c r="B91" s="1123">
        <v>27</v>
      </c>
      <c r="C91" s="1127"/>
      <c r="D91" s="1125"/>
      <c r="E91" s="1125" t="s">
        <v>18</v>
      </c>
      <c r="F91" s="1130" t="str">
        <f>VLOOKUP(E91,$N$13:$O$17,2,0)</f>
        <v>-</v>
      </c>
      <c r="G91" s="92"/>
      <c r="H91" s="1125"/>
      <c r="I91" s="1125"/>
      <c r="J91" s="1133"/>
      <c r="K91" s="1133"/>
      <c r="L91" s="916"/>
    </row>
    <row r="92" spans="1:12" s="103" customFormat="1" ht="15.75" hidden="1" customHeight="1" outlineLevel="1">
      <c r="A92" s="916"/>
      <c r="B92" s="1123"/>
      <c r="C92" s="1127"/>
      <c r="D92" s="1125"/>
      <c r="E92" s="1125"/>
      <c r="F92" s="1130"/>
      <c r="G92" s="95"/>
      <c r="H92" s="1125"/>
      <c r="I92" s="1125"/>
      <c r="J92" s="1134"/>
      <c r="K92" s="1134"/>
      <c r="L92" s="916"/>
    </row>
    <row r="93" spans="1:12" s="103" customFormat="1" ht="15.75" hidden="1" customHeight="1" outlineLevel="1">
      <c r="A93" s="916"/>
      <c r="B93" s="1124"/>
      <c r="C93" s="1128"/>
      <c r="D93" s="1126"/>
      <c r="E93" s="1126"/>
      <c r="F93" s="1132"/>
      <c r="G93" s="100"/>
      <c r="H93" s="1126"/>
      <c r="I93" s="1126"/>
      <c r="J93" s="1135"/>
      <c r="K93" s="1135"/>
      <c r="L93" s="916"/>
    </row>
    <row r="94" spans="1:12" s="103" customFormat="1" ht="15.75" hidden="1" customHeight="1" outlineLevel="1">
      <c r="A94" s="916"/>
      <c r="B94" s="1123">
        <v>28</v>
      </c>
      <c r="C94" s="1127"/>
      <c r="D94" s="1125"/>
      <c r="E94" s="1125" t="s">
        <v>18</v>
      </c>
      <c r="F94" s="1130" t="str">
        <f>VLOOKUP(E94,$N$13:$O$17,2,0)</f>
        <v>-</v>
      </c>
      <c r="G94" s="92"/>
      <c r="H94" s="1125"/>
      <c r="I94" s="1125"/>
      <c r="J94" s="1133"/>
      <c r="K94" s="1133"/>
      <c r="L94" s="916"/>
    </row>
    <row r="95" spans="1:12" s="103" customFormat="1" ht="15.75" hidden="1" customHeight="1" outlineLevel="1">
      <c r="A95" s="916"/>
      <c r="B95" s="1123"/>
      <c r="C95" s="1127"/>
      <c r="D95" s="1125"/>
      <c r="E95" s="1125"/>
      <c r="F95" s="1130"/>
      <c r="G95" s="95"/>
      <c r="H95" s="1125"/>
      <c r="I95" s="1125"/>
      <c r="J95" s="1134"/>
      <c r="K95" s="1134"/>
      <c r="L95" s="916"/>
    </row>
    <row r="96" spans="1:12" s="103" customFormat="1" ht="15.75" hidden="1" customHeight="1" outlineLevel="1">
      <c r="A96" s="916"/>
      <c r="B96" s="1124"/>
      <c r="C96" s="1128"/>
      <c r="D96" s="1126"/>
      <c r="E96" s="1126"/>
      <c r="F96" s="1132"/>
      <c r="G96" s="100"/>
      <c r="H96" s="1126"/>
      <c r="I96" s="1126"/>
      <c r="J96" s="1135"/>
      <c r="K96" s="1135"/>
      <c r="L96" s="916"/>
    </row>
    <row r="97" spans="1:12" s="103" customFormat="1" ht="15.75" hidden="1" customHeight="1" outlineLevel="1">
      <c r="A97" s="916"/>
      <c r="B97" s="1123">
        <v>29</v>
      </c>
      <c r="C97" s="1127"/>
      <c r="D97" s="1125"/>
      <c r="E97" s="1125" t="s">
        <v>18</v>
      </c>
      <c r="F97" s="1130" t="str">
        <f>VLOOKUP(E97,$N$13:$O$17,2,0)</f>
        <v>-</v>
      </c>
      <c r="G97" s="92"/>
      <c r="H97" s="1125"/>
      <c r="I97" s="1125"/>
      <c r="J97" s="1133"/>
      <c r="K97" s="1133"/>
      <c r="L97" s="916"/>
    </row>
    <row r="98" spans="1:12" s="103" customFormat="1" ht="15.75" hidden="1" customHeight="1" outlineLevel="1">
      <c r="A98" s="916"/>
      <c r="B98" s="1123"/>
      <c r="C98" s="1127"/>
      <c r="D98" s="1125"/>
      <c r="E98" s="1125"/>
      <c r="F98" s="1130"/>
      <c r="G98" s="95"/>
      <c r="H98" s="1125"/>
      <c r="I98" s="1125"/>
      <c r="J98" s="1134"/>
      <c r="K98" s="1134"/>
      <c r="L98" s="916"/>
    </row>
    <row r="99" spans="1:12" s="103" customFormat="1" ht="15.75" hidden="1" customHeight="1" outlineLevel="1">
      <c r="A99" s="916"/>
      <c r="B99" s="1124"/>
      <c r="C99" s="1128"/>
      <c r="D99" s="1126"/>
      <c r="E99" s="1126"/>
      <c r="F99" s="1132"/>
      <c r="G99" s="100"/>
      <c r="H99" s="1126"/>
      <c r="I99" s="1126"/>
      <c r="J99" s="1135"/>
      <c r="K99" s="1135"/>
      <c r="L99" s="916"/>
    </row>
    <row r="100" spans="1:12" s="103" customFormat="1" ht="15.75" hidden="1" customHeight="1" outlineLevel="1">
      <c r="A100" s="916"/>
      <c r="B100" s="1123">
        <v>30</v>
      </c>
      <c r="C100" s="1127"/>
      <c r="D100" s="1125"/>
      <c r="E100" s="1125" t="s">
        <v>18</v>
      </c>
      <c r="F100" s="1130" t="str">
        <f>VLOOKUP(E100,$N$13:$O$17,2,0)</f>
        <v>-</v>
      </c>
      <c r="G100" s="92"/>
      <c r="H100" s="1125"/>
      <c r="I100" s="1125"/>
      <c r="J100" s="1133"/>
      <c r="K100" s="1133"/>
      <c r="L100" s="916"/>
    </row>
    <row r="101" spans="1:12" s="103" customFormat="1" ht="15.75" hidden="1" customHeight="1" outlineLevel="1">
      <c r="A101" s="916"/>
      <c r="B101" s="1123"/>
      <c r="C101" s="1127"/>
      <c r="D101" s="1125"/>
      <c r="E101" s="1125"/>
      <c r="F101" s="1130"/>
      <c r="G101" s="95"/>
      <c r="H101" s="1125"/>
      <c r="I101" s="1125"/>
      <c r="J101" s="1134"/>
      <c r="K101" s="1134"/>
      <c r="L101" s="916"/>
    </row>
    <row r="102" spans="1:12" s="103" customFormat="1" ht="15.75" hidden="1" customHeight="1" outlineLevel="1">
      <c r="A102" s="916"/>
      <c r="B102" s="1124"/>
      <c r="C102" s="1128"/>
      <c r="D102" s="1126"/>
      <c r="E102" s="1126"/>
      <c r="F102" s="1132"/>
      <c r="G102" s="100"/>
      <c r="H102" s="1126"/>
      <c r="I102" s="1126"/>
      <c r="J102" s="1135"/>
      <c r="K102" s="1135"/>
      <c r="L102" s="916"/>
    </row>
    <row r="103" spans="1:12" s="103" customFormat="1" ht="15.75" hidden="1" customHeight="1" outlineLevel="1">
      <c r="A103" s="916"/>
      <c r="B103" s="1123">
        <v>31</v>
      </c>
      <c r="C103" s="1127"/>
      <c r="D103" s="1125"/>
      <c r="E103" s="1125" t="s">
        <v>18</v>
      </c>
      <c r="F103" s="1130" t="str">
        <f>VLOOKUP(E103,$N$13:$O$17,2,0)</f>
        <v>-</v>
      </c>
      <c r="G103" s="92"/>
      <c r="H103" s="1125"/>
      <c r="I103" s="1125"/>
      <c r="J103" s="1133"/>
      <c r="K103" s="1133"/>
      <c r="L103" s="916"/>
    </row>
    <row r="104" spans="1:12" s="103" customFormat="1" ht="15.75" hidden="1" customHeight="1" outlineLevel="1">
      <c r="A104" s="916"/>
      <c r="B104" s="1123"/>
      <c r="C104" s="1127"/>
      <c r="D104" s="1125"/>
      <c r="E104" s="1125"/>
      <c r="F104" s="1130"/>
      <c r="G104" s="95"/>
      <c r="H104" s="1125"/>
      <c r="I104" s="1125"/>
      <c r="J104" s="1134"/>
      <c r="K104" s="1134"/>
      <c r="L104" s="916"/>
    </row>
    <row r="105" spans="1:12" s="103" customFormat="1" ht="15.75" hidden="1" customHeight="1" outlineLevel="1">
      <c r="A105" s="916"/>
      <c r="B105" s="1124"/>
      <c r="C105" s="1128"/>
      <c r="D105" s="1126"/>
      <c r="E105" s="1126"/>
      <c r="F105" s="1132"/>
      <c r="G105" s="100"/>
      <c r="H105" s="1126"/>
      <c r="I105" s="1126"/>
      <c r="J105" s="1135"/>
      <c r="K105" s="1135"/>
      <c r="L105" s="916"/>
    </row>
    <row r="106" spans="1:12" s="103" customFormat="1" ht="15.75" hidden="1" customHeight="1" outlineLevel="1">
      <c r="A106" s="916"/>
      <c r="B106" s="1123">
        <v>32</v>
      </c>
      <c r="C106" s="1127"/>
      <c r="D106" s="1125"/>
      <c r="E106" s="1125" t="s">
        <v>18</v>
      </c>
      <c r="F106" s="1130" t="str">
        <f>VLOOKUP(E106,$N$13:$O$17,2,0)</f>
        <v>-</v>
      </c>
      <c r="G106" s="92"/>
      <c r="H106" s="1125"/>
      <c r="I106" s="1125"/>
      <c r="J106" s="1133"/>
      <c r="K106" s="1133"/>
      <c r="L106" s="916"/>
    </row>
    <row r="107" spans="1:12" s="103" customFormat="1" ht="15.75" hidden="1" customHeight="1" outlineLevel="1">
      <c r="A107" s="916"/>
      <c r="B107" s="1123"/>
      <c r="C107" s="1127"/>
      <c r="D107" s="1125"/>
      <c r="E107" s="1125"/>
      <c r="F107" s="1130"/>
      <c r="G107" s="95"/>
      <c r="H107" s="1125"/>
      <c r="I107" s="1125"/>
      <c r="J107" s="1134"/>
      <c r="K107" s="1134"/>
      <c r="L107" s="916"/>
    </row>
    <row r="108" spans="1:12" s="103" customFormat="1" ht="15.75" hidden="1" customHeight="1" outlineLevel="1">
      <c r="A108" s="916"/>
      <c r="B108" s="1124"/>
      <c r="C108" s="1128"/>
      <c r="D108" s="1126"/>
      <c r="E108" s="1126"/>
      <c r="F108" s="1132"/>
      <c r="G108" s="100"/>
      <c r="H108" s="1126"/>
      <c r="I108" s="1126"/>
      <c r="J108" s="1135"/>
      <c r="K108" s="1135"/>
      <c r="L108" s="916"/>
    </row>
    <row r="109" spans="1:12" s="103" customFormat="1" ht="15.75" hidden="1" customHeight="1" outlineLevel="1">
      <c r="A109" s="916"/>
      <c r="B109" s="1123">
        <v>33</v>
      </c>
      <c r="C109" s="1127"/>
      <c r="D109" s="1125"/>
      <c r="E109" s="1125" t="s">
        <v>18</v>
      </c>
      <c r="F109" s="1130" t="str">
        <f>VLOOKUP(E109,$N$13:$O$17,2,0)</f>
        <v>-</v>
      </c>
      <c r="G109" s="92"/>
      <c r="H109" s="1125"/>
      <c r="I109" s="1125"/>
      <c r="J109" s="1133"/>
      <c r="K109" s="1133"/>
      <c r="L109" s="916"/>
    </row>
    <row r="110" spans="1:12" s="103" customFormat="1" ht="15.75" hidden="1" customHeight="1" outlineLevel="1">
      <c r="A110" s="916"/>
      <c r="B110" s="1123"/>
      <c r="C110" s="1127"/>
      <c r="D110" s="1125"/>
      <c r="E110" s="1125"/>
      <c r="F110" s="1130"/>
      <c r="G110" s="95"/>
      <c r="H110" s="1125"/>
      <c r="I110" s="1125"/>
      <c r="J110" s="1134"/>
      <c r="K110" s="1134"/>
      <c r="L110" s="916"/>
    </row>
    <row r="111" spans="1:12" s="103" customFormat="1" ht="15.75" hidden="1" customHeight="1" outlineLevel="1">
      <c r="A111" s="916"/>
      <c r="B111" s="1124"/>
      <c r="C111" s="1128"/>
      <c r="D111" s="1126"/>
      <c r="E111" s="1126"/>
      <c r="F111" s="1132"/>
      <c r="G111" s="100"/>
      <c r="H111" s="1126"/>
      <c r="I111" s="1126"/>
      <c r="J111" s="1135"/>
      <c r="K111" s="1135"/>
      <c r="L111" s="916"/>
    </row>
    <row r="112" spans="1:12" s="103" customFormat="1" ht="15.75" hidden="1" customHeight="1" outlineLevel="1">
      <c r="A112" s="916"/>
      <c r="B112" s="1123">
        <v>34</v>
      </c>
      <c r="C112" s="1127"/>
      <c r="D112" s="1125"/>
      <c r="E112" s="1125" t="s">
        <v>18</v>
      </c>
      <c r="F112" s="1130" t="str">
        <f>VLOOKUP(E112,$N$13:$O$17,2,0)</f>
        <v>-</v>
      </c>
      <c r="G112" s="92"/>
      <c r="H112" s="1125"/>
      <c r="I112" s="1125"/>
      <c r="J112" s="1133"/>
      <c r="K112" s="1133"/>
      <c r="L112" s="916"/>
    </row>
    <row r="113" spans="1:12" s="103" customFormat="1" ht="15.75" hidden="1" customHeight="1" outlineLevel="1">
      <c r="A113" s="916"/>
      <c r="B113" s="1123"/>
      <c r="C113" s="1127"/>
      <c r="D113" s="1125"/>
      <c r="E113" s="1125"/>
      <c r="F113" s="1130"/>
      <c r="G113" s="95"/>
      <c r="H113" s="1125"/>
      <c r="I113" s="1125"/>
      <c r="J113" s="1134"/>
      <c r="K113" s="1134"/>
      <c r="L113" s="916"/>
    </row>
    <row r="114" spans="1:12" s="103" customFormat="1" ht="15.75" hidden="1" customHeight="1" outlineLevel="1">
      <c r="A114" s="916"/>
      <c r="B114" s="1124"/>
      <c r="C114" s="1128"/>
      <c r="D114" s="1126"/>
      <c r="E114" s="1126"/>
      <c r="F114" s="1132"/>
      <c r="G114" s="100"/>
      <c r="H114" s="1126"/>
      <c r="I114" s="1126"/>
      <c r="J114" s="1135"/>
      <c r="K114" s="1135"/>
      <c r="L114" s="916"/>
    </row>
    <row r="115" spans="1:12" s="103" customFormat="1" ht="15.75" hidden="1" customHeight="1" outlineLevel="1">
      <c r="A115" s="916"/>
      <c r="B115" s="1123">
        <v>35</v>
      </c>
      <c r="C115" s="1127"/>
      <c r="D115" s="1125"/>
      <c r="E115" s="1125" t="s">
        <v>18</v>
      </c>
      <c r="F115" s="1130" t="str">
        <f>VLOOKUP(E115,$N$13:$O$17,2,0)</f>
        <v>-</v>
      </c>
      <c r="G115" s="92"/>
      <c r="H115" s="1125"/>
      <c r="I115" s="1125"/>
      <c r="J115" s="1133"/>
      <c r="K115" s="1133"/>
      <c r="L115" s="916"/>
    </row>
    <row r="116" spans="1:12" s="103" customFormat="1" ht="15.75" hidden="1" customHeight="1" outlineLevel="1">
      <c r="A116" s="916"/>
      <c r="B116" s="1123"/>
      <c r="C116" s="1127"/>
      <c r="D116" s="1125"/>
      <c r="E116" s="1125"/>
      <c r="F116" s="1130"/>
      <c r="G116" s="95"/>
      <c r="H116" s="1125"/>
      <c r="I116" s="1125"/>
      <c r="J116" s="1134"/>
      <c r="K116" s="1134"/>
      <c r="L116" s="916"/>
    </row>
    <row r="117" spans="1:12" s="103" customFormat="1" ht="15.75" hidden="1" customHeight="1" outlineLevel="1">
      <c r="A117" s="916"/>
      <c r="B117" s="1124"/>
      <c r="C117" s="1128"/>
      <c r="D117" s="1126"/>
      <c r="E117" s="1126"/>
      <c r="F117" s="1132"/>
      <c r="G117" s="100"/>
      <c r="H117" s="1126"/>
      <c r="I117" s="1126"/>
      <c r="J117" s="1135"/>
      <c r="K117" s="1135"/>
      <c r="L117" s="916"/>
    </row>
    <row r="118" spans="1:12" s="103" customFormat="1" ht="15.75" hidden="1" customHeight="1" outlineLevel="1">
      <c r="A118" s="916"/>
      <c r="B118" s="1123">
        <v>36</v>
      </c>
      <c r="C118" s="1127"/>
      <c r="D118" s="1125"/>
      <c r="E118" s="1125" t="s">
        <v>18</v>
      </c>
      <c r="F118" s="1130" t="str">
        <f>VLOOKUP(E118,$N$13:$O$17,2,0)</f>
        <v>-</v>
      </c>
      <c r="G118" s="92"/>
      <c r="H118" s="1125"/>
      <c r="I118" s="1125"/>
      <c r="J118" s="1133"/>
      <c r="K118" s="1133"/>
      <c r="L118" s="916"/>
    </row>
    <row r="119" spans="1:12" s="103" customFormat="1" ht="15.75" hidden="1" customHeight="1" outlineLevel="1">
      <c r="A119" s="916"/>
      <c r="B119" s="1123"/>
      <c r="C119" s="1127"/>
      <c r="D119" s="1125"/>
      <c r="E119" s="1125"/>
      <c r="F119" s="1130"/>
      <c r="G119" s="95"/>
      <c r="H119" s="1125"/>
      <c r="I119" s="1125"/>
      <c r="J119" s="1134"/>
      <c r="K119" s="1134"/>
      <c r="L119" s="916"/>
    </row>
    <row r="120" spans="1:12" s="103" customFormat="1" ht="15.75" hidden="1" customHeight="1" outlineLevel="1">
      <c r="A120" s="916"/>
      <c r="B120" s="1124"/>
      <c r="C120" s="1128"/>
      <c r="D120" s="1126"/>
      <c r="E120" s="1126"/>
      <c r="F120" s="1132"/>
      <c r="G120" s="100"/>
      <c r="H120" s="1126"/>
      <c r="I120" s="1126"/>
      <c r="J120" s="1135"/>
      <c r="K120" s="1135"/>
      <c r="L120" s="916"/>
    </row>
    <row r="121" spans="1:12" s="103" customFormat="1" ht="15.75" hidden="1" customHeight="1" outlineLevel="1">
      <c r="A121" s="916"/>
      <c r="B121" s="1123">
        <v>37</v>
      </c>
      <c r="C121" s="1127"/>
      <c r="D121" s="1125"/>
      <c r="E121" s="1125" t="s">
        <v>18</v>
      </c>
      <c r="F121" s="1130" t="str">
        <f>VLOOKUP(E121,$N$13:$O$17,2,0)</f>
        <v>-</v>
      </c>
      <c r="G121" s="92"/>
      <c r="H121" s="1125"/>
      <c r="I121" s="1125"/>
      <c r="J121" s="1133"/>
      <c r="K121" s="1133"/>
      <c r="L121" s="916"/>
    </row>
    <row r="122" spans="1:12" s="103" customFormat="1" ht="15.75" hidden="1" customHeight="1" outlineLevel="1">
      <c r="A122" s="916"/>
      <c r="B122" s="1123"/>
      <c r="C122" s="1127"/>
      <c r="D122" s="1125"/>
      <c r="E122" s="1125"/>
      <c r="F122" s="1130"/>
      <c r="G122" s="95"/>
      <c r="H122" s="1125"/>
      <c r="I122" s="1125"/>
      <c r="J122" s="1134"/>
      <c r="K122" s="1134"/>
      <c r="L122" s="916"/>
    </row>
    <row r="123" spans="1:12" s="103" customFormat="1" ht="15.75" hidden="1" customHeight="1" outlineLevel="1">
      <c r="A123" s="916"/>
      <c r="B123" s="1124"/>
      <c r="C123" s="1128"/>
      <c r="D123" s="1126"/>
      <c r="E123" s="1126"/>
      <c r="F123" s="1132"/>
      <c r="G123" s="100"/>
      <c r="H123" s="1126"/>
      <c r="I123" s="1126"/>
      <c r="J123" s="1135"/>
      <c r="K123" s="1135"/>
      <c r="L123" s="916"/>
    </row>
    <row r="124" spans="1:12" s="103" customFormat="1" ht="15.75" hidden="1" customHeight="1" outlineLevel="1">
      <c r="A124" s="916"/>
      <c r="B124" s="1123">
        <v>38</v>
      </c>
      <c r="C124" s="1127"/>
      <c r="D124" s="1125"/>
      <c r="E124" s="1125" t="s">
        <v>18</v>
      </c>
      <c r="F124" s="1130" t="str">
        <f>VLOOKUP(E124,$N$13:$O$17,2,0)</f>
        <v>-</v>
      </c>
      <c r="G124" s="92"/>
      <c r="H124" s="1125"/>
      <c r="I124" s="1125"/>
      <c r="J124" s="1133"/>
      <c r="K124" s="1133"/>
      <c r="L124" s="916"/>
    </row>
    <row r="125" spans="1:12" s="103" customFormat="1" ht="15.75" hidden="1" customHeight="1" outlineLevel="1">
      <c r="A125" s="916"/>
      <c r="B125" s="1123"/>
      <c r="C125" s="1127"/>
      <c r="D125" s="1125"/>
      <c r="E125" s="1125"/>
      <c r="F125" s="1130"/>
      <c r="G125" s="95"/>
      <c r="H125" s="1125"/>
      <c r="I125" s="1125"/>
      <c r="J125" s="1134"/>
      <c r="K125" s="1134"/>
      <c r="L125" s="916"/>
    </row>
    <row r="126" spans="1:12" s="103" customFormat="1" ht="15.75" hidden="1" customHeight="1" outlineLevel="1">
      <c r="A126" s="916"/>
      <c r="B126" s="1124"/>
      <c r="C126" s="1128"/>
      <c r="D126" s="1126"/>
      <c r="E126" s="1126"/>
      <c r="F126" s="1132"/>
      <c r="G126" s="100"/>
      <c r="H126" s="1126"/>
      <c r="I126" s="1126"/>
      <c r="J126" s="1135"/>
      <c r="K126" s="1135"/>
      <c r="L126" s="916"/>
    </row>
    <row r="127" spans="1:12" s="103" customFormat="1" ht="15.75" hidden="1" customHeight="1" outlineLevel="1">
      <c r="A127" s="916"/>
      <c r="B127" s="1123">
        <v>39</v>
      </c>
      <c r="C127" s="1127"/>
      <c r="D127" s="1125"/>
      <c r="E127" s="1125" t="s">
        <v>18</v>
      </c>
      <c r="F127" s="1130" t="str">
        <f>VLOOKUP(E127,$N$13:$O$17,2,0)</f>
        <v>-</v>
      </c>
      <c r="G127" s="92"/>
      <c r="H127" s="1125"/>
      <c r="I127" s="1125"/>
      <c r="J127" s="1133"/>
      <c r="K127" s="1133"/>
      <c r="L127" s="916"/>
    </row>
    <row r="128" spans="1:12" s="103" customFormat="1" ht="15.75" hidden="1" customHeight="1" outlineLevel="1">
      <c r="A128" s="916"/>
      <c r="B128" s="1123"/>
      <c r="C128" s="1127"/>
      <c r="D128" s="1125"/>
      <c r="E128" s="1125"/>
      <c r="F128" s="1130"/>
      <c r="G128" s="95"/>
      <c r="H128" s="1125"/>
      <c r="I128" s="1125"/>
      <c r="J128" s="1134"/>
      <c r="K128" s="1134"/>
      <c r="L128" s="916"/>
    </row>
    <row r="129" spans="1:12" s="103" customFormat="1" ht="15.75" hidden="1" customHeight="1" outlineLevel="1">
      <c r="A129" s="916"/>
      <c r="B129" s="1124"/>
      <c r="C129" s="1128"/>
      <c r="D129" s="1126"/>
      <c r="E129" s="1126"/>
      <c r="F129" s="1132"/>
      <c r="G129" s="100"/>
      <c r="H129" s="1126"/>
      <c r="I129" s="1126"/>
      <c r="J129" s="1135"/>
      <c r="K129" s="1135"/>
      <c r="L129" s="916"/>
    </row>
    <row r="130" spans="1:12" s="103" customFormat="1" ht="15.75" hidden="1" customHeight="1" outlineLevel="1">
      <c r="A130" s="916"/>
      <c r="B130" s="1123">
        <v>40</v>
      </c>
      <c r="C130" s="1127"/>
      <c r="D130" s="1125"/>
      <c r="E130" s="1125" t="s">
        <v>18</v>
      </c>
      <c r="F130" s="1130" t="str">
        <f>VLOOKUP(E130,$N$13:$O$17,2,0)</f>
        <v>-</v>
      </c>
      <c r="G130" s="92"/>
      <c r="H130" s="1125"/>
      <c r="I130" s="1125"/>
      <c r="J130" s="1133"/>
      <c r="K130" s="1133"/>
      <c r="L130" s="916"/>
    </row>
    <row r="131" spans="1:12" s="103" customFormat="1" ht="15.75" hidden="1" customHeight="1" outlineLevel="1">
      <c r="A131" s="916"/>
      <c r="B131" s="1123"/>
      <c r="C131" s="1127"/>
      <c r="D131" s="1125"/>
      <c r="E131" s="1125"/>
      <c r="F131" s="1130"/>
      <c r="G131" s="95"/>
      <c r="H131" s="1125"/>
      <c r="I131" s="1125"/>
      <c r="J131" s="1134"/>
      <c r="K131" s="1134"/>
      <c r="L131" s="916"/>
    </row>
    <row r="132" spans="1:12" s="103" customFormat="1" ht="15.75" hidden="1" customHeight="1" outlineLevel="1">
      <c r="A132" s="916"/>
      <c r="B132" s="1124"/>
      <c r="C132" s="1128"/>
      <c r="D132" s="1126"/>
      <c r="E132" s="1126"/>
      <c r="F132" s="1132"/>
      <c r="G132" s="100"/>
      <c r="H132" s="1126"/>
      <c r="I132" s="1126"/>
      <c r="J132" s="1135"/>
      <c r="K132" s="1135"/>
      <c r="L132" s="916"/>
    </row>
    <row r="133" spans="1:12" s="103" customFormat="1" ht="15.75" hidden="1" customHeight="1" outlineLevel="1">
      <c r="A133" s="916"/>
      <c r="B133" s="1123">
        <v>41</v>
      </c>
      <c r="C133" s="1127"/>
      <c r="D133" s="1125"/>
      <c r="E133" s="1125" t="s">
        <v>18</v>
      </c>
      <c r="F133" s="1130" t="str">
        <f>VLOOKUP(E133,$N$13:$O$17,2,0)</f>
        <v>-</v>
      </c>
      <c r="G133" s="92"/>
      <c r="H133" s="1125"/>
      <c r="I133" s="1125"/>
      <c r="J133" s="1133"/>
      <c r="K133" s="1133"/>
      <c r="L133" s="916"/>
    </row>
    <row r="134" spans="1:12" s="103" customFormat="1" ht="15.75" hidden="1" customHeight="1" outlineLevel="1">
      <c r="A134" s="916"/>
      <c r="B134" s="1123"/>
      <c r="C134" s="1127"/>
      <c r="D134" s="1125"/>
      <c r="E134" s="1125"/>
      <c r="F134" s="1130"/>
      <c r="G134" s="95"/>
      <c r="H134" s="1125"/>
      <c r="I134" s="1125"/>
      <c r="J134" s="1134"/>
      <c r="K134" s="1134"/>
      <c r="L134" s="916"/>
    </row>
    <row r="135" spans="1:12" s="103" customFormat="1" ht="15.75" hidden="1" customHeight="1" outlineLevel="1">
      <c r="A135" s="916"/>
      <c r="B135" s="1124"/>
      <c r="C135" s="1128"/>
      <c r="D135" s="1126"/>
      <c r="E135" s="1126"/>
      <c r="F135" s="1132"/>
      <c r="G135" s="100"/>
      <c r="H135" s="1126"/>
      <c r="I135" s="1126"/>
      <c r="J135" s="1135"/>
      <c r="K135" s="1135"/>
      <c r="L135" s="916"/>
    </row>
    <row r="136" spans="1:12" s="103" customFormat="1" ht="15.75" hidden="1" customHeight="1" outlineLevel="1">
      <c r="A136" s="916"/>
      <c r="B136" s="1123">
        <v>42</v>
      </c>
      <c r="C136" s="1127"/>
      <c r="D136" s="1125"/>
      <c r="E136" s="1125" t="s">
        <v>18</v>
      </c>
      <c r="F136" s="1130" t="str">
        <f>VLOOKUP(E136,$N$13:$O$17,2,0)</f>
        <v>-</v>
      </c>
      <c r="G136" s="92"/>
      <c r="H136" s="1125"/>
      <c r="I136" s="1125"/>
      <c r="J136" s="1133"/>
      <c r="K136" s="1133"/>
      <c r="L136" s="916"/>
    </row>
    <row r="137" spans="1:12" s="103" customFormat="1" ht="15.75" hidden="1" customHeight="1" outlineLevel="1">
      <c r="A137" s="916"/>
      <c r="B137" s="1123"/>
      <c r="C137" s="1127"/>
      <c r="D137" s="1125"/>
      <c r="E137" s="1125"/>
      <c r="F137" s="1130"/>
      <c r="G137" s="95"/>
      <c r="H137" s="1125"/>
      <c r="I137" s="1125"/>
      <c r="J137" s="1134"/>
      <c r="K137" s="1134"/>
      <c r="L137" s="916"/>
    </row>
    <row r="138" spans="1:12" s="103" customFormat="1" ht="15.75" hidden="1" customHeight="1" outlineLevel="1">
      <c r="A138" s="916"/>
      <c r="B138" s="1124"/>
      <c r="C138" s="1128"/>
      <c r="D138" s="1126"/>
      <c r="E138" s="1126"/>
      <c r="F138" s="1132"/>
      <c r="G138" s="100"/>
      <c r="H138" s="1126"/>
      <c r="I138" s="1126"/>
      <c r="J138" s="1135"/>
      <c r="K138" s="1135"/>
      <c r="L138" s="916"/>
    </row>
    <row r="139" spans="1:12" s="103" customFormat="1" ht="15.75" hidden="1" customHeight="1" outlineLevel="1">
      <c r="A139" s="916"/>
      <c r="B139" s="1123">
        <v>43</v>
      </c>
      <c r="C139" s="1127"/>
      <c r="D139" s="1125"/>
      <c r="E139" s="1125" t="s">
        <v>18</v>
      </c>
      <c r="F139" s="1130" t="str">
        <f>VLOOKUP(E139,$N$13:$O$17,2,0)</f>
        <v>-</v>
      </c>
      <c r="G139" s="92"/>
      <c r="H139" s="1125"/>
      <c r="I139" s="1125"/>
      <c r="J139" s="1133"/>
      <c r="K139" s="1133"/>
      <c r="L139" s="916"/>
    </row>
    <row r="140" spans="1:12" s="103" customFormat="1" ht="15.75" hidden="1" customHeight="1" outlineLevel="1">
      <c r="A140" s="916"/>
      <c r="B140" s="1123"/>
      <c r="C140" s="1127"/>
      <c r="D140" s="1125"/>
      <c r="E140" s="1125"/>
      <c r="F140" s="1130"/>
      <c r="G140" s="95"/>
      <c r="H140" s="1125"/>
      <c r="I140" s="1125"/>
      <c r="J140" s="1134"/>
      <c r="K140" s="1134"/>
      <c r="L140" s="916"/>
    </row>
    <row r="141" spans="1:12" s="103" customFormat="1" ht="15.75" hidden="1" customHeight="1" outlineLevel="1">
      <c r="A141" s="916"/>
      <c r="B141" s="1124"/>
      <c r="C141" s="1128"/>
      <c r="D141" s="1126"/>
      <c r="E141" s="1126"/>
      <c r="F141" s="1132"/>
      <c r="G141" s="100"/>
      <c r="H141" s="1126"/>
      <c r="I141" s="1126"/>
      <c r="J141" s="1135"/>
      <c r="K141" s="1135"/>
      <c r="L141" s="916"/>
    </row>
    <row r="142" spans="1:12" s="103" customFormat="1" ht="15.75" hidden="1" customHeight="1" outlineLevel="1">
      <c r="A142" s="916"/>
      <c r="B142" s="1123">
        <v>44</v>
      </c>
      <c r="C142" s="1127"/>
      <c r="D142" s="1125"/>
      <c r="E142" s="1125" t="s">
        <v>18</v>
      </c>
      <c r="F142" s="1130" t="str">
        <f>VLOOKUP(E142,$N$13:$O$17,2,0)</f>
        <v>-</v>
      </c>
      <c r="G142" s="92"/>
      <c r="H142" s="823"/>
      <c r="I142" s="1125"/>
      <c r="J142" s="1133"/>
      <c r="K142" s="1133"/>
      <c r="L142" s="916"/>
    </row>
    <row r="143" spans="1:12" s="103" customFormat="1" ht="15.75" hidden="1" customHeight="1" outlineLevel="1">
      <c r="A143" s="916"/>
      <c r="B143" s="1123"/>
      <c r="C143" s="1127"/>
      <c r="D143" s="1125"/>
      <c r="E143" s="1125"/>
      <c r="F143" s="1130"/>
      <c r="G143" s="95"/>
      <c r="H143" s="823"/>
      <c r="I143" s="1125"/>
      <c r="J143" s="1134"/>
      <c r="K143" s="1134"/>
      <c r="L143" s="916"/>
    </row>
    <row r="144" spans="1:12" s="103" customFormat="1" ht="15.75" hidden="1" customHeight="1" outlineLevel="1">
      <c r="A144" s="916"/>
      <c r="B144" s="1124"/>
      <c r="C144" s="1128"/>
      <c r="D144" s="1126"/>
      <c r="E144" s="1126"/>
      <c r="F144" s="1132"/>
      <c r="G144" s="100"/>
      <c r="H144" s="824"/>
      <c r="I144" s="1126"/>
      <c r="J144" s="1135"/>
      <c r="K144" s="1135"/>
      <c r="L144" s="916"/>
    </row>
    <row r="145" spans="1:12" s="103" customFormat="1" ht="15.75" hidden="1" customHeight="1" outlineLevel="1">
      <c r="A145" s="916"/>
      <c r="B145" s="1123">
        <v>45</v>
      </c>
      <c r="C145" s="1127"/>
      <c r="D145" s="1125"/>
      <c r="E145" s="1125" t="s">
        <v>18</v>
      </c>
      <c r="F145" s="1130" t="str">
        <f>VLOOKUP(E145,$N$13:$O$17,2,0)</f>
        <v>-</v>
      </c>
      <c r="G145" s="92"/>
      <c r="H145" s="823"/>
      <c r="I145" s="1125"/>
      <c r="J145" s="1133"/>
      <c r="K145" s="1133"/>
      <c r="L145" s="916"/>
    </row>
    <row r="146" spans="1:12" s="103" customFormat="1" ht="15.75" hidden="1" customHeight="1" outlineLevel="1">
      <c r="A146" s="916"/>
      <c r="B146" s="1123"/>
      <c r="C146" s="1127"/>
      <c r="D146" s="1125"/>
      <c r="E146" s="1125"/>
      <c r="F146" s="1130"/>
      <c r="G146" s="95"/>
      <c r="H146" s="823"/>
      <c r="I146" s="1125"/>
      <c r="J146" s="1134"/>
      <c r="K146" s="1134"/>
      <c r="L146" s="916"/>
    </row>
    <row r="147" spans="1:12" s="103" customFormat="1" ht="15.75" hidden="1" customHeight="1" outlineLevel="1">
      <c r="A147" s="916"/>
      <c r="B147" s="1124"/>
      <c r="C147" s="1128"/>
      <c r="D147" s="1126"/>
      <c r="E147" s="1126"/>
      <c r="F147" s="1132"/>
      <c r="G147" s="100"/>
      <c r="H147" s="824"/>
      <c r="I147" s="1126"/>
      <c r="J147" s="1135"/>
      <c r="K147" s="1135"/>
      <c r="L147" s="916"/>
    </row>
    <row r="148" spans="1:12" s="103" customFormat="1" ht="15.75" hidden="1" customHeight="1" outlineLevel="1">
      <c r="A148" s="916"/>
      <c r="B148" s="1123">
        <v>46</v>
      </c>
      <c r="C148" s="1127"/>
      <c r="D148" s="1125"/>
      <c r="E148" s="1125" t="s">
        <v>18</v>
      </c>
      <c r="F148" s="1130" t="str">
        <f>VLOOKUP(E148,$N$13:$O$17,2,0)</f>
        <v>-</v>
      </c>
      <c r="G148" s="92"/>
      <c r="H148" s="823"/>
      <c r="I148" s="1125"/>
      <c r="J148" s="1133"/>
      <c r="K148" s="1133"/>
      <c r="L148" s="916"/>
    </row>
    <row r="149" spans="1:12" s="103" customFormat="1" ht="15.75" hidden="1" customHeight="1" outlineLevel="1">
      <c r="A149" s="916"/>
      <c r="B149" s="1123"/>
      <c r="C149" s="1127"/>
      <c r="D149" s="1125"/>
      <c r="E149" s="1125"/>
      <c r="F149" s="1130"/>
      <c r="G149" s="95"/>
      <c r="H149" s="823"/>
      <c r="I149" s="1125"/>
      <c r="J149" s="1134"/>
      <c r="K149" s="1134"/>
      <c r="L149" s="916"/>
    </row>
    <row r="150" spans="1:12" s="103" customFormat="1" ht="15.75" hidden="1" customHeight="1" outlineLevel="1">
      <c r="A150" s="916"/>
      <c r="B150" s="1124"/>
      <c r="C150" s="1128"/>
      <c r="D150" s="1126"/>
      <c r="E150" s="1126"/>
      <c r="F150" s="1132"/>
      <c r="G150" s="100"/>
      <c r="H150" s="824"/>
      <c r="I150" s="1126"/>
      <c r="J150" s="1135"/>
      <c r="K150" s="1135"/>
      <c r="L150" s="916"/>
    </row>
    <row r="151" spans="1:12" s="103" customFormat="1" ht="15.75" hidden="1" customHeight="1" outlineLevel="1">
      <c r="A151" s="916"/>
      <c r="B151" s="1123">
        <v>47</v>
      </c>
      <c r="C151" s="1127"/>
      <c r="D151" s="1125"/>
      <c r="E151" s="1125" t="s">
        <v>18</v>
      </c>
      <c r="F151" s="1130" t="str">
        <f>VLOOKUP(E151,$N$13:$O$17,2,0)</f>
        <v>-</v>
      </c>
      <c r="G151" s="92"/>
      <c r="H151" s="823"/>
      <c r="I151" s="1125"/>
      <c r="J151" s="1133"/>
      <c r="K151" s="1133"/>
      <c r="L151" s="916"/>
    </row>
    <row r="152" spans="1:12" s="103" customFormat="1" ht="15.75" hidden="1" customHeight="1" outlineLevel="1">
      <c r="A152" s="916"/>
      <c r="B152" s="1123"/>
      <c r="C152" s="1127"/>
      <c r="D152" s="1125"/>
      <c r="E152" s="1125"/>
      <c r="F152" s="1130"/>
      <c r="G152" s="95"/>
      <c r="H152" s="823"/>
      <c r="I152" s="1125"/>
      <c r="J152" s="1134"/>
      <c r="K152" s="1134"/>
      <c r="L152" s="916"/>
    </row>
    <row r="153" spans="1:12" s="103" customFormat="1" ht="15.75" hidden="1" customHeight="1" outlineLevel="1">
      <c r="A153" s="916"/>
      <c r="B153" s="1124"/>
      <c r="C153" s="1128"/>
      <c r="D153" s="1126"/>
      <c r="E153" s="1126"/>
      <c r="F153" s="1132"/>
      <c r="G153" s="100"/>
      <c r="H153" s="824"/>
      <c r="I153" s="1126"/>
      <c r="J153" s="1135"/>
      <c r="K153" s="1135"/>
      <c r="L153" s="916"/>
    </row>
    <row r="154" spans="1:12" s="103" customFormat="1" ht="15.75" hidden="1" customHeight="1" outlineLevel="1">
      <c r="A154" s="916"/>
      <c r="B154" s="1123">
        <v>48</v>
      </c>
      <c r="C154" s="1127"/>
      <c r="D154" s="1125"/>
      <c r="E154" s="1125" t="s">
        <v>18</v>
      </c>
      <c r="F154" s="1130" t="str">
        <f>VLOOKUP(E154,$N$13:$O$17,2,0)</f>
        <v>-</v>
      </c>
      <c r="G154" s="92"/>
      <c r="H154" s="823"/>
      <c r="I154" s="1125"/>
      <c r="J154" s="1133"/>
      <c r="K154" s="1133"/>
      <c r="L154" s="916"/>
    </row>
    <row r="155" spans="1:12" s="103" customFormat="1" ht="15.75" hidden="1" customHeight="1" outlineLevel="1">
      <c r="A155" s="916"/>
      <c r="B155" s="1123"/>
      <c r="C155" s="1127"/>
      <c r="D155" s="1125"/>
      <c r="E155" s="1125"/>
      <c r="F155" s="1130"/>
      <c r="G155" s="95"/>
      <c r="H155" s="823"/>
      <c r="I155" s="1125"/>
      <c r="J155" s="1134"/>
      <c r="K155" s="1134"/>
      <c r="L155" s="916"/>
    </row>
    <row r="156" spans="1:12" s="103" customFormat="1" ht="15.75" hidden="1" customHeight="1" outlineLevel="1">
      <c r="A156" s="916"/>
      <c r="B156" s="1124"/>
      <c r="C156" s="1128"/>
      <c r="D156" s="1126"/>
      <c r="E156" s="1126"/>
      <c r="F156" s="1132"/>
      <c r="G156" s="100"/>
      <c r="H156" s="824"/>
      <c r="I156" s="1126"/>
      <c r="J156" s="1135"/>
      <c r="K156" s="1135"/>
      <c r="L156" s="916"/>
    </row>
    <row r="157" spans="1:12" s="103" customFormat="1" ht="15.75" hidden="1" customHeight="1" outlineLevel="1">
      <c r="A157" s="916"/>
      <c r="B157" s="1123">
        <v>49</v>
      </c>
      <c r="C157" s="1127"/>
      <c r="D157" s="1125"/>
      <c r="E157" s="1125" t="s">
        <v>18</v>
      </c>
      <c r="F157" s="1130" t="str">
        <f>VLOOKUP(E157,$N$13:$O$17,2,0)</f>
        <v>-</v>
      </c>
      <c r="G157" s="92"/>
      <c r="H157" s="823"/>
      <c r="I157" s="1125"/>
      <c r="J157" s="1133"/>
      <c r="K157" s="1133"/>
      <c r="L157" s="916"/>
    </row>
    <row r="158" spans="1:12" s="103" customFormat="1" ht="15.75" hidden="1" customHeight="1" outlineLevel="1">
      <c r="A158" s="916"/>
      <c r="B158" s="1123"/>
      <c r="C158" s="1127"/>
      <c r="D158" s="1125"/>
      <c r="E158" s="1125"/>
      <c r="F158" s="1130"/>
      <c r="G158" s="95"/>
      <c r="H158" s="823"/>
      <c r="I158" s="1125"/>
      <c r="J158" s="1134"/>
      <c r="K158" s="1134"/>
      <c r="L158" s="916"/>
    </row>
    <row r="159" spans="1:12" s="103" customFormat="1" ht="15.75" hidden="1" customHeight="1" outlineLevel="1">
      <c r="A159" s="916"/>
      <c r="B159" s="1124"/>
      <c r="C159" s="1128"/>
      <c r="D159" s="1126"/>
      <c r="E159" s="1126"/>
      <c r="F159" s="1132"/>
      <c r="G159" s="100"/>
      <c r="H159" s="824"/>
      <c r="I159" s="1126"/>
      <c r="J159" s="1135"/>
      <c r="K159" s="1135"/>
      <c r="L159" s="916"/>
    </row>
    <row r="160" spans="1:12" s="103" customFormat="1" ht="15.75" hidden="1" customHeight="1" outlineLevel="1">
      <c r="A160" s="916"/>
      <c r="B160" s="1123">
        <v>50</v>
      </c>
      <c r="C160" s="1127"/>
      <c r="D160" s="1125"/>
      <c r="E160" s="1125" t="s">
        <v>18</v>
      </c>
      <c r="F160" s="1130" t="str">
        <f>VLOOKUP(E160,$N$13:$O$17,2,0)</f>
        <v>-</v>
      </c>
      <c r="G160" s="92"/>
      <c r="H160" s="823"/>
      <c r="I160" s="1125"/>
      <c r="J160" s="1133"/>
      <c r="K160" s="1133"/>
      <c r="L160" s="916"/>
    </row>
    <row r="161" spans="1:12" s="103" customFormat="1" ht="15.75" hidden="1" customHeight="1" outlineLevel="1">
      <c r="A161" s="916"/>
      <c r="B161" s="1123"/>
      <c r="C161" s="1127"/>
      <c r="D161" s="1125"/>
      <c r="E161" s="1125"/>
      <c r="F161" s="1130"/>
      <c r="G161" s="95"/>
      <c r="H161" s="823"/>
      <c r="I161" s="1125"/>
      <c r="J161" s="1134"/>
      <c r="K161" s="1134"/>
      <c r="L161" s="916"/>
    </row>
    <row r="162" spans="1:12" s="103" customFormat="1" ht="15.75" hidden="1" customHeight="1" outlineLevel="1">
      <c r="A162" s="916"/>
      <c r="B162" s="1124"/>
      <c r="C162" s="1128"/>
      <c r="D162" s="1126"/>
      <c r="E162" s="1126"/>
      <c r="F162" s="1132"/>
      <c r="G162" s="100"/>
      <c r="H162" s="824"/>
      <c r="I162" s="1126"/>
      <c r="J162" s="1135"/>
      <c r="K162" s="1135"/>
      <c r="L162" s="916"/>
    </row>
    <row r="163" spans="1:12" s="103" customFormat="1" ht="15.75" hidden="1" customHeight="1" outlineLevel="1">
      <c r="A163" s="916"/>
      <c r="B163" s="1123">
        <v>51</v>
      </c>
      <c r="C163" s="1127"/>
      <c r="D163" s="1125"/>
      <c r="E163" s="1125" t="s">
        <v>18</v>
      </c>
      <c r="F163" s="1130" t="str">
        <f>VLOOKUP(E163,$N$13:$O$17,2,0)</f>
        <v>-</v>
      </c>
      <c r="G163" s="92"/>
      <c r="H163" s="823"/>
      <c r="I163" s="1125"/>
      <c r="J163" s="1133"/>
      <c r="K163" s="1133"/>
      <c r="L163" s="916"/>
    </row>
    <row r="164" spans="1:12" s="103" customFormat="1" ht="15.75" hidden="1" customHeight="1" outlineLevel="1">
      <c r="A164" s="916"/>
      <c r="B164" s="1123"/>
      <c r="C164" s="1127"/>
      <c r="D164" s="1125"/>
      <c r="E164" s="1125"/>
      <c r="F164" s="1130"/>
      <c r="G164" s="95"/>
      <c r="H164" s="823"/>
      <c r="I164" s="1125"/>
      <c r="J164" s="1134"/>
      <c r="K164" s="1134"/>
      <c r="L164" s="916"/>
    </row>
    <row r="165" spans="1:12" s="103" customFormat="1" ht="15.75" hidden="1" customHeight="1" outlineLevel="1">
      <c r="A165" s="916"/>
      <c r="B165" s="1124"/>
      <c r="C165" s="1128"/>
      <c r="D165" s="1126"/>
      <c r="E165" s="1126"/>
      <c r="F165" s="1132"/>
      <c r="G165" s="100"/>
      <c r="H165" s="824"/>
      <c r="I165" s="1126"/>
      <c r="J165" s="1135"/>
      <c r="K165" s="1135"/>
      <c r="L165" s="916"/>
    </row>
    <row r="166" spans="1:12" s="103" customFormat="1" ht="15.75" hidden="1" customHeight="1" outlineLevel="1">
      <c r="A166" s="916"/>
      <c r="B166" s="1123">
        <v>52</v>
      </c>
      <c r="C166" s="1127"/>
      <c r="D166" s="1125"/>
      <c r="E166" s="1125" t="s">
        <v>18</v>
      </c>
      <c r="F166" s="1130" t="str">
        <f>VLOOKUP(E166,$N$13:$O$17,2,0)</f>
        <v>-</v>
      </c>
      <c r="G166" s="92"/>
      <c r="H166" s="823"/>
      <c r="I166" s="1125"/>
      <c r="J166" s="1133"/>
      <c r="K166" s="1133"/>
      <c r="L166" s="916"/>
    </row>
    <row r="167" spans="1:12" s="103" customFormat="1" ht="15.75" hidden="1" customHeight="1" outlineLevel="1">
      <c r="A167" s="916"/>
      <c r="B167" s="1123"/>
      <c r="C167" s="1127"/>
      <c r="D167" s="1125"/>
      <c r="E167" s="1125"/>
      <c r="F167" s="1130"/>
      <c r="G167" s="95"/>
      <c r="H167" s="823"/>
      <c r="I167" s="1125"/>
      <c r="J167" s="1134"/>
      <c r="K167" s="1134"/>
      <c r="L167" s="916"/>
    </row>
    <row r="168" spans="1:12" s="103" customFormat="1" ht="15.75" hidden="1" customHeight="1" outlineLevel="1">
      <c r="A168" s="916"/>
      <c r="B168" s="1124"/>
      <c r="C168" s="1128"/>
      <c r="D168" s="1126"/>
      <c r="E168" s="1126"/>
      <c r="F168" s="1132"/>
      <c r="G168" s="100"/>
      <c r="H168" s="824"/>
      <c r="I168" s="1126"/>
      <c r="J168" s="1135"/>
      <c r="K168" s="1135"/>
      <c r="L168" s="916"/>
    </row>
    <row r="169" spans="1:12" s="103" customFormat="1" ht="15.75" hidden="1" customHeight="1" outlineLevel="1">
      <c r="A169" s="916"/>
      <c r="B169" s="1123">
        <v>53</v>
      </c>
      <c r="C169" s="1127"/>
      <c r="D169" s="1125"/>
      <c r="E169" s="1125" t="s">
        <v>18</v>
      </c>
      <c r="F169" s="1130" t="str">
        <f>VLOOKUP(E169,$N$13:$O$17,2,0)</f>
        <v>-</v>
      </c>
      <c r="G169" s="92"/>
      <c r="H169" s="823"/>
      <c r="I169" s="1125"/>
      <c r="J169" s="1133"/>
      <c r="K169" s="1133"/>
      <c r="L169" s="916"/>
    </row>
    <row r="170" spans="1:12" s="103" customFormat="1" ht="15.75" hidden="1" customHeight="1" outlineLevel="1">
      <c r="A170" s="916"/>
      <c r="B170" s="1123"/>
      <c r="C170" s="1127"/>
      <c r="D170" s="1125"/>
      <c r="E170" s="1125"/>
      <c r="F170" s="1130"/>
      <c r="G170" s="95"/>
      <c r="H170" s="823"/>
      <c r="I170" s="1125"/>
      <c r="J170" s="1134"/>
      <c r="K170" s="1134"/>
      <c r="L170" s="916"/>
    </row>
    <row r="171" spans="1:12" s="103" customFormat="1" ht="15.75" hidden="1" customHeight="1" outlineLevel="1">
      <c r="A171" s="916"/>
      <c r="B171" s="1124"/>
      <c r="C171" s="1128"/>
      <c r="D171" s="1126"/>
      <c r="E171" s="1126"/>
      <c r="F171" s="1132"/>
      <c r="G171" s="100"/>
      <c r="H171" s="824"/>
      <c r="I171" s="1126"/>
      <c r="J171" s="1135"/>
      <c r="K171" s="1135"/>
      <c r="L171" s="916"/>
    </row>
    <row r="172" spans="1:12" s="103" customFormat="1" ht="15.75" hidden="1" customHeight="1" outlineLevel="1">
      <c r="A172" s="916"/>
      <c r="B172" s="1123">
        <v>54</v>
      </c>
      <c r="C172" s="1127"/>
      <c r="D172" s="1125"/>
      <c r="E172" s="1125" t="s">
        <v>18</v>
      </c>
      <c r="F172" s="1130" t="str">
        <f>VLOOKUP(E172,$N$13:$O$17,2,0)</f>
        <v>-</v>
      </c>
      <c r="G172" s="92"/>
      <c r="H172" s="823"/>
      <c r="I172" s="1125"/>
      <c r="J172" s="1133"/>
      <c r="K172" s="1133"/>
      <c r="L172" s="916"/>
    </row>
    <row r="173" spans="1:12" s="103" customFormat="1" ht="15.75" hidden="1" customHeight="1" outlineLevel="1">
      <c r="A173" s="916"/>
      <c r="B173" s="1123"/>
      <c r="C173" s="1127"/>
      <c r="D173" s="1125"/>
      <c r="E173" s="1125"/>
      <c r="F173" s="1130"/>
      <c r="G173" s="95"/>
      <c r="H173" s="823"/>
      <c r="I173" s="1125"/>
      <c r="J173" s="1134"/>
      <c r="K173" s="1134"/>
      <c r="L173" s="916"/>
    </row>
    <row r="174" spans="1:12" s="103" customFormat="1" ht="15.75" hidden="1" customHeight="1" outlineLevel="1">
      <c r="A174" s="916"/>
      <c r="B174" s="1124"/>
      <c r="C174" s="1128"/>
      <c r="D174" s="1126"/>
      <c r="E174" s="1126"/>
      <c r="F174" s="1132"/>
      <c r="G174" s="100"/>
      <c r="H174" s="824"/>
      <c r="I174" s="1126"/>
      <c r="J174" s="1135"/>
      <c r="K174" s="1135"/>
      <c r="L174" s="916"/>
    </row>
    <row r="175" spans="1:12" s="103" customFormat="1" ht="15.75" hidden="1" customHeight="1" outlineLevel="1">
      <c r="A175" s="916"/>
      <c r="B175" s="1123">
        <v>55</v>
      </c>
      <c r="C175" s="1127"/>
      <c r="D175" s="1125"/>
      <c r="E175" s="1125" t="s">
        <v>18</v>
      </c>
      <c r="F175" s="1130" t="str">
        <f>VLOOKUP(E175,$N$13:$O$17,2,0)</f>
        <v>-</v>
      </c>
      <c r="G175" s="92"/>
      <c r="H175" s="823"/>
      <c r="I175" s="1125"/>
      <c r="J175" s="1133"/>
      <c r="K175" s="1133"/>
      <c r="L175" s="916"/>
    </row>
    <row r="176" spans="1:12" s="103" customFormat="1" ht="15.75" hidden="1" customHeight="1" outlineLevel="1">
      <c r="A176" s="916"/>
      <c r="B176" s="1123"/>
      <c r="C176" s="1127"/>
      <c r="D176" s="1125"/>
      <c r="E176" s="1125"/>
      <c r="F176" s="1130"/>
      <c r="G176" s="95"/>
      <c r="H176" s="823"/>
      <c r="I176" s="1125"/>
      <c r="J176" s="1134"/>
      <c r="K176" s="1134"/>
      <c r="L176" s="916"/>
    </row>
    <row r="177" spans="1:12" s="103" customFormat="1" ht="15.75" hidden="1" customHeight="1" outlineLevel="1">
      <c r="A177" s="916"/>
      <c r="B177" s="1124"/>
      <c r="C177" s="1128"/>
      <c r="D177" s="1126"/>
      <c r="E177" s="1126"/>
      <c r="F177" s="1132"/>
      <c r="G177" s="100"/>
      <c r="H177" s="824"/>
      <c r="I177" s="1126"/>
      <c r="J177" s="1135"/>
      <c r="K177" s="1135"/>
      <c r="L177" s="916"/>
    </row>
    <row r="178" spans="1:12" s="103" customFormat="1" ht="15.75" hidden="1" customHeight="1" outlineLevel="1">
      <c r="A178" s="916"/>
      <c r="B178" s="1123">
        <v>56</v>
      </c>
      <c r="C178" s="1127"/>
      <c r="D178" s="1125"/>
      <c r="E178" s="1125" t="s">
        <v>18</v>
      </c>
      <c r="F178" s="1130" t="str">
        <f>VLOOKUP(E178,$N$13:$O$17,2,0)</f>
        <v>-</v>
      </c>
      <c r="G178" s="92"/>
      <c r="H178" s="823"/>
      <c r="I178" s="1125"/>
      <c r="J178" s="1133"/>
      <c r="K178" s="1133"/>
      <c r="L178" s="916"/>
    </row>
    <row r="179" spans="1:12" s="103" customFormat="1" ht="15.75" hidden="1" customHeight="1" outlineLevel="1">
      <c r="A179" s="916"/>
      <c r="B179" s="1123"/>
      <c r="C179" s="1127"/>
      <c r="D179" s="1125"/>
      <c r="E179" s="1125"/>
      <c r="F179" s="1130"/>
      <c r="G179" s="95"/>
      <c r="H179" s="823"/>
      <c r="I179" s="1125"/>
      <c r="J179" s="1134"/>
      <c r="K179" s="1134"/>
      <c r="L179" s="916"/>
    </row>
    <row r="180" spans="1:12" s="103" customFormat="1" ht="15.75" hidden="1" customHeight="1" outlineLevel="1">
      <c r="A180" s="916"/>
      <c r="B180" s="1124"/>
      <c r="C180" s="1128"/>
      <c r="D180" s="1126"/>
      <c r="E180" s="1126"/>
      <c r="F180" s="1132"/>
      <c r="G180" s="100"/>
      <c r="H180" s="824"/>
      <c r="I180" s="1126"/>
      <c r="J180" s="1135"/>
      <c r="K180" s="1135"/>
      <c r="L180" s="916"/>
    </row>
    <row r="181" spans="1:12" s="103" customFormat="1" ht="15.75" hidden="1" customHeight="1" outlineLevel="1">
      <c r="A181" s="916"/>
      <c r="B181" s="1123">
        <v>57</v>
      </c>
      <c r="C181" s="1127"/>
      <c r="D181" s="1125"/>
      <c r="E181" s="1125" t="s">
        <v>18</v>
      </c>
      <c r="F181" s="1130" t="str">
        <f>VLOOKUP(E181,$N$13:$O$17,2,0)</f>
        <v>-</v>
      </c>
      <c r="G181" s="92"/>
      <c r="H181" s="823"/>
      <c r="I181" s="1125"/>
      <c r="J181" s="1133"/>
      <c r="K181" s="1133"/>
      <c r="L181" s="916"/>
    </row>
    <row r="182" spans="1:12" s="103" customFormat="1" ht="15.75" hidden="1" customHeight="1" outlineLevel="1">
      <c r="A182" s="916"/>
      <c r="B182" s="1123"/>
      <c r="C182" s="1127"/>
      <c r="D182" s="1125"/>
      <c r="E182" s="1125"/>
      <c r="F182" s="1130"/>
      <c r="G182" s="95"/>
      <c r="H182" s="823"/>
      <c r="I182" s="1125"/>
      <c r="J182" s="1134"/>
      <c r="K182" s="1134"/>
      <c r="L182" s="916"/>
    </row>
    <row r="183" spans="1:12" s="103" customFormat="1" ht="15.75" hidden="1" customHeight="1" outlineLevel="1">
      <c r="A183" s="916"/>
      <c r="B183" s="1124"/>
      <c r="C183" s="1128"/>
      <c r="D183" s="1126"/>
      <c r="E183" s="1126"/>
      <c r="F183" s="1132"/>
      <c r="G183" s="100"/>
      <c r="H183" s="824"/>
      <c r="I183" s="1126"/>
      <c r="J183" s="1135"/>
      <c r="K183" s="1135"/>
      <c r="L183" s="916"/>
    </row>
    <row r="184" spans="1:12" s="103" customFormat="1" ht="15.75" hidden="1" customHeight="1" outlineLevel="1">
      <c r="A184" s="916"/>
      <c r="B184" s="1123">
        <v>58</v>
      </c>
      <c r="C184" s="1127"/>
      <c r="D184" s="1125"/>
      <c r="E184" s="1125" t="s">
        <v>18</v>
      </c>
      <c r="F184" s="1130" t="str">
        <f>VLOOKUP(E184,$N$13:$O$17,2,0)</f>
        <v>-</v>
      </c>
      <c r="G184" s="92"/>
      <c r="H184" s="823"/>
      <c r="I184" s="1125"/>
      <c r="J184" s="1133"/>
      <c r="K184" s="1133"/>
      <c r="L184" s="916"/>
    </row>
    <row r="185" spans="1:12" s="103" customFormat="1" ht="15.75" hidden="1" customHeight="1" outlineLevel="1">
      <c r="A185" s="916"/>
      <c r="B185" s="1123"/>
      <c r="C185" s="1127"/>
      <c r="D185" s="1125"/>
      <c r="E185" s="1125"/>
      <c r="F185" s="1130"/>
      <c r="G185" s="95"/>
      <c r="H185" s="823"/>
      <c r="I185" s="1125"/>
      <c r="J185" s="1134"/>
      <c r="K185" s="1134"/>
      <c r="L185" s="916"/>
    </row>
    <row r="186" spans="1:12" s="103" customFormat="1" ht="15.75" hidden="1" customHeight="1" outlineLevel="1">
      <c r="A186" s="916"/>
      <c r="B186" s="1124"/>
      <c r="C186" s="1128"/>
      <c r="D186" s="1126"/>
      <c r="E186" s="1126"/>
      <c r="F186" s="1132"/>
      <c r="G186" s="100"/>
      <c r="H186" s="824"/>
      <c r="I186" s="1126"/>
      <c r="J186" s="1135"/>
      <c r="K186" s="1135"/>
      <c r="L186" s="916"/>
    </row>
    <row r="187" spans="1:12" s="103" customFormat="1" ht="15.75" hidden="1" customHeight="1" outlineLevel="1">
      <c r="A187" s="916"/>
      <c r="B187" s="1123">
        <v>59</v>
      </c>
      <c r="C187" s="1127"/>
      <c r="D187" s="1125"/>
      <c r="E187" s="1125" t="s">
        <v>18</v>
      </c>
      <c r="F187" s="1130" t="str">
        <f>VLOOKUP(E187,$N$13:$O$17,2,0)</f>
        <v>-</v>
      </c>
      <c r="G187" s="92"/>
      <c r="H187" s="823"/>
      <c r="I187" s="1125"/>
      <c r="J187" s="1133"/>
      <c r="K187" s="1133"/>
      <c r="L187" s="916"/>
    </row>
    <row r="188" spans="1:12" s="103" customFormat="1" ht="15.75" hidden="1" customHeight="1" outlineLevel="1">
      <c r="A188" s="916"/>
      <c r="B188" s="1123"/>
      <c r="C188" s="1127"/>
      <c r="D188" s="1125"/>
      <c r="E188" s="1125"/>
      <c r="F188" s="1130"/>
      <c r="G188" s="95"/>
      <c r="H188" s="823"/>
      <c r="I188" s="1125"/>
      <c r="J188" s="1134"/>
      <c r="K188" s="1134"/>
      <c r="L188" s="916"/>
    </row>
    <row r="189" spans="1:12" s="103" customFormat="1" ht="15.75" hidden="1" customHeight="1" outlineLevel="1">
      <c r="A189" s="916"/>
      <c r="B189" s="1124"/>
      <c r="C189" s="1128"/>
      <c r="D189" s="1126"/>
      <c r="E189" s="1126"/>
      <c r="F189" s="1132"/>
      <c r="G189" s="100"/>
      <c r="H189" s="824"/>
      <c r="I189" s="1126"/>
      <c r="J189" s="1135"/>
      <c r="K189" s="1135"/>
      <c r="L189" s="916"/>
    </row>
    <row r="190" spans="1:12" s="103" customFormat="1" ht="15.75" hidden="1" customHeight="1" outlineLevel="1">
      <c r="A190" s="916"/>
      <c r="B190" s="1123">
        <v>60</v>
      </c>
      <c r="C190" s="1127"/>
      <c r="D190" s="1125"/>
      <c r="E190" s="1125" t="s">
        <v>18</v>
      </c>
      <c r="F190" s="1130" t="str">
        <f>VLOOKUP(E190,$N$13:$O$17,2,0)</f>
        <v>-</v>
      </c>
      <c r="G190" s="92"/>
      <c r="H190" s="823"/>
      <c r="I190" s="1125"/>
      <c r="J190" s="1133"/>
      <c r="K190" s="1133"/>
      <c r="L190" s="916"/>
    </row>
    <row r="191" spans="1:12" s="103" customFormat="1" ht="15.75" hidden="1" customHeight="1" outlineLevel="1">
      <c r="A191" s="916"/>
      <c r="B191" s="1123"/>
      <c r="C191" s="1127"/>
      <c r="D191" s="1125"/>
      <c r="E191" s="1125"/>
      <c r="F191" s="1130"/>
      <c r="G191" s="95"/>
      <c r="H191" s="823"/>
      <c r="I191" s="1125"/>
      <c r="J191" s="1134"/>
      <c r="K191" s="1134"/>
      <c r="L191" s="916"/>
    </row>
    <row r="192" spans="1:12" s="103" customFormat="1" ht="15.75" hidden="1" customHeight="1" outlineLevel="1">
      <c r="A192" s="916"/>
      <c r="B192" s="1124"/>
      <c r="C192" s="1128"/>
      <c r="D192" s="1126"/>
      <c r="E192" s="1126"/>
      <c r="F192" s="1132"/>
      <c r="G192" s="100"/>
      <c r="H192" s="824"/>
      <c r="I192" s="1126"/>
      <c r="J192" s="1135"/>
      <c r="K192" s="1135"/>
      <c r="L192" s="916"/>
    </row>
    <row r="193" spans="1:12" s="103" customFormat="1" ht="15.75" hidden="1" customHeight="1" outlineLevel="1">
      <c r="A193" s="916"/>
      <c r="B193" s="1123">
        <v>61</v>
      </c>
      <c r="C193" s="1127"/>
      <c r="D193" s="1125"/>
      <c r="E193" s="1125" t="s">
        <v>18</v>
      </c>
      <c r="F193" s="1130" t="str">
        <f>VLOOKUP(E193,$N$13:$O$17,2,0)</f>
        <v>-</v>
      </c>
      <c r="G193" s="92"/>
      <c r="H193" s="823"/>
      <c r="I193" s="1125"/>
      <c r="J193" s="1133"/>
      <c r="K193" s="1133"/>
      <c r="L193" s="916"/>
    </row>
    <row r="194" spans="1:12" s="103" customFormat="1" ht="15.75" hidden="1" customHeight="1" outlineLevel="1">
      <c r="A194" s="916"/>
      <c r="B194" s="1123"/>
      <c r="C194" s="1127"/>
      <c r="D194" s="1125"/>
      <c r="E194" s="1125"/>
      <c r="F194" s="1130"/>
      <c r="G194" s="95"/>
      <c r="H194" s="823"/>
      <c r="I194" s="1125"/>
      <c r="J194" s="1134"/>
      <c r="K194" s="1134"/>
      <c r="L194" s="916"/>
    </row>
    <row r="195" spans="1:12" s="103" customFormat="1" ht="15.75" hidden="1" customHeight="1" outlineLevel="1">
      <c r="A195" s="916"/>
      <c r="B195" s="1124"/>
      <c r="C195" s="1128"/>
      <c r="D195" s="1126"/>
      <c r="E195" s="1126"/>
      <c r="F195" s="1132"/>
      <c r="G195" s="100"/>
      <c r="H195" s="824"/>
      <c r="I195" s="1126"/>
      <c r="J195" s="1135"/>
      <c r="K195" s="1135"/>
      <c r="L195" s="916"/>
    </row>
    <row r="196" spans="1:12" s="103" customFormat="1" ht="15.75" hidden="1" customHeight="1" outlineLevel="1">
      <c r="A196" s="916"/>
      <c r="B196" s="1123">
        <v>62</v>
      </c>
      <c r="C196" s="1127"/>
      <c r="D196" s="1125"/>
      <c r="E196" s="1125" t="s">
        <v>18</v>
      </c>
      <c r="F196" s="1130" t="str">
        <f>VLOOKUP(E196,$N$13:$O$17,2,0)</f>
        <v>-</v>
      </c>
      <c r="G196" s="92"/>
      <c r="H196" s="823"/>
      <c r="I196" s="1125"/>
      <c r="J196" s="1133"/>
      <c r="K196" s="1133"/>
      <c r="L196" s="916"/>
    </row>
    <row r="197" spans="1:12" s="103" customFormat="1" ht="15.75" hidden="1" customHeight="1" outlineLevel="1">
      <c r="A197" s="916"/>
      <c r="B197" s="1123"/>
      <c r="C197" s="1127"/>
      <c r="D197" s="1125"/>
      <c r="E197" s="1125"/>
      <c r="F197" s="1130"/>
      <c r="G197" s="95"/>
      <c r="H197" s="823"/>
      <c r="I197" s="1125"/>
      <c r="J197" s="1134"/>
      <c r="K197" s="1134"/>
      <c r="L197" s="916"/>
    </row>
    <row r="198" spans="1:12" s="103" customFormat="1" ht="15.75" hidden="1" customHeight="1" outlineLevel="1">
      <c r="A198" s="916"/>
      <c r="B198" s="1124"/>
      <c r="C198" s="1128"/>
      <c r="D198" s="1126"/>
      <c r="E198" s="1126"/>
      <c r="F198" s="1132"/>
      <c r="G198" s="100"/>
      <c r="H198" s="824"/>
      <c r="I198" s="1126"/>
      <c r="J198" s="1135"/>
      <c r="K198" s="1135"/>
      <c r="L198" s="916"/>
    </row>
    <row r="199" spans="1:12" s="103" customFormat="1" ht="15.75" hidden="1" customHeight="1" outlineLevel="1">
      <c r="A199" s="916"/>
      <c r="B199" s="1123">
        <v>63</v>
      </c>
      <c r="C199" s="1127"/>
      <c r="D199" s="1125"/>
      <c r="E199" s="1125" t="s">
        <v>18</v>
      </c>
      <c r="F199" s="1130" t="str">
        <f>VLOOKUP(E199,$N$13:$O$17,2,0)</f>
        <v>-</v>
      </c>
      <c r="G199" s="92"/>
      <c r="H199" s="823"/>
      <c r="I199" s="1125"/>
      <c r="J199" s="1133"/>
      <c r="K199" s="1133"/>
      <c r="L199" s="916"/>
    </row>
    <row r="200" spans="1:12" s="103" customFormat="1" ht="15.75" hidden="1" customHeight="1" outlineLevel="1">
      <c r="A200" s="916"/>
      <c r="B200" s="1123"/>
      <c r="C200" s="1127"/>
      <c r="D200" s="1125"/>
      <c r="E200" s="1125"/>
      <c r="F200" s="1130"/>
      <c r="G200" s="95"/>
      <c r="H200" s="823"/>
      <c r="I200" s="1125"/>
      <c r="J200" s="1134"/>
      <c r="K200" s="1134"/>
      <c r="L200" s="916"/>
    </row>
    <row r="201" spans="1:12" s="103" customFormat="1" ht="15.75" hidden="1" customHeight="1" outlineLevel="1">
      <c r="A201" s="916"/>
      <c r="B201" s="1124"/>
      <c r="C201" s="1128"/>
      <c r="D201" s="1126"/>
      <c r="E201" s="1126"/>
      <c r="F201" s="1132"/>
      <c r="G201" s="100"/>
      <c r="H201" s="824"/>
      <c r="I201" s="1126"/>
      <c r="J201" s="1135"/>
      <c r="K201" s="1135"/>
      <c r="L201" s="916"/>
    </row>
    <row r="202" spans="1:12" s="103" customFormat="1" ht="15.75" hidden="1" customHeight="1" outlineLevel="1">
      <c r="A202" s="916"/>
      <c r="B202" s="1123">
        <v>64</v>
      </c>
      <c r="C202" s="1127"/>
      <c r="D202" s="1125"/>
      <c r="E202" s="1125" t="s">
        <v>18</v>
      </c>
      <c r="F202" s="1130" t="str">
        <f>VLOOKUP(E202,$N$13:$O$17,2,0)</f>
        <v>-</v>
      </c>
      <c r="G202" s="92"/>
      <c r="H202" s="823"/>
      <c r="I202" s="1125"/>
      <c r="J202" s="1133"/>
      <c r="K202" s="1133"/>
      <c r="L202" s="916"/>
    </row>
    <row r="203" spans="1:12" s="103" customFormat="1" ht="15.75" hidden="1" customHeight="1" outlineLevel="1">
      <c r="A203" s="916"/>
      <c r="B203" s="1123"/>
      <c r="C203" s="1127"/>
      <c r="D203" s="1125"/>
      <c r="E203" s="1125"/>
      <c r="F203" s="1130"/>
      <c r="G203" s="95"/>
      <c r="H203" s="823"/>
      <c r="I203" s="1125"/>
      <c r="J203" s="1134"/>
      <c r="K203" s="1134"/>
      <c r="L203" s="916"/>
    </row>
    <row r="204" spans="1:12" s="103" customFormat="1" ht="15.75" hidden="1" customHeight="1" outlineLevel="1">
      <c r="A204" s="916"/>
      <c r="B204" s="1124"/>
      <c r="C204" s="1128"/>
      <c r="D204" s="1126"/>
      <c r="E204" s="1126"/>
      <c r="F204" s="1132"/>
      <c r="G204" s="100"/>
      <c r="H204" s="824"/>
      <c r="I204" s="1126"/>
      <c r="J204" s="1135"/>
      <c r="K204" s="1135"/>
      <c r="L204" s="916"/>
    </row>
    <row r="205" spans="1:12" s="103" customFormat="1" ht="15.75" hidden="1" customHeight="1" outlineLevel="1">
      <c r="A205" s="916"/>
      <c r="B205" s="1123">
        <v>65</v>
      </c>
      <c r="C205" s="1127"/>
      <c r="D205" s="1125"/>
      <c r="E205" s="1125" t="s">
        <v>18</v>
      </c>
      <c r="F205" s="1130" t="str">
        <f>VLOOKUP(E205,$N$13:$O$17,2,0)</f>
        <v>-</v>
      </c>
      <c r="G205" s="92"/>
      <c r="H205" s="823"/>
      <c r="I205" s="1125"/>
      <c r="J205" s="1133"/>
      <c r="K205" s="1133"/>
      <c r="L205" s="916"/>
    </row>
    <row r="206" spans="1:12" s="103" customFormat="1" ht="15.75" hidden="1" customHeight="1" outlineLevel="1">
      <c r="A206" s="916"/>
      <c r="B206" s="1123"/>
      <c r="C206" s="1127"/>
      <c r="D206" s="1125"/>
      <c r="E206" s="1125"/>
      <c r="F206" s="1130"/>
      <c r="G206" s="95"/>
      <c r="H206" s="823"/>
      <c r="I206" s="1125"/>
      <c r="J206" s="1134"/>
      <c r="K206" s="1134"/>
      <c r="L206" s="916"/>
    </row>
    <row r="207" spans="1:12" s="103" customFormat="1" ht="15.75" hidden="1" customHeight="1" outlineLevel="1">
      <c r="A207" s="916"/>
      <c r="B207" s="1124"/>
      <c r="C207" s="1128"/>
      <c r="D207" s="1126"/>
      <c r="E207" s="1126"/>
      <c r="F207" s="1132"/>
      <c r="G207" s="100"/>
      <c r="H207" s="824"/>
      <c r="I207" s="1126"/>
      <c r="J207" s="1135"/>
      <c r="K207" s="1135"/>
      <c r="L207" s="916"/>
    </row>
    <row r="208" spans="1:12" s="103" customFormat="1" ht="15.75" hidden="1" customHeight="1" outlineLevel="1">
      <c r="A208" s="916"/>
      <c r="B208" s="1123">
        <v>66</v>
      </c>
      <c r="C208" s="1127"/>
      <c r="D208" s="1125"/>
      <c r="E208" s="1125" t="s">
        <v>18</v>
      </c>
      <c r="F208" s="1130" t="str">
        <f>VLOOKUP(E208,$N$13:$O$17,2,0)</f>
        <v>-</v>
      </c>
      <c r="G208" s="92"/>
      <c r="H208" s="823"/>
      <c r="I208" s="1125"/>
      <c r="J208" s="1133"/>
      <c r="K208" s="1133"/>
      <c r="L208" s="916"/>
    </row>
    <row r="209" spans="1:12" s="103" customFormat="1" ht="15.75" hidden="1" customHeight="1" outlineLevel="1">
      <c r="A209" s="916"/>
      <c r="B209" s="1123"/>
      <c r="C209" s="1127"/>
      <c r="D209" s="1125"/>
      <c r="E209" s="1125"/>
      <c r="F209" s="1130"/>
      <c r="G209" s="95"/>
      <c r="H209" s="823"/>
      <c r="I209" s="1125"/>
      <c r="J209" s="1134"/>
      <c r="K209" s="1134"/>
      <c r="L209" s="916"/>
    </row>
    <row r="210" spans="1:12" s="103" customFormat="1" ht="15.75" hidden="1" customHeight="1" outlineLevel="1">
      <c r="A210" s="916"/>
      <c r="B210" s="1124"/>
      <c r="C210" s="1128"/>
      <c r="D210" s="1126"/>
      <c r="E210" s="1126"/>
      <c r="F210" s="1132"/>
      <c r="G210" s="100"/>
      <c r="H210" s="824"/>
      <c r="I210" s="1126"/>
      <c r="J210" s="1135"/>
      <c r="K210" s="1135"/>
      <c r="L210" s="916"/>
    </row>
    <row r="211" spans="1:12" s="103" customFormat="1" ht="15.75" hidden="1" customHeight="1" outlineLevel="1">
      <c r="A211" s="916"/>
      <c r="B211" s="1123">
        <v>67</v>
      </c>
      <c r="C211" s="1127"/>
      <c r="D211" s="1125"/>
      <c r="E211" s="1125" t="s">
        <v>18</v>
      </c>
      <c r="F211" s="1130" t="str">
        <f>VLOOKUP(E211,$N$13:$O$17,2,0)</f>
        <v>-</v>
      </c>
      <c r="G211" s="92"/>
      <c r="H211" s="823"/>
      <c r="I211" s="1125"/>
      <c r="J211" s="1133"/>
      <c r="K211" s="1133"/>
      <c r="L211" s="916"/>
    </row>
    <row r="212" spans="1:12" s="103" customFormat="1" ht="15.75" hidden="1" customHeight="1" outlineLevel="1">
      <c r="A212" s="916"/>
      <c r="B212" s="1123"/>
      <c r="C212" s="1127"/>
      <c r="D212" s="1125"/>
      <c r="E212" s="1125"/>
      <c r="F212" s="1130"/>
      <c r="G212" s="95"/>
      <c r="H212" s="823"/>
      <c r="I212" s="1125"/>
      <c r="J212" s="1134"/>
      <c r="K212" s="1134"/>
      <c r="L212" s="916"/>
    </row>
    <row r="213" spans="1:12" s="103" customFormat="1" ht="15.75" hidden="1" customHeight="1" outlineLevel="1">
      <c r="A213" s="916"/>
      <c r="B213" s="1124"/>
      <c r="C213" s="1128"/>
      <c r="D213" s="1126"/>
      <c r="E213" s="1126"/>
      <c r="F213" s="1132"/>
      <c r="G213" s="100"/>
      <c r="H213" s="824"/>
      <c r="I213" s="1126"/>
      <c r="J213" s="1135"/>
      <c r="K213" s="1135"/>
      <c r="L213" s="916"/>
    </row>
    <row r="214" spans="1:12" s="103" customFormat="1" ht="15.75" hidden="1" customHeight="1" outlineLevel="1">
      <c r="A214" s="916"/>
      <c r="B214" s="1123">
        <v>68</v>
      </c>
      <c r="C214" s="1127"/>
      <c r="D214" s="1125"/>
      <c r="E214" s="1125" t="s">
        <v>18</v>
      </c>
      <c r="F214" s="1130" t="str">
        <f>VLOOKUP(E214,$N$13:$O$17,2,0)</f>
        <v>-</v>
      </c>
      <c r="G214" s="92"/>
      <c r="H214" s="823"/>
      <c r="I214" s="1125"/>
      <c r="J214" s="1133"/>
      <c r="K214" s="1133"/>
      <c r="L214" s="916"/>
    </row>
    <row r="215" spans="1:12" s="103" customFormat="1" ht="15.75" hidden="1" customHeight="1" outlineLevel="1">
      <c r="A215" s="916"/>
      <c r="B215" s="1123"/>
      <c r="C215" s="1127"/>
      <c r="D215" s="1125"/>
      <c r="E215" s="1125"/>
      <c r="F215" s="1130"/>
      <c r="G215" s="95"/>
      <c r="H215" s="823"/>
      <c r="I215" s="1125"/>
      <c r="J215" s="1134"/>
      <c r="K215" s="1134"/>
      <c r="L215" s="916"/>
    </row>
    <row r="216" spans="1:12" s="103" customFormat="1" ht="15.75" hidden="1" customHeight="1" outlineLevel="1">
      <c r="A216" s="916"/>
      <c r="B216" s="1124"/>
      <c r="C216" s="1128"/>
      <c r="D216" s="1126"/>
      <c r="E216" s="1126"/>
      <c r="F216" s="1132"/>
      <c r="G216" s="100"/>
      <c r="H216" s="824"/>
      <c r="I216" s="1126"/>
      <c r="J216" s="1135"/>
      <c r="K216" s="1135"/>
      <c r="L216" s="916"/>
    </row>
    <row r="217" spans="1:12" s="103" customFormat="1" ht="15.75" hidden="1" customHeight="1" outlineLevel="1">
      <c r="A217" s="916"/>
      <c r="B217" s="1123">
        <v>69</v>
      </c>
      <c r="C217" s="1127"/>
      <c r="D217" s="1125"/>
      <c r="E217" s="1125" t="s">
        <v>18</v>
      </c>
      <c r="F217" s="1130" t="str">
        <f>VLOOKUP(E217,$N$13:$O$17,2,0)</f>
        <v>-</v>
      </c>
      <c r="G217" s="92"/>
      <c r="H217" s="823"/>
      <c r="I217" s="1125"/>
      <c r="J217" s="1133"/>
      <c r="K217" s="1133"/>
      <c r="L217" s="916"/>
    </row>
    <row r="218" spans="1:12" s="103" customFormat="1" ht="15.75" hidden="1" customHeight="1" outlineLevel="1">
      <c r="A218" s="916"/>
      <c r="B218" s="1123"/>
      <c r="C218" s="1127"/>
      <c r="D218" s="1125"/>
      <c r="E218" s="1125"/>
      <c r="F218" s="1130"/>
      <c r="G218" s="95"/>
      <c r="H218" s="823"/>
      <c r="I218" s="1125"/>
      <c r="J218" s="1134"/>
      <c r="K218" s="1134"/>
      <c r="L218" s="916"/>
    </row>
    <row r="219" spans="1:12" s="103" customFormat="1" ht="15.75" hidden="1" customHeight="1" outlineLevel="1">
      <c r="A219" s="916"/>
      <c r="B219" s="1124"/>
      <c r="C219" s="1128"/>
      <c r="D219" s="1126"/>
      <c r="E219" s="1126"/>
      <c r="F219" s="1132"/>
      <c r="G219" s="100"/>
      <c r="H219" s="824"/>
      <c r="I219" s="1126"/>
      <c r="J219" s="1135"/>
      <c r="K219" s="1135"/>
      <c r="L219" s="916"/>
    </row>
    <row r="220" spans="1:12" s="103" customFormat="1" ht="15.75" hidden="1" customHeight="1" outlineLevel="1">
      <c r="A220" s="916"/>
      <c r="B220" s="1123">
        <v>70</v>
      </c>
      <c r="C220" s="1127"/>
      <c r="D220" s="1125"/>
      <c r="E220" s="1125" t="s">
        <v>18</v>
      </c>
      <c r="F220" s="1130" t="str">
        <f>VLOOKUP(E220,$N$13:$O$17,2,0)</f>
        <v>-</v>
      </c>
      <c r="G220" s="92"/>
      <c r="H220" s="823"/>
      <c r="I220" s="1125"/>
      <c r="J220" s="1133"/>
      <c r="K220" s="1133"/>
      <c r="L220" s="916"/>
    </row>
    <row r="221" spans="1:12" s="103" customFormat="1" ht="15.75" hidden="1" customHeight="1" outlineLevel="1">
      <c r="A221" s="916"/>
      <c r="B221" s="1123"/>
      <c r="C221" s="1127"/>
      <c r="D221" s="1125"/>
      <c r="E221" s="1125"/>
      <c r="F221" s="1130"/>
      <c r="G221" s="95"/>
      <c r="H221" s="823"/>
      <c r="I221" s="1125"/>
      <c r="J221" s="1134"/>
      <c r="K221" s="1134"/>
      <c r="L221" s="916"/>
    </row>
    <row r="222" spans="1:12" s="103" customFormat="1" ht="15.75" hidden="1" customHeight="1" outlineLevel="1">
      <c r="A222" s="916"/>
      <c r="B222" s="1124"/>
      <c r="C222" s="1128"/>
      <c r="D222" s="1126"/>
      <c r="E222" s="1126"/>
      <c r="F222" s="1132"/>
      <c r="G222" s="100"/>
      <c r="H222" s="824"/>
      <c r="I222" s="1126"/>
      <c r="J222" s="1135"/>
      <c r="K222" s="1135"/>
      <c r="L222" s="916"/>
    </row>
    <row r="223" spans="1:12" s="103" customFormat="1" ht="15.75" hidden="1" customHeight="1" outlineLevel="1">
      <c r="A223" s="916"/>
      <c r="B223" s="1123">
        <v>71</v>
      </c>
      <c r="C223" s="1127"/>
      <c r="D223" s="1125"/>
      <c r="E223" s="1125" t="s">
        <v>18</v>
      </c>
      <c r="F223" s="1130" t="str">
        <f>VLOOKUP(E223,$N$13:$O$17,2,0)</f>
        <v>-</v>
      </c>
      <c r="G223" s="92"/>
      <c r="H223" s="823"/>
      <c r="I223" s="1125"/>
      <c r="J223" s="1133"/>
      <c r="K223" s="1133"/>
      <c r="L223" s="916"/>
    </row>
    <row r="224" spans="1:12" s="103" customFormat="1" ht="15.75" hidden="1" customHeight="1" outlineLevel="1">
      <c r="A224" s="916"/>
      <c r="B224" s="1123"/>
      <c r="C224" s="1127"/>
      <c r="D224" s="1125"/>
      <c r="E224" s="1125"/>
      <c r="F224" s="1130"/>
      <c r="G224" s="95"/>
      <c r="H224" s="823"/>
      <c r="I224" s="1125"/>
      <c r="J224" s="1134"/>
      <c r="K224" s="1134"/>
      <c r="L224" s="916"/>
    </row>
    <row r="225" spans="1:12" s="103" customFormat="1" ht="15.75" hidden="1" customHeight="1" outlineLevel="1">
      <c r="A225" s="916"/>
      <c r="B225" s="1124"/>
      <c r="C225" s="1128"/>
      <c r="D225" s="1126"/>
      <c r="E225" s="1126"/>
      <c r="F225" s="1132"/>
      <c r="G225" s="100"/>
      <c r="H225" s="824"/>
      <c r="I225" s="1126"/>
      <c r="J225" s="1135"/>
      <c r="K225" s="1135"/>
      <c r="L225" s="916"/>
    </row>
    <row r="226" spans="1:12" s="103" customFormat="1" ht="15.75" hidden="1" customHeight="1" outlineLevel="1">
      <c r="A226" s="916"/>
      <c r="B226" s="1123">
        <v>72</v>
      </c>
      <c r="C226" s="1127"/>
      <c r="D226" s="1125"/>
      <c r="E226" s="1125" t="s">
        <v>18</v>
      </c>
      <c r="F226" s="1130" t="str">
        <f>VLOOKUP(E226,$N$13:$O$17,2,0)</f>
        <v>-</v>
      </c>
      <c r="G226" s="92"/>
      <c r="H226" s="823"/>
      <c r="I226" s="1125"/>
      <c r="J226" s="1133"/>
      <c r="K226" s="1133"/>
      <c r="L226" s="916"/>
    </row>
    <row r="227" spans="1:12" s="103" customFormat="1" ht="15.75" hidden="1" customHeight="1" outlineLevel="1">
      <c r="A227" s="916"/>
      <c r="B227" s="1123"/>
      <c r="C227" s="1127"/>
      <c r="D227" s="1125"/>
      <c r="E227" s="1125"/>
      <c r="F227" s="1130"/>
      <c r="G227" s="95"/>
      <c r="H227" s="823"/>
      <c r="I227" s="1125"/>
      <c r="J227" s="1134"/>
      <c r="K227" s="1134"/>
      <c r="L227" s="916"/>
    </row>
    <row r="228" spans="1:12" s="103" customFormat="1" ht="15.75" hidden="1" customHeight="1" outlineLevel="1">
      <c r="A228" s="916"/>
      <c r="B228" s="1124"/>
      <c r="C228" s="1128"/>
      <c r="D228" s="1126"/>
      <c r="E228" s="1126"/>
      <c r="F228" s="1132"/>
      <c r="G228" s="100"/>
      <c r="H228" s="824"/>
      <c r="I228" s="1126"/>
      <c r="J228" s="1135"/>
      <c r="K228" s="1135"/>
      <c r="L228" s="916"/>
    </row>
    <row r="229" spans="1:12" s="103" customFormat="1" ht="15.75" hidden="1" customHeight="1" outlineLevel="1">
      <c r="A229" s="916"/>
      <c r="B229" s="1123">
        <v>73</v>
      </c>
      <c r="C229" s="1127"/>
      <c r="D229" s="1125"/>
      <c r="E229" s="1125" t="s">
        <v>18</v>
      </c>
      <c r="F229" s="1130" t="str">
        <f>VLOOKUP(E229,$N$13:$O$17,2,0)</f>
        <v>-</v>
      </c>
      <c r="G229" s="92"/>
      <c r="H229" s="823"/>
      <c r="I229" s="1125"/>
      <c r="J229" s="1133"/>
      <c r="K229" s="1133"/>
      <c r="L229" s="916"/>
    </row>
    <row r="230" spans="1:12" s="103" customFormat="1" ht="15.75" hidden="1" customHeight="1" outlineLevel="1">
      <c r="A230" s="916"/>
      <c r="B230" s="1123"/>
      <c r="C230" s="1127"/>
      <c r="D230" s="1125"/>
      <c r="E230" s="1125"/>
      <c r="F230" s="1130"/>
      <c r="G230" s="95"/>
      <c r="H230" s="823"/>
      <c r="I230" s="1125"/>
      <c r="J230" s="1134"/>
      <c r="K230" s="1134"/>
      <c r="L230" s="916"/>
    </row>
    <row r="231" spans="1:12" s="103" customFormat="1" ht="15.75" hidden="1" customHeight="1" outlineLevel="1">
      <c r="A231" s="916"/>
      <c r="B231" s="1124"/>
      <c r="C231" s="1128"/>
      <c r="D231" s="1126"/>
      <c r="E231" s="1126"/>
      <c r="F231" s="1132"/>
      <c r="G231" s="100"/>
      <c r="H231" s="824"/>
      <c r="I231" s="1126"/>
      <c r="J231" s="1135"/>
      <c r="K231" s="1135"/>
      <c r="L231" s="916"/>
    </row>
    <row r="232" spans="1:12" s="103" customFormat="1" ht="15.75" hidden="1" customHeight="1" outlineLevel="1">
      <c r="A232" s="916"/>
      <c r="B232" s="1123">
        <v>74</v>
      </c>
      <c r="C232" s="1127"/>
      <c r="D232" s="1125"/>
      <c r="E232" s="1125" t="s">
        <v>18</v>
      </c>
      <c r="F232" s="1130" t="str">
        <f>VLOOKUP(E232,$N$13:$O$17,2,0)</f>
        <v>-</v>
      </c>
      <c r="G232" s="92"/>
      <c r="H232" s="823"/>
      <c r="I232" s="1125"/>
      <c r="J232" s="1133"/>
      <c r="K232" s="1133"/>
      <c r="L232" s="916"/>
    </row>
    <row r="233" spans="1:12" s="103" customFormat="1" ht="15.75" hidden="1" customHeight="1" outlineLevel="1">
      <c r="A233" s="916"/>
      <c r="B233" s="1123"/>
      <c r="C233" s="1127"/>
      <c r="D233" s="1125"/>
      <c r="E233" s="1125"/>
      <c r="F233" s="1130"/>
      <c r="G233" s="95"/>
      <c r="H233" s="823"/>
      <c r="I233" s="1125"/>
      <c r="J233" s="1134"/>
      <c r="K233" s="1134"/>
      <c r="L233" s="916"/>
    </row>
    <row r="234" spans="1:12" s="103" customFormat="1" ht="15.75" hidden="1" customHeight="1" outlineLevel="1">
      <c r="A234" s="916"/>
      <c r="B234" s="1124"/>
      <c r="C234" s="1128"/>
      <c r="D234" s="1126"/>
      <c r="E234" s="1126"/>
      <c r="F234" s="1132"/>
      <c r="G234" s="100"/>
      <c r="H234" s="824"/>
      <c r="I234" s="1126"/>
      <c r="J234" s="1135"/>
      <c r="K234" s="1135"/>
      <c r="L234" s="916"/>
    </row>
    <row r="235" spans="1:12" s="103" customFormat="1" ht="15.75" hidden="1" customHeight="1" outlineLevel="1">
      <c r="A235" s="916"/>
      <c r="B235" s="1123">
        <v>75</v>
      </c>
      <c r="C235" s="1127"/>
      <c r="D235" s="1125"/>
      <c r="E235" s="1125" t="s">
        <v>18</v>
      </c>
      <c r="F235" s="1130" t="str">
        <f>VLOOKUP(E235,$N$13:$O$17,2,0)</f>
        <v>-</v>
      </c>
      <c r="G235" s="92"/>
      <c r="H235" s="823"/>
      <c r="I235" s="1125"/>
      <c r="J235" s="1133"/>
      <c r="K235" s="1133"/>
      <c r="L235" s="916"/>
    </row>
    <row r="236" spans="1:12" s="103" customFormat="1" ht="15.75" hidden="1" customHeight="1" outlineLevel="1">
      <c r="A236" s="916"/>
      <c r="B236" s="1123"/>
      <c r="C236" s="1127"/>
      <c r="D236" s="1125"/>
      <c r="E236" s="1125"/>
      <c r="F236" s="1130"/>
      <c r="G236" s="95"/>
      <c r="H236" s="823"/>
      <c r="I236" s="1125"/>
      <c r="J236" s="1134"/>
      <c r="K236" s="1134"/>
      <c r="L236" s="916"/>
    </row>
    <row r="237" spans="1:12" s="103" customFormat="1" ht="15.75" hidden="1" customHeight="1" outlineLevel="1">
      <c r="A237" s="916"/>
      <c r="B237" s="1124"/>
      <c r="C237" s="1128"/>
      <c r="D237" s="1126"/>
      <c r="E237" s="1126"/>
      <c r="F237" s="1132"/>
      <c r="G237" s="100"/>
      <c r="H237" s="824"/>
      <c r="I237" s="1126"/>
      <c r="J237" s="1135"/>
      <c r="K237" s="1135"/>
      <c r="L237" s="916"/>
    </row>
    <row r="238" spans="1:12" s="103" customFormat="1" ht="15.75" hidden="1" customHeight="1" outlineLevel="1">
      <c r="A238" s="916"/>
      <c r="B238" s="1123">
        <v>76</v>
      </c>
      <c r="C238" s="1127"/>
      <c r="D238" s="1125"/>
      <c r="E238" s="1125" t="s">
        <v>18</v>
      </c>
      <c r="F238" s="1130" t="str">
        <f>VLOOKUP(E238,$N$13:$O$17,2,0)</f>
        <v>-</v>
      </c>
      <c r="G238" s="92"/>
      <c r="H238" s="823"/>
      <c r="I238" s="1125"/>
      <c r="J238" s="1133"/>
      <c r="K238" s="1133"/>
      <c r="L238" s="916"/>
    </row>
    <row r="239" spans="1:12" s="103" customFormat="1" ht="15.75" hidden="1" customHeight="1" outlineLevel="1">
      <c r="A239" s="916"/>
      <c r="B239" s="1123"/>
      <c r="C239" s="1127"/>
      <c r="D239" s="1125"/>
      <c r="E239" s="1125"/>
      <c r="F239" s="1130"/>
      <c r="G239" s="95"/>
      <c r="H239" s="823"/>
      <c r="I239" s="1125"/>
      <c r="J239" s="1134"/>
      <c r="K239" s="1134"/>
      <c r="L239" s="916"/>
    </row>
    <row r="240" spans="1:12" s="103" customFormat="1" ht="15.75" hidden="1" customHeight="1" outlineLevel="1">
      <c r="A240" s="916"/>
      <c r="B240" s="1124"/>
      <c r="C240" s="1128"/>
      <c r="D240" s="1126"/>
      <c r="E240" s="1126"/>
      <c r="F240" s="1132"/>
      <c r="G240" s="100"/>
      <c r="H240" s="824"/>
      <c r="I240" s="1126"/>
      <c r="J240" s="1135"/>
      <c r="K240" s="1135"/>
      <c r="L240" s="916"/>
    </row>
    <row r="241" spans="1:12" s="103" customFormat="1" ht="15.75" hidden="1" customHeight="1" outlineLevel="1">
      <c r="A241" s="916"/>
      <c r="B241" s="1123">
        <v>77</v>
      </c>
      <c r="C241" s="1127"/>
      <c r="D241" s="1125"/>
      <c r="E241" s="1125" t="s">
        <v>18</v>
      </c>
      <c r="F241" s="1130" t="str">
        <f>VLOOKUP(E241,$N$13:$O$17,2,0)</f>
        <v>-</v>
      </c>
      <c r="G241" s="92"/>
      <c r="H241" s="823"/>
      <c r="I241" s="1125"/>
      <c r="J241" s="1133"/>
      <c r="K241" s="1133"/>
      <c r="L241" s="916"/>
    </row>
    <row r="242" spans="1:12" s="103" customFormat="1" ht="15.75" hidden="1" customHeight="1" outlineLevel="1">
      <c r="A242" s="916"/>
      <c r="B242" s="1123"/>
      <c r="C242" s="1127"/>
      <c r="D242" s="1125"/>
      <c r="E242" s="1125"/>
      <c r="F242" s="1130"/>
      <c r="G242" s="95"/>
      <c r="H242" s="823"/>
      <c r="I242" s="1125"/>
      <c r="J242" s="1134"/>
      <c r="K242" s="1134"/>
      <c r="L242" s="916"/>
    </row>
    <row r="243" spans="1:12" s="103" customFormat="1" ht="15.75" hidden="1" customHeight="1" outlineLevel="1">
      <c r="A243" s="916"/>
      <c r="B243" s="1124"/>
      <c r="C243" s="1128"/>
      <c r="D243" s="1126"/>
      <c r="E243" s="1126"/>
      <c r="F243" s="1132"/>
      <c r="G243" s="100"/>
      <c r="H243" s="824"/>
      <c r="I243" s="1126"/>
      <c r="J243" s="1135"/>
      <c r="K243" s="1135"/>
      <c r="L243" s="916"/>
    </row>
    <row r="244" spans="1:12" s="103" customFormat="1" ht="15.75" hidden="1" customHeight="1" outlineLevel="1">
      <c r="A244" s="916"/>
      <c r="B244" s="1123">
        <v>78</v>
      </c>
      <c r="C244" s="1127"/>
      <c r="D244" s="1125"/>
      <c r="E244" s="1125" t="s">
        <v>18</v>
      </c>
      <c r="F244" s="1130" t="str">
        <f>VLOOKUP(E244,$N$13:$O$17,2,0)</f>
        <v>-</v>
      </c>
      <c r="G244" s="92"/>
      <c r="H244" s="823"/>
      <c r="I244" s="1125"/>
      <c r="J244" s="1133"/>
      <c r="K244" s="1133"/>
      <c r="L244" s="916"/>
    </row>
    <row r="245" spans="1:12" s="103" customFormat="1" ht="15.75" hidden="1" customHeight="1" outlineLevel="1">
      <c r="A245" s="916"/>
      <c r="B245" s="1123"/>
      <c r="C245" s="1127"/>
      <c r="D245" s="1125"/>
      <c r="E245" s="1125"/>
      <c r="F245" s="1130"/>
      <c r="G245" s="95"/>
      <c r="H245" s="823"/>
      <c r="I245" s="1125"/>
      <c r="J245" s="1134"/>
      <c r="K245" s="1134"/>
      <c r="L245" s="916"/>
    </row>
    <row r="246" spans="1:12" s="103" customFormat="1" ht="15.75" hidden="1" customHeight="1" outlineLevel="1">
      <c r="A246" s="916"/>
      <c r="B246" s="1124"/>
      <c r="C246" s="1128"/>
      <c r="D246" s="1126"/>
      <c r="E246" s="1126"/>
      <c r="F246" s="1132"/>
      <c r="G246" s="100"/>
      <c r="H246" s="824"/>
      <c r="I246" s="1126"/>
      <c r="J246" s="1135"/>
      <c r="K246" s="1135"/>
      <c r="L246" s="916"/>
    </row>
    <row r="247" spans="1:12" s="103" customFormat="1" ht="15.75" hidden="1" customHeight="1" outlineLevel="1">
      <c r="A247" s="916"/>
      <c r="B247" s="1123">
        <v>79</v>
      </c>
      <c r="C247" s="1127"/>
      <c r="D247" s="1125"/>
      <c r="E247" s="1125" t="s">
        <v>18</v>
      </c>
      <c r="F247" s="1130" t="str">
        <f>VLOOKUP(E247,$N$13:$O$17,2,0)</f>
        <v>-</v>
      </c>
      <c r="G247" s="92"/>
      <c r="H247" s="823"/>
      <c r="I247" s="1125"/>
      <c r="J247" s="1133"/>
      <c r="K247" s="1133"/>
      <c r="L247" s="916"/>
    </row>
    <row r="248" spans="1:12" s="103" customFormat="1" ht="15.75" hidden="1" customHeight="1" outlineLevel="1">
      <c r="A248" s="916"/>
      <c r="B248" s="1123"/>
      <c r="C248" s="1127"/>
      <c r="D248" s="1125"/>
      <c r="E248" s="1125"/>
      <c r="F248" s="1130"/>
      <c r="G248" s="95"/>
      <c r="H248" s="823"/>
      <c r="I248" s="1125"/>
      <c r="J248" s="1134"/>
      <c r="K248" s="1134"/>
      <c r="L248" s="916"/>
    </row>
    <row r="249" spans="1:12" s="103" customFormat="1" ht="15.75" hidden="1" customHeight="1" outlineLevel="1">
      <c r="A249" s="916"/>
      <c r="B249" s="1124"/>
      <c r="C249" s="1128"/>
      <c r="D249" s="1126"/>
      <c r="E249" s="1126"/>
      <c r="F249" s="1132"/>
      <c r="G249" s="100"/>
      <c r="H249" s="824"/>
      <c r="I249" s="1126"/>
      <c r="J249" s="1135"/>
      <c r="K249" s="1135"/>
      <c r="L249" s="916"/>
    </row>
    <row r="250" spans="1:12" s="103" customFormat="1" ht="15.75" hidden="1" customHeight="1" outlineLevel="1">
      <c r="A250" s="916"/>
      <c r="B250" s="1123">
        <v>80</v>
      </c>
      <c r="C250" s="1127"/>
      <c r="D250" s="1125"/>
      <c r="E250" s="1125" t="s">
        <v>18</v>
      </c>
      <c r="F250" s="1130" t="str">
        <f>VLOOKUP(E250,$N$13:$O$17,2,0)</f>
        <v>-</v>
      </c>
      <c r="G250" s="92"/>
      <c r="H250" s="823"/>
      <c r="I250" s="1125"/>
      <c r="J250" s="1133"/>
      <c r="K250" s="1133"/>
      <c r="L250" s="916"/>
    </row>
    <row r="251" spans="1:12" s="103" customFormat="1" ht="15.75" hidden="1" customHeight="1" outlineLevel="1">
      <c r="A251" s="916"/>
      <c r="B251" s="1123"/>
      <c r="C251" s="1127"/>
      <c r="D251" s="1125"/>
      <c r="E251" s="1125"/>
      <c r="F251" s="1130"/>
      <c r="G251" s="95"/>
      <c r="H251" s="823"/>
      <c r="I251" s="1125"/>
      <c r="J251" s="1134"/>
      <c r="K251" s="1134"/>
      <c r="L251" s="916"/>
    </row>
    <row r="252" spans="1:12" s="103" customFormat="1" ht="15.75" hidden="1" customHeight="1" outlineLevel="1">
      <c r="A252" s="916"/>
      <c r="B252" s="1124"/>
      <c r="C252" s="1128"/>
      <c r="D252" s="1126"/>
      <c r="E252" s="1126"/>
      <c r="F252" s="1132"/>
      <c r="G252" s="100"/>
      <c r="H252" s="824"/>
      <c r="I252" s="1126"/>
      <c r="J252" s="1135"/>
      <c r="K252" s="1135"/>
      <c r="L252" s="916"/>
    </row>
    <row r="253" spans="1:12" s="103" customFormat="1" ht="15.75" hidden="1" customHeight="1" outlineLevel="1">
      <c r="A253" s="916"/>
      <c r="B253" s="1123">
        <v>81</v>
      </c>
      <c r="C253" s="1127"/>
      <c r="D253" s="1125"/>
      <c r="E253" s="1125" t="s">
        <v>18</v>
      </c>
      <c r="F253" s="1130" t="str">
        <f>VLOOKUP(E253,$N$13:$O$17,2,0)</f>
        <v>-</v>
      </c>
      <c r="G253" s="92"/>
      <c r="H253" s="823"/>
      <c r="I253" s="1125"/>
      <c r="J253" s="1133"/>
      <c r="K253" s="1133"/>
      <c r="L253" s="916"/>
    </row>
    <row r="254" spans="1:12" s="103" customFormat="1" ht="15.75" hidden="1" customHeight="1" outlineLevel="1">
      <c r="A254" s="916"/>
      <c r="B254" s="1123"/>
      <c r="C254" s="1127"/>
      <c r="D254" s="1125"/>
      <c r="E254" s="1125"/>
      <c r="F254" s="1130"/>
      <c r="G254" s="95"/>
      <c r="H254" s="823"/>
      <c r="I254" s="1125"/>
      <c r="J254" s="1134"/>
      <c r="K254" s="1134"/>
      <c r="L254" s="916"/>
    </row>
    <row r="255" spans="1:12" s="103" customFormat="1" ht="15.75" hidden="1" customHeight="1" outlineLevel="1">
      <c r="A255" s="916"/>
      <c r="B255" s="1124"/>
      <c r="C255" s="1128"/>
      <c r="D255" s="1126"/>
      <c r="E255" s="1126"/>
      <c r="F255" s="1132"/>
      <c r="G255" s="100"/>
      <c r="H255" s="824"/>
      <c r="I255" s="1126"/>
      <c r="J255" s="1135"/>
      <c r="K255" s="1135"/>
      <c r="L255" s="916"/>
    </row>
    <row r="256" spans="1:12" s="103" customFormat="1" ht="15.75" hidden="1" customHeight="1" outlineLevel="1">
      <c r="A256" s="916"/>
      <c r="B256" s="1123">
        <v>82</v>
      </c>
      <c r="C256" s="1127"/>
      <c r="D256" s="1125"/>
      <c r="E256" s="1125" t="s">
        <v>18</v>
      </c>
      <c r="F256" s="1130" t="str">
        <f>VLOOKUP(E256,$N$13:$O$17,2,0)</f>
        <v>-</v>
      </c>
      <c r="G256" s="92"/>
      <c r="H256" s="823"/>
      <c r="I256" s="1125"/>
      <c r="J256" s="1133"/>
      <c r="K256" s="1133"/>
      <c r="L256" s="916"/>
    </row>
    <row r="257" spans="1:12" s="103" customFormat="1" ht="15.75" hidden="1" customHeight="1" outlineLevel="1">
      <c r="A257" s="916"/>
      <c r="B257" s="1123"/>
      <c r="C257" s="1127"/>
      <c r="D257" s="1125"/>
      <c r="E257" s="1125"/>
      <c r="F257" s="1130"/>
      <c r="G257" s="95"/>
      <c r="H257" s="823"/>
      <c r="I257" s="1125"/>
      <c r="J257" s="1134"/>
      <c r="K257" s="1134"/>
      <c r="L257" s="916"/>
    </row>
    <row r="258" spans="1:12" s="103" customFormat="1" ht="15.75" hidden="1" customHeight="1" outlineLevel="1">
      <c r="A258" s="916"/>
      <c r="B258" s="1124"/>
      <c r="C258" s="1128"/>
      <c r="D258" s="1126"/>
      <c r="E258" s="1126"/>
      <c r="F258" s="1132"/>
      <c r="G258" s="100"/>
      <c r="H258" s="824"/>
      <c r="I258" s="1126"/>
      <c r="J258" s="1135"/>
      <c r="K258" s="1135"/>
      <c r="L258" s="916"/>
    </row>
    <row r="259" spans="1:12" s="103" customFormat="1" ht="15.75" hidden="1" customHeight="1" outlineLevel="1">
      <c r="A259" s="916"/>
      <c r="B259" s="1123">
        <v>83</v>
      </c>
      <c r="C259" s="1127"/>
      <c r="D259" s="1125"/>
      <c r="E259" s="1125" t="s">
        <v>18</v>
      </c>
      <c r="F259" s="1130" t="str">
        <f>VLOOKUP(E259,$N$13:$O$17,2,0)</f>
        <v>-</v>
      </c>
      <c r="G259" s="92"/>
      <c r="H259" s="823"/>
      <c r="I259" s="1125"/>
      <c r="J259" s="1133"/>
      <c r="K259" s="1133"/>
      <c r="L259" s="916"/>
    </row>
    <row r="260" spans="1:12" s="103" customFormat="1" ht="15.75" hidden="1" customHeight="1" outlineLevel="1">
      <c r="A260" s="916"/>
      <c r="B260" s="1123"/>
      <c r="C260" s="1127"/>
      <c r="D260" s="1125"/>
      <c r="E260" s="1125"/>
      <c r="F260" s="1130"/>
      <c r="G260" s="95"/>
      <c r="H260" s="823"/>
      <c r="I260" s="1125"/>
      <c r="J260" s="1134"/>
      <c r="K260" s="1134"/>
      <c r="L260" s="916"/>
    </row>
    <row r="261" spans="1:12" s="103" customFormat="1" ht="15.75" hidden="1" customHeight="1" outlineLevel="1">
      <c r="A261" s="916"/>
      <c r="B261" s="1124"/>
      <c r="C261" s="1128"/>
      <c r="D261" s="1126"/>
      <c r="E261" s="1126"/>
      <c r="F261" s="1132"/>
      <c r="G261" s="100"/>
      <c r="H261" s="824"/>
      <c r="I261" s="1126"/>
      <c r="J261" s="1135"/>
      <c r="K261" s="1135"/>
      <c r="L261" s="916"/>
    </row>
    <row r="262" spans="1:12" s="103" customFormat="1" ht="15.75" hidden="1" customHeight="1" outlineLevel="1">
      <c r="A262" s="916"/>
      <c r="B262" s="1123">
        <v>84</v>
      </c>
      <c r="C262" s="1127"/>
      <c r="D262" s="1125"/>
      <c r="E262" s="1125" t="s">
        <v>18</v>
      </c>
      <c r="F262" s="1130" t="str">
        <f>VLOOKUP(E262,$N$13:$O$17,2,0)</f>
        <v>-</v>
      </c>
      <c r="G262" s="92"/>
      <c r="H262" s="823"/>
      <c r="I262" s="1125"/>
      <c r="J262" s="1133"/>
      <c r="K262" s="1133"/>
      <c r="L262" s="916"/>
    </row>
    <row r="263" spans="1:12" s="103" customFormat="1" ht="15.75" hidden="1" customHeight="1" outlineLevel="1">
      <c r="A263" s="916"/>
      <c r="B263" s="1123"/>
      <c r="C263" s="1127"/>
      <c r="D263" s="1125"/>
      <c r="E263" s="1125"/>
      <c r="F263" s="1130"/>
      <c r="G263" s="95"/>
      <c r="H263" s="823"/>
      <c r="I263" s="1125"/>
      <c r="J263" s="1134"/>
      <c r="K263" s="1134"/>
      <c r="L263" s="916"/>
    </row>
    <row r="264" spans="1:12" s="103" customFormat="1" ht="15.75" hidden="1" customHeight="1" outlineLevel="1">
      <c r="A264" s="916"/>
      <c r="B264" s="1124"/>
      <c r="C264" s="1128"/>
      <c r="D264" s="1126"/>
      <c r="E264" s="1126"/>
      <c r="F264" s="1132"/>
      <c r="G264" s="100"/>
      <c r="H264" s="824"/>
      <c r="I264" s="1126"/>
      <c r="J264" s="1135"/>
      <c r="K264" s="1135"/>
      <c r="L264" s="916"/>
    </row>
    <row r="265" spans="1:12" s="103" customFormat="1" ht="15.75" hidden="1" customHeight="1" outlineLevel="1">
      <c r="A265" s="916"/>
      <c r="B265" s="1123">
        <v>85</v>
      </c>
      <c r="C265" s="1127"/>
      <c r="D265" s="1125"/>
      <c r="E265" s="1125" t="s">
        <v>18</v>
      </c>
      <c r="F265" s="1130" t="str">
        <f>VLOOKUP(E265,$N$13:$O$17,2,0)</f>
        <v>-</v>
      </c>
      <c r="G265" s="92"/>
      <c r="H265" s="823"/>
      <c r="I265" s="1125"/>
      <c r="J265" s="1133"/>
      <c r="K265" s="1133"/>
      <c r="L265" s="916"/>
    </row>
    <row r="266" spans="1:12" s="103" customFormat="1" ht="15.75" hidden="1" customHeight="1" outlineLevel="1">
      <c r="A266" s="916"/>
      <c r="B266" s="1123"/>
      <c r="C266" s="1127"/>
      <c r="D266" s="1125"/>
      <c r="E266" s="1125"/>
      <c r="F266" s="1130"/>
      <c r="G266" s="95"/>
      <c r="H266" s="823"/>
      <c r="I266" s="1125"/>
      <c r="J266" s="1134"/>
      <c r="K266" s="1134"/>
      <c r="L266" s="916"/>
    </row>
    <row r="267" spans="1:12" s="103" customFormat="1" ht="15.75" hidden="1" customHeight="1" outlineLevel="1">
      <c r="A267" s="916"/>
      <c r="B267" s="1124"/>
      <c r="C267" s="1128"/>
      <c r="D267" s="1126"/>
      <c r="E267" s="1126"/>
      <c r="F267" s="1132"/>
      <c r="G267" s="100"/>
      <c r="H267" s="824"/>
      <c r="I267" s="1126"/>
      <c r="J267" s="1135"/>
      <c r="K267" s="1135"/>
      <c r="L267" s="916"/>
    </row>
    <row r="268" spans="1:12" s="103" customFormat="1" ht="15.75" hidden="1" customHeight="1" outlineLevel="1">
      <c r="A268" s="916"/>
      <c r="B268" s="1123">
        <v>86</v>
      </c>
      <c r="C268" s="1127"/>
      <c r="D268" s="1125"/>
      <c r="E268" s="1125" t="s">
        <v>18</v>
      </c>
      <c r="F268" s="1130" t="str">
        <f>VLOOKUP(E268,$N$13:$O$17,2,0)</f>
        <v>-</v>
      </c>
      <c r="G268" s="92"/>
      <c r="H268" s="823"/>
      <c r="I268" s="1125"/>
      <c r="J268" s="1133"/>
      <c r="K268" s="1133"/>
      <c r="L268" s="916"/>
    </row>
    <row r="269" spans="1:12" s="103" customFormat="1" ht="15.75" hidden="1" customHeight="1" outlineLevel="1">
      <c r="A269" s="916"/>
      <c r="B269" s="1123"/>
      <c r="C269" s="1127"/>
      <c r="D269" s="1125"/>
      <c r="E269" s="1125"/>
      <c r="F269" s="1130"/>
      <c r="G269" s="95"/>
      <c r="H269" s="823"/>
      <c r="I269" s="1125"/>
      <c r="J269" s="1134"/>
      <c r="K269" s="1134"/>
      <c r="L269" s="916"/>
    </row>
    <row r="270" spans="1:12" s="103" customFormat="1" ht="15.75" hidden="1" customHeight="1" outlineLevel="1">
      <c r="A270" s="916"/>
      <c r="B270" s="1124"/>
      <c r="C270" s="1128"/>
      <c r="D270" s="1126"/>
      <c r="E270" s="1126"/>
      <c r="F270" s="1132"/>
      <c r="G270" s="100"/>
      <c r="H270" s="824"/>
      <c r="I270" s="1126"/>
      <c r="J270" s="1135"/>
      <c r="K270" s="1135"/>
      <c r="L270" s="916"/>
    </row>
    <row r="271" spans="1:12" s="103" customFormat="1" ht="15.75" hidden="1" customHeight="1" outlineLevel="1">
      <c r="A271" s="916"/>
      <c r="B271" s="1123">
        <v>87</v>
      </c>
      <c r="C271" s="1127"/>
      <c r="D271" s="1125"/>
      <c r="E271" s="1125" t="s">
        <v>18</v>
      </c>
      <c r="F271" s="1130" t="str">
        <f>VLOOKUP(E271,$N$13:$O$17,2,0)</f>
        <v>-</v>
      </c>
      <c r="G271" s="92"/>
      <c r="H271" s="823"/>
      <c r="I271" s="1125"/>
      <c r="J271" s="1133"/>
      <c r="K271" s="1133"/>
      <c r="L271" s="916"/>
    </row>
    <row r="272" spans="1:12" s="103" customFormat="1" ht="15.75" hidden="1" customHeight="1" outlineLevel="1">
      <c r="A272" s="916"/>
      <c r="B272" s="1123"/>
      <c r="C272" s="1127"/>
      <c r="D272" s="1125"/>
      <c r="E272" s="1125"/>
      <c r="F272" s="1130"/>
      <c r="G272" s="95"/>
      <c r="H272" s="823"/>
      <c r="I272" s="1125"/>
      <c r="J272" s="1134"/>
      <c r="K272" s="1134"/>
      <c r="L272" s="916"/>
    </row>
    <row r="273" spans="1:12" s="103" customFormat="1" ht="15.75" hidden="1" customHeight="1" outlineLevel="1">
      <c r="A273" s="916"/>
      <c r="B273" s="1124"/>
      <c r="C273" s="1128"/>
      <c r="D273" s="1126"/>
      <c r="E273" s="1126"/>
      <c r="F273" s="1132"/>
      <c r="G273" s="100"/>
      <c r="H273" s="824"/>
      <c r="I273" s="1126"/>
      <c r="J273" s="1135"/>
      <c r="K273" s="1135"/>
      <c r="L273" s="916"/>
    </row>
    <row r="274" spans="1:12" s="103" customFormat="1" ht="15.75" hidden="1" customHeight="1" outlineLevel="1">
      <c r="A274" s="916"/>
      <c r="B274" s="1123">
        <v>88</v>
      </c>
      <c r="C274" s="1127"/>
      <c r="D274" s="1125"/>
      <c r="E274" s="1125" t="s">
        <v>18</v>
      </c>
      <c r="F274" s="1130" t="str">
        <f>VLOOKUP(E274,$N$13:$O$17,2,0)</f>
        <v>-</v>
      </c>
      <c r="G274" s="92"/>
      <c r="H274" s="823"/>
      <c r="I274" s="1125"/>
      <c r="J274" s="1133"/>
      <c r="K274" s="1133"/>
      <c r="L274" s="916"/>
    </row>
    <row r="275" spans="1:12" s="103" customFormat="1" ht="15.75" hidden="1" customHeight="1" outlineLevel="1">
      <c r="A275" s="916"/>
      <c r="B275" s="1123"/>
      <c r="C275" s="1127"/>
      <c r="D275" s="1125"/>
      <c r="E275" s="1125"/>
      <c r="F275" s="1130"/>
      <c r="G275" s="95"/>
      <c r="H275" s="823"/>
      <c r="I275" s="1125"/>
      <c r="J275" s="1134"/>
      <c r="K275" s="1134"/>
      <c r="L275" s="916"/>
    </row>
    <row r="276" spans="1:12" s="103" customFormat="1" ht="15.75" hidden="1" customHeight="1" outlineLevel="1">
      <c r="A276" s="916"/>
      <c r="B276" s="1124"/>
      <c r="C276" s="1128"/>
      <c r="D276" s="1126"/>
      <c r="E276" s="1126"/>
      <c r="F276" s="1132"/>
      <c r="G276" s="100"/>
      <c r="H276" s="824"/>
      <c r="I276" s="1126"/>
      <c r="J276" s="1135"/>
      <c r="K276" s="1135"/>
      <c r="L276" s="916"/>
    </row>
    <row r="277" spans="1:12" s="103" customFormat="1" ht="15.75" hidden="1" customHeight="1" outlineLevel="1">
      <c r="A277" s="916"/>
      <c r="B277" s="1123">
        <v>89</v>
      </c>
      <c r="C277" s="1127"/>
      <c r="D277" s="1125"/>
      <c r="E277" s="1125" t="s">
        <v>18</v>
      </c>
      <c r="F277" s="1130" t="str">
        <f>VLOOKUP(E277,$N$13:$O$17,2,0)</f>
        <v>-</v>
      </c>
      <c r="G277" s="92"/>
      <c r="H277" s="823"/>
      <c r="I277" s="1125"/>
      <c r="J277" s="1133"/>
      <c r="K277" s="1133"/>
      <c r="L277" s="916"/>
    </row>
    <row r="278" spans="1:12" s="103" customFormat="1" ht="15.75" hidden="1" customHeight="1" outlineLevel="1">
      <c r="A278" s="916"/>
      <c r="B278" s="1123"/>
      <c r="C278" s="1127"/>
      <c r="D278" s="1125"/>
      <c r="E278" s="1125"/>
      <c r="F278" s="1130"/>
      <c r="G278" s="95"/>
      <c r="H278" s="823"/>
      <c r="I278" s="1125"/>
      <c r="J278" s="1134"/>
      <c r="K278" s="1134"/>
      <c r="L278" s="916"/>
    </row>
    <row r="279" spans="1:12" s="103" customFormat="1" ht="15.75" hidden="1" customHeight="1" outlineLevel="1">
      <c r="A279" s="916"/>
      <c r="B279" s="1124"/>
      <c r="C279" s="1128"/>
      <c r="D279" s="1126"/>
      <c r="E279" s="1126"/>
      <c r="F279" s="1132"/>
      <c r="G279" s="100"/>
      <c r="H279" s="824"/>
      <c r="I279" s="1126"/>
      <c r="J279" s="1135"/>
      <c r="K279" s="1135"/>
      <c r="L279" s="916"/>
    </row>
    <row r="280" spans="1:12" s="103" customFormat="1" ht="15.75" hidden="1" customHeight="1" outlineLevel="1">
      <c r="A280" s="916"/>
      <c r="B280" s="1123">
        <v>90</v>
      </c>
      <c r="C280" s="1127"/>
      <c r="D280" s="1125"/>
      <c r="E280" s="1125" t="s">
        <v>18</v>
      </c>
      <c r="F280" s="1130" t="str">
        <f>VLOOKUP(E280,$N$13:$O$17,2,0)</f>
        <v>-</v>
      </c>
      <c r="G280" s="92"/>
      <c r="H280" s="823"/>
      <c r="I280" s="1125"/>
      <c r="J280" s="1133"/>
      <c r="K280" s="1133"/>
      <c r="L280" s="916"/>
    </row>
    <row r="281" spans="1:12" s="103" customFormat="1" ht="15.75" hidden="1" customHeight="1" outlineLevel="1">
      <c r="A281" s="916"/>
      <c r="B281" s="1123"/>
      <c r="C281" s="1127"/>
      <c r="D281" s="1125"/>
      <c r="E281" s="1125"/>
      <c r="F281" s="1130"/>
      <c r="G281" s="95"/>
      <c r="H281" s="823"/>
      <c r="I281" s="1125"/>
      <c r="J281" s="1134"/>
      <c r="K281" s="1134"/>
      <c r="L281" s="916"/>
    </row>
    <row r="282" spans="1:12" s="103" customFormat="1" ht="15.75" hidden="1" customHeight="1" outlineLevel="1">
      <c r="A282" s="916"/>
      <c r="B282" s="1124"/>
      <c r="C282" s="1128"/>
      <c r="D282" s="1126"/>
      <c r="E282" s="1126"/>
      <c r="F282" s="1132"/>
      <c r="G282" s="100"/>
      <c r="H282" s="824"/>
      <c r="I282" s="1126"/>
      <c r="J282" s="1135"/>
      <c r="K282" s="1135"/>
      <c r="L282" s="916"/>
    </row>
    <row r="283" spans="1:12" s="103" customFormat="1" ht="15.75" hidden="1" customHeight="1" outlineLevel="1">
      <c r="A283" s="916"/>
      <c r="B283" s="1123">
        <v>91</v>
      </c>
      <c r="C283" s="1127"/>
      <c r="D283" s="1125"/>
      <c r="E283" s="1125" t="s">
        <v>18</v>
      </c>
      <c r="F283" s="1130" t="str">
        <f>VLOOKUP(E283,$N$13:$O$17,2,0)</f>
        <v>-</v>
      </c>
      <c r="G283" s="92"/>
      <c r="H283" s="823"/>
      <c r="I283" s="1125"/>
      <c r="J283" s="1133"/>
      <c r="K283" s="1133"/>
      <c r="L283" s="916"/>
    </row>
    <row r="284" spans="1:12" s="103" customFormat="1" ht="15.75" hidden="1" customHeight="1" outlineLevel="1">
      <c r="A284" s="916"/>
      <c r="B284" s="1123"/>
      <c r="C284" s="1127"/>
      <c r="D284" s="1125"/>
      <c r="E284" s="1125"/>
      <c r="F284" s="1130"/>
      <c r="G284" s="95"/>
      <c r="H284" s="823"/>
      <c r="I284" s="1125"/>
      <c r="J284" s="1134"/>
      <c r="K284" s="1134"/>
      <c r="L284" s="916"/>
    </row>
    <row r="285" spans="1:12" s="103" customFormat="1" ht="15.75" hidden="1" customHeight="1" outlineLevel="1">
      <c r="A285" s="916"/>
      <c r="B285" s="1124"/>
      <c r="C285" s="1128"/>
      <c r="D285" s="1126"/>
      <c r="E285" s="1126"/>
      <c r="F285" s="1132"/>
      <c r="G285" s="100"/>
      <c r="H285" s="824"/>
      <c r="I285" s="1126"/>
      <c r="J285" s="1135"/>
      <c r="K285" s="1135"/>
      <c r="L285" s="916"/>
    </row>
    <row r="286" spans="1:12" s="103" customFormat="1" ht="15.75" hidden="1" customHeight="1" outlineLevel="1">
      <c r="A286" s="916"/>
      <c r="B286" s="1123">
        <v>92</v>
      </c>
      <c r="C286" s="1127"/>
      <c r="D286" s="1125"/>
      <c r="E286" s="1125" t="s">
        <v>18</v>
      </c>
      <c r="F286" s="1130" t="str">
        <f>VLOOKUP(E286,$N$13:$O$17,2,0)</f>
        <v>-</v>
      </c>
      <c r="G286" s="92"/>
      <c r="H286" s="823"/>
      <c r="I286" s="1125"/>
      <c r="J286" s="1133"/>
      <c r="K286" s="1133"/>
      <c r="L286" s="916"/>
    </row>
    <row r="287" spans="1:12" s="103" customFormat="1" ht="15.75" hidden="1" customHeight="1" outlineLevel="1">
      <c r="A287" s="916"/>
      <c r="B287" s="1123"/>
      <c r="C287" s="1127"/>
      <c r="D287" s="1125"/>
      <c r="E287" s="1125"/>
      <c r="F287" s="1130"/>
      <c r="G287" s="95"/>
      <c r="H287" s="823"/>
      <c r="I287" s="1125"/>
      <c r="J287" s="1134"/>
      <c r="K287" s="1134"/>
      <c r="L287" s="916"/>
    </row>
    <row r="288" spans="1:12" s="103" customFormat="1" ht="15.75" hidden="1" customHeight="1" outlineLevel="1">
      <c r="A288" s="916"/>
      <c r="B288" s="1124"/>
      <c r="C288" s="1128"/>
      <c r="D288" s="1126"/>
      <c r="E288" s="1126"/>
      <c r="F288" s="1132"/>
      <c r="G288" s="100"/>
      <c r="H288" s="824"/>
      <c r="I288" s="1126"/>
      <c r="J288" s="1135"/>
      <c r="K288" s="1135"/>
      <c r="L288" s="916"/>
    </row>
    <row r="289" spans="1:12" s="103" customFormat="1" ht="15.75" hidden="1" customHeight="1" outlineLevel="1">
      <c r="A289" s="916"/>
      <c r="B289" s="1123">
        <v>93</v>
      </c>
      <c r="C289" s="1127"/>
      <c r="D289" s="1125"/>
      <c r="E289" s="1125" t="s">
        <v>18</v>
      </c>
      <c r="F289" s="1130" t="str">
        <f>VLOOKUP(E289,$N$13:$O$17,2,0)</f>
        <v>-</v>
      </c>
      <c r="G289" s="92"/>
      <c r="H289" s="823"/>
      <c r="I289" s="1125"/>
      <c r="J289" s="1133"/>
      <c r="K289" s="1133"/>
      <c r="L289" s="916"/>
    </row>
    <row r="290" spans="1:12" s="103" customFormat="1" ht="15.75" hidden="1" customHeight="1" outlineLevel="1">
      <c r="A290" s="916"/>
      <c r="B290" s="1123"/>
      <c r="C290" s="1127"/>
      <c r="D290" s="1125"/>
      <c r="E290" s="1125"/>
      <c r="F290" s="1130"/>
      <c r="G290" s="95"/>
      <c r="H290" s="823"/>
      <c r="I290" s="1125"/>
      <c r="J290" s="1134"/>
      <c r="K290" s="1134"/>
      <c r="L290" s="916"/>
    </row>
    <row r="291" spans="1:12" s="103" customFormat="1" ht="15.75" hidden="1" customHeight="1" outlineLevel="1">
      <c r="A291" s="916"/>
      <c r="B291" s="1124"/>
      <c r="C291" s="1128"/>
      <c r="D291" s="1126"/>
      <c r="E291" s="1126"/>
      <c r="F291" s="1132"/>
      <c r="G291" s="100"/>
      <c r="H291" s="824"/>
      <c r="I291" s="1126"/>
      <c r="J291" s="1135"/>
      <c r="K291" s="1135"/>
      <c r="L291" s="916"/>
    </row>
    <row r="292" spans="1:12" s="103" customFormat="1" ht="15.75" hidden="1" customHeight="1" outlineLevel="1">
      <c r="A292" s="916"/>
      <c r="B292" s="1123">
        <v>94</v>
      </c>
      <c r="C292" s="1127"/>
      <c r="D292" s="1125"/>
      <c r="E292" s="1125" t="s">
        <v>18</v>
      </c>
      <c r="F292" s="1130" t="str">
        <f>VLOOKUP(E292,$N$13:$O$17,2,0)</f>
        <v>-</v>
      </c>
      <c r="G292" s="92"/>
      <c r="H292" s="823"/>
      <c r="I292" s="1125"/>
      <c r="J292" s="1133"/>
      <c r="K292" s="1133"/>
      <c r="L292" s="916"/>
    </row>
    <row r="293" spans="1:12" s="103" customFormat="1" ht="15.75" hidden="1" customHeight="1" outlineLevel="1">
      <c r="A293" s="916"/>
      <c r="B293" s="1123"/>
      <c r="C293" s="1127"/>
      <c r="D293" s="1125"/>
      <c r="E293" s="1125"/>
      <c r="F293" s="1130"/>
      <c r="G293" s="95"/>
      <c r="H293" s="823"/>
      <c r="I293" s="1125"/>
      <c r="J293" s="1134"/>
      <c r="K293" s="1134"/>
      <c r="L293" s="916"/>
    </row>
    <row r="294" spans="1:12" s="103" customFormat="1" ht="15.75" hidden="1" customHeight="1" outlineLevel="1">
      <c r="A294" s="916"/>
      <c r="B294" s="1124"/>
      <c r="C294" s="1128"/>
      <c r="D294" s="1126"/>
      <c r="E294" s="1126"/>
      <c r="F294" s="1132"/>
      <c r="G294" s="100"/>
      <c r="H294" s="824"/>
      <c r="I294" s="1126"/>
      <c r="J294" s="1135"/>
      <c r="K294" s="1135"/>
      <c r="L294" s="916"/>
    </row>
    <row r="295" spans="1:12" s="103" customFormat="1" ht="15.75" hidden="1" customHeight="1" outlineLevel="1">
      <c r="A295" s="916"/>
      <c r="B295" s="1123">
        <v>95</v>
      </c>
      <c r="C295" s="1127"/>
      <c r="D295" s="1125"/>
      <c r="E295" s="1125" t="s">
        <v>18</v>
      </c>
      <c r="F295" s="1130" t="str">
        <f>VLOOKUP(E295,$N$13:$O$17,2,0)</f>
        <v>-</v>
      </c>
      <c r="G295" s="92"/>
      <c r="H295" s="823"/>
      <c r="I295" s="1125"/>
      <c r="J295" s="1133"/>
      <c r="K295" s="1133"/>
      <c r="L295" s="916"/>
    </row>
    <row r="296" spans="1:12" s="103" customFormat="1" ht="15.75" hidden="1" customHeight="1" outlineLevel="1">
      <c r="A296" s="916"/>
      <c r="B296" s="1123"/>
      <c r="C296" s="1127"/>
      <c r="D296" s="1125"/>
      <c r="E296" s="1125"/>
      <c r="F296" s="1130"/>
      <c r="G296" s="95"/>
      <c r="H296" s="823"/>
      <c r="I296" s="1125"/>
      <c r="J296" s="1134"/>
      <c r="K296" s="1134"/>
      <c r="L296" s="916"/>
    </row>
    <row r="297" spans="1:12" s="103" customFormat="1" ht="15.75" hidden="1" customHeight="1" outlineLevel="1">
      <c r="A297" s="916"/>
      <c r="B297" s="1124"/>
      <c r="C297" s="1128"/>
      <c r="D297" s="1126"/>
      <c r="E297" s="1126"/>
      <c r="F297" s="1132"/>
      <c r="G297" s="100"/>
      <c r="H297" s="824"/>
      <c r="I297" s="1126"/>
      <c r="J297" s="1135"/>
      <c r="K297" s="1135"/>
      <c r="L297" s="916"/>
    </row>
    <row r="298" spans="1:12" s="103" customFormat="1" ht="15.75" hidden="1" customHeight="1" outlineLevel="1">
      <c r="A298" s="916"/>
      <c r="B298" s="1123">
        <v>96</v>
      </c>
      <c r="C298" s="1127"/>
      <c r="D298" s="1125"/>
      <c r="E298" s="1125" t="s">
        <v>18</v>
      </c>
      <c r="F298" s="1130" t="str">
        <f>VLOOKUP(E298,$N$13:$O$17,2,0)</f>
        <v>-</v>
      </c>
      <c r="G298" s="92"/>
      <c r="H298" s="823"/>
      <c r="I298" s="1125"/>
      <c r="J298" s="1133"/>
      <c r="K298" s="1133"/>
      <c r="L298" s="916"/>
    </row>
    <row r="299" spans="1:12" s="103" customFormat="1" ht="15.75" hidden="1" customHeight="1" outlineLevel="1">
      <c r="A299" s="916"/>
      <c r="B299" s="1123"/>
      <c r="C299" s="1127"/>
      <c r="D299" s="1125"/>
      <c r="E299" s="1125"/>
      <c r="F299" s="1130"/>
      <c r="G299" s="95"/>
      <c r="H299" s="823"/>
      <c r="I299" s="1125"/>
      <c r="J299" s="1134"/>
      <c r="K299" s="1134"/>
      <c r="L299" s="916"/>
    </row>
    <row r="300" spans="1:12" s="103" customFormat="1" ht="15.75" hidden="1" customHeight="1" outlineLevel="1">
      <c r="A300" s="916"/>
      <c r="B300" s="1124"/>
      <c r="C300" s="1128"/>
      <c r="D300" s="1126"/>
      <c r="E300" s="1126"/>
      <c r="F300" s="1132"/>
      <c r="G300" s="100"/>
      <c r="H300" s="824"/>
      <c r="I300" s="1126"/>
      <c r="J300" s="1135"/>
      <c r="K300" s="1135"/>
      <c r="L300" s="916"/>
    </row>
    <row r="301" spans="1:12" s="103" customFormat="1" ht="15.75" hidden="1" customHeight="1" outlineLevel="1">
      <c r="A301" s="916"/>
      <c r="B301" s="1123">
        <v>97</v>
      </c>
      <c r="C301" s="1127"/>
      <c r="D301" s="1125"/>
      <c r="E301" s="1125" t="s">
        <v>18</v>
      </c>
      <c r="F301" s="1130" t="str">
        <f>VLOOKUP(E301,$N$13:$O$17,2,0)</f>
        <v>-</v>
      </c>
      <c r="G301" s="92"/>
      <c r="H301" s="823"/>
      <c r="I301" s="1125"/>
      <c r="J301" s="1133"/>
      <c r="K301" s="1133"/>
      <c r="L301" s="916"/>
    </row>
    <row r="302" spans="1:12" s="103" customFormat="1" ht="15.75" hidden="1" customHeight="1" outlineLevel="1">
      <c r="A302" s="916"/>
      <c r="B302" s="1123"/>
      <c r="C302" s="1127"/>
      <c r="D302" s="1125"/>
      <c r="E302" s="1125"/>
      <c r="F302" s="1130"/>
      <c r="G302" s="95"/>
      <c r="H302" s="823"/>
      <c r="I302" s="1125"/>
      <c r="J302" s="1134"/>
      <c r="K302" s="1134"/>
      <c r="L302" s="916"/>
    </row>
    <row r="303" spans="1:12" s="103" customFormat="1" ht="15.75" hidden="1" customHeight="1" outlineLevel="1">
      <c r="A303" s="916"/>
      <c r="B303" s="1124"/>
      <c r="C303" s="1128"/>
      <c r="D303" s="1126"/>
      <c r="E303" s="1126"/>
      <c r="F303" s="1132"/>
      <c r="G303" s="100"/>
      <c r="H303" s="824"/>
      <c r="I303" s="1126"/>
      <c r="J303" s="1135"/>
      <c r="K303" s="1135"/>
      <c r="L303" s="916"/>
    </row>
    <row r="304" spans="1:12" s="103" customFormat="1" ht="15.75" hidden="1" customHeight="1" outlineLevel="1">
      <c r="A304" s="916"/>
      <c r="B304" s="1123">
        <v>98</v>
      </c>
      <c r="C304" s="1127"/>
      <c r="D304" s="1125"/>
      <c r="E304" s="1125" t="s">
        <v>18</v>
      </c>
      <c r="F304" s="1130" t="str">
        <f>VLOOKUP(E304,$N$13:$O$17,2,0)</f>
        <v>-</v>
      </c>
      <c r="G304" s="92"/>
      <c r="H304" s="823"/>
      <c r="I304" s="1125"/>
      <c r="J304" s="1133"/>
      <c r="K304" s="1133"/>
      <c r="L304" s="916"/>
    </row>
    <row r="305" spans="1:12" s="103" customFormat="1" ht="15.75" hidden="1" customHeight="1" outlineLevel="1">
      <c r="A305" s="916"/>
      <c r="B305" s="1123"/>
      <c r="C305" s="1127"/>
      <c r="D305" s="1125"/>
      <c r="E305" s="1125"/>
      <c r="F305" s="1130"/>
      <c r="G305" s="95"/>
      <c r="H305" s="823"/>
      <c r="I305" s="1125"/>
      <c r="J305" s="1134"/>
      <c r="K305" s="1134"/>
      <c r="L305" s="916"/>
    </row>
    <row r="306" spans="1:12" s="103" customFormat="1" ht="15.75" hidden="1" customHeight="1" outlineLevel="1">
      <c r="A306" s="916"/>
      <c r="B306" s="1124"/>
      <c r="C306" s="1128"/>
      <c r="D306" s="1126"/>
      <c r="E306" s="1126"/>
      <c r="F306" s="1132"/>
      <c r="G306" s="100"/>
      <c r="H306" s="824"/>
      <c r="I306" s="1126"/>
      <c r="J306" s="1135"/>
      <c r="K306" s="1135"/>
      <c r="L306" s="916"/>
    </row>
    <row r="307" spans="1:12" s="103" customFormat="1" ht="15.75" hidden="1" customHeight="1" outlineLevel="1">
      <c r="A307" s="916"/>
      <c r="B307" s="1123">
        <v>99</v>
      </c>
      <c r="C307" s="1127"/>
      <c r="D307" s="1125"/>
      <c r="E307" s="1125" t="s">
        <v>18</v>
      </c>
      <c r="F307" s="1130" t="str">
        <f>VLOOKUP(E307,$N$13:$O$17,2,0)</f>
        <v>-</v>
      </c>
      <c r="G307" s="92"/>
      <c r="H307" s="823"/>
      <c r="I307" s="1125"/>
      <c r="J307" s="1133"/>
      <c r="K307" s="1133"/>
      <c r="L307" s="916"/>
    </row>
    <row r="308" spans="1:12" s="103" customFormat="1" ht="15.75" hidden="1" customHeight="1" outlineLevel="1">
      <c r="A308" s="916"/>
      <c r="B308" s="1123"/>
      <c r="C308" s="1127"/>
      <c r="D308" s="1125"/>
      <c r="E308" s="1125"/>
      <c r="F308" s="1130"/>
      <c r="G308" s="95"/>
      <c r="H308" s="823"/>
      <c r="I308" s="1125"/>
      <c r="J308" s="1134"/>
      <c r="K308" s="1134"/>
      <c r="L308" s="916"/>
    </row>
    <row r="309" spans="1:12" s="103" customFormat="1" ht="15.75" hidden="1" customHeight="1" outlineLevel="1">
      <c r="A309" s="916"/>
      <c r="B309" s="1124"/>
      <c r="C309" s="1128"/>
      <c r="D309" s="1126"/>
      <c r="E309" s="1126"/>
      <c r="F309" s="1132"/>
      <c r="G309" s="100"/>
      <c r="H309" s="824"/>
      <c r="I309" s="1126"/>
      <c r="J309" s="1135"/>
      <c r="K309" s="1135"/>
      <c r="L309" s="916"/>
    </row>
    <row r="310" spans="1:12" s="103" customFormat="1" ht="15.75" hidden="1" customHeight="1" outlineLevel="1">
      <c r="A310" s="916"/>
      <c r="B310" s="1123">
        <v>100</v>
      </c>
      <c r="C310" s="1127"/>
      <c r="D310" s="1125"/>
      <c r="E310" s="1125" t="s">
        <v>18</v>
      </c>
      <c r="F310" s="1130" t="str">
        <f>VLOOKUP(E310,$N$13:$O$17,2,0)</f>
        <v>-</v>
      </c>
      <c r="G310" s="92"/>
      <c r="H310" s="823"/>
      <c r="I310" s="1125"/>
      <c r="J310" s="1133"/>
      <c r="K310" s="1133"/>
      <c r="L310" s="916"/>
    </row>
    <row r="311" spans="1:12" s="103" customFormat="1" ht="15.75" hidden="1" customHeight="1" outlineLevel="1">
      <c r="A311" s="916"/>
      <c r="B311" s="1123"/>
      <c r="C311" s="1127"/>
      <c r="D311" s="1125"/>
      <c r="E311" s="1125"/>
      <c r="F311" s="1130"/>
      <c r="G311" s="95"/>
      <c r="H311" s="823"/>
      <c r="I311" s="1125"/>
      <c r="J311" s="1134"/>
      <c r="K311" s="1134"/>
      <c r="L311" s="916"/>
    </row>
    <row r="312" spans="1:12" s="103" customFormat="1" ht="15.75" hidden="1" customHeight="1" outlineLevel="1">
      <c r="A312" s="916"/>
      <c r="B312" s="1124"/>
      <c r="C312" s="1128"/>
      <c r="D312" s="1126"/>
      <c r="E312" s="1126"/>
      <c r="F312" s="1132"/>
      <c r="G312" s="100"/>
      <c r="H312" s="824"/>
      <c r="I312" s="1126"/>
      <c r="J312" s="1135"/>
      <c r="K312" s="1135"/>
      <c r="L312" s="916"/>
    </row>
    <row r="313" spans="1:12" s="103" customFormat="1" ht="15.75" hidden="1" customHeight="1" outlineLevel="1">
      <c r="A313" s="916"/>
      <c r="B313" s="1123">
        <v>101</v>
      </c>
      <c r="C313" s="1127"/>
      <c r="D313" s="1125"/>
      <c r="E313" s="1125" t="s">
        <v>18</v>
      </c>
      <c r="F313" s="1130" t="str">
        <f>VLOOKUP(E313,$N$13:$O$17,2,0)</f>
        <v>-</v>
      </c>
      <c r="G313" s="92"/>
      <c r="H313" s="823"/>
      <c r="I313" s="1125"/>
      <c r="J313" s="1133"/>
      <c r="K313" s="1133"/>
      <c r="L313" s="916"/>
    </row>
    <row r="314" spans="1:12" s="103" customFormat="1" ht="15.75" hidden="1" customHeight="1" outlineLevel="1">
      <c r="A314" s="916"/>
      <c r="B314" s="1123"/>
      <c r="C314" s="1127"/>
      <c r="D314" s="1125"/>
      <c r="E314" s="1125"/>
      <c r="F314" s="1130"/>
      <c r="G314" s="95"/>
      <c r="H314" s="823"/>
      <c r="I314" s="1125"/>
      <c r="J314" s="1134"/>
      <c r="K314" s="1134"/>
      <c r="L314" s="916"/>
    </row>
    <row r="315" spans="1:12" s="103" customFormat="1" ht="15.75" hidden="1" customHeight="1" outlineLevel="1">
      <c r="A315" s="916"/>
      <c r="B315" s="1124"/>
      <c r="C315" s="1128"/>
      <c r="D315" s="1126"/>
      <c r="E315" s="1126"/>
      <c r="F315" s="1132"/>
      <c r="G315" s="100"/>
      <c r="H315" s="824"/>
      <c r="I315" s="1126"/>
      <c r="J315" s="1135"/>
      <c r="K315" s="1135"/>
      <c r="L315" s="916"/>
    </row>
    <row r="316" spans="1:12" s="103" customFormat="1" ht="15.75" hidden="1" customHeight="1" outlineLevel="1">
      <c r="A316" s="916"/>
      <c r="B316" s="1123">
        <v>102</v>
      </c>
      <c r="C316" s="1127"/>
      <c r="D316" s="1125"/>
      <c r="E316" s="1125" t="s">
        <v>18</v>
      </c>
      <c r="F316" s="1130" t="str">
        <f>VLOOKUP(E316,$N$13:$O$17,2,0)</f>
        <v>-</v>
      </c>
      <c r="G316" s="92"/>
      <c r="H316" s="823"/>
      <c r="I316" s="1125"/>
      <c r="J316" s="1133"/>
      <c r="K316" s="1133"/>
      <c r="L316" s="916"/>
    </row>
    <row r="317" spans="1:12" s="103" customFormat="1" ht="15.75" hidden="1" customHeight="1" outlineLevel="1">
      <c r="A317" s="916"/>
      <c r="B317" s="1123"/>
      <c r="C317" s="1127"/>
      <c r="D317" s="1125"/>
      <c r="E317" s="1125"/>
      <c r="F317" s="1130"/>
      <c r="G317" s="95"/>
      <c r="H317" s="823"/>
      <c r="I317" s="1125"/>
      <c r="J317" s="1134"/>
      <c r="K317" s="1134"/>
      <c r="L317" s="916"/>
    </row>
    <row r="318" spans="1:12" s="103" customFormat="1" ht="15.75" hidden="1" customHeight="1" outlineLevel="1">
      <c r="A318" s="916"/>
      <c r="B318" s="1124"/>
      <c r="C318" s="1128"/>
      <c r="D318" s="1126"/>
      <c r="E318" s="1126"/>
      <c r="F318" s="1132"/>
      <c r="G318" s="100"/>
      <c r="H318" s="824"/>
      <c r="I318" s="1126"/>
      <c r="J318" s="1135"/>
      <c r="K318" s="1135"/>
      <c r="L318" s="916"/>
    </row>
    <row r="319" spans="1:12" s="103" customFormat="1" ht="15.75" hidden="1" customHeight="1" outlineLevel="1">
      <c r="A319" s="916"/>
      <c r="B319" s="1123">
        <v>103</v>
      </c>
      <c r="C319" s="1127"/>
      <c r="D319" s="1125"/>
      <c r="E319" s="1125" t="s">
        <v>18</v>
      </c>
      <c r="F319" s="1130" t="str">
        <f>VLOOKUP(E319,$N$13:$O$17,2,0)</f>
        <v>-</v>
      </c>
      <c r="G319" s="92"/>
      <c r="H319" s="823"/>
      <c r="I319" s="1125"/>
      <c r="J319" s="1133"/>
      <c r="K319" s="1133"/>
      <c r="L319" s="916"/>
    </row>
    <row r="320" spans="1:12" s="103" customFormat="1" ht="15.75" hidden="1" customHeight="1" outlineLevel="1">
      <c r="A320" s="916"/>
      <c r="B320" s="1123"/>
      <c r="C320" s="1127"/>
      <c r="D320" s="1125"/>
      <c r="E320" s="1125"/>
      <c r="F320" s="1130"/>
      <c r="G320" s="95"/>
      <c r="H320" s="823"/>
      <c r="I320" s="1125"/>
      <c r="J320" s="1134"/>
      <c r="K320" s="1134"/>
      <c r="L320" s="916"/>
    </row>
    <row r="321" spans="1:12" s="103" customFormat="1" ht="15.75" hidden="1" customHeight="1" outlineLevel="1">
      <c r="A321" s="916"/>
      <c r="B321" s="1124"/>
      <c r="C321" s="1128"/>
      <c r="D321" s="1126"/>
      <c r="E321" s="1126"/>
      <c r="F321" s="1132"/>
      <c r="G321" s="100"/>
      <c r="H321" s="824"/>
      <c r="I321" s="1126"/>
      <c r="J321" s="1135"/>
      <c r="K321" s="1135"/>
      <c r="L321" s="916"/>
    </row>
    <row r="322" spans="1:12" s="103" customFormat="1" ht="15.75" hidden="1" customHeight="1" outlineLevel="1">
      <c r="A322" s="916"/>
      <c r="B322" s="1123">
        <v>104</v>
      </c>
      <c r="C322" s="1127"/>
      <c r="D322" s="1125"/>
      <c r="E322" s="1125" t="s">
        <v>18</v>
      </c>
      <c r="F322" s="1130" t="str">
        <f>VLOOKUP(E322,$N$13:$O$17,2,0)</f>
        <v>-</v>
      </c>
      <c r="G322" s="92"/>
      <c r="H322" s="823"/>
      <c r="I322" s="1125"/>
      <c r="J322" s="1133"/>
      <c r="K322" s="1133"/>
      <c r="L322" s="916"/>
    </row>
    <row r="323" spans="1:12" s="103" customFormat="1" ht="15.75" hidden="1" customHeight="1" outlineLevel="1">
      <c r="A323" s="916"/>
      <c r="B323" s="1123"/>
      <c r="C323" s="1127"/>
      <c r="D323" s="1125"/>
      <c r="E323" s="1125"/>
      <c r="F323" s="1130"/>
      <c r="G323" s="95"/>
      <c r="H323" s="823"/>
      <c r="I323" s="1125"/>
      <c r="J323" s="1134"/>
      <c r="K323" s="1134"/>
      <c r="L323" s="916"/>
    </row>
    <row r="324" spans="1:12" s="103" customFormat="1" ht="15.75" hidden="1" customHeight="1" outlineLevel="1">
      <c r="A324" s="916"/>
      <c r="B324" s="1124"/>
      <c r="C324" s="1128"/>
      <c r="D324" s="1126"/>
      <c r="E324" s="1126"/>
      <c r="F324" s="1132"/>
      <c r="G324" s="100"/>
      <c r="H324" s="824"/>
      <c r="I324" s="1126"/>
      <c r="J324" s="1135"/>
      <c r="K324" s="1135"/>
      <c r="L324" s="916"/>
    </row>
    <row r="325" spans="1:12" s="103" customFormat="1" ht="15.75" hidden="1" customHeight="1" outlineLevel="1">
      <c r="A325" s="916"/>
      <c r="B325" s="1123">
        <v>105</v>
      </c>
      <c r="C325" s="1127"/>
      <c r="D325" s="1125"/>
      <c r="E325" s="1125" t="s">
        <v>18</v>
      </c>
      <c r="F325" s="1130" t="str">
        <f>VLOOKUP(E325,$N$13:$O$17,2,0)</f>
        <v>-</v>
      </c>
      <c r="G325" s="92"/>
      <c r="H325" s="823"/>
      <c r="I325" s="1125"/>
      <c r="J325" s="1133"/>
      <c r="K325" s="1133"/>
      <c r="L325" s="916"/>
    </row>
    <row r="326" spans="1:12" s="103" customFormat="1" ht="15.75" hidden="1" customHeight="1" outlineLevel="1">
      <c r="A326" s="916"/>
      <c r="B326" s="1123"/>
      <c r="C326" s="1127"/>
      <c r="D326" s="1125"/>
      <c r="E326" s="1125"/>
      <c r="F326" s="1130"/>
      <c r="G326" s="95"/>
      <c r="H326" s="823"/>
      <c r="I326" s="1125"/>
      <c r="J326" s="1134"/>
      <c r="K326" s="1134"/>
      <c r="L326" s="916"/>
    </row>
    <row r="327" spans="1:12" s="103" customFormat="1" ht="15.75" hidden="1" customHeight="1" outlineLevel="1">
      <c r="A327" s="916"/>
      <c r="B327" s="1124"/>
      <c r="C327" s="1128"/>
      <c r="D327" s="1126"/>
      <c r="E327" s="1126"/>
      <c r="F327" s="1132"/>
      <c r="G327" s="100"/>
      <c r="H327" s="824"/>
      <c r="I327" s="1126"/>
      <c r="J327" s="1135"/>
      <c r="K327" s="1135"/>
      <c r="L327" s="916"/>
    </row>
    <row r="328" spans="1:12" s="103" customFormat="1" ht="15.75" hidden="1" customHeight="1" outlineLevel="1">
      <c r="A328" s="916"/>
      <c r="B328" s="1123">
        <v>106</v>
      </c>
      <c r="C328" s="1127"/>
      <c r="D328" s="1125"/>
      <c r="E328" s="1125" t="s">
        <v>18</v>
      </c>
      <c r="F328" s="1130" t="str">
        <f>VLOOKUP(E328,$N$13:$O$17,2,0)</f>
        <v>-</v>
      </c>
      <c r="G328" s="92"/>
      <c r="H328" s="823"/>
      <c r="I328" s="1125"/>
      <c r="J328" s="1133"/>
      <c r="K328" s="1133"/>
      <c r="L328" s="916"/>
    </row>
    <row r="329" spans="1:12" s="103" customFormat="1" ht="15.75" hidden="1" customHeight="1" outlineLevel="1">
      <c r="A329" s="916"/>
      <c r="B329" s="1123"/>
      <c r="C329" s="1127"/>
      <c r="D329" s="1125"/>
      <c r="E329" s="1125"/>
      <c r="F329" s="1130"/>
      <c r="G329" s="95"/>
      <c r="H329" s="823"/>
      <c r="I329" s="1125"/>
      <c r="J329" s="1134"/>
      <c r="K329" s="1134"/>
      <c r="L329" s="916"/>
    </row>
    <row r="330" spans="1:12" s="103" customFormat="1" ht="15.75" hidden="1" customHeight="1" outlineLevel="1">
      <c r="A330" s="916"/>
      <c r="B330" s="1124"/>
      <c r="C330" s="1128"/>
      <c r="D330" s="1126"/>
      <c r="E330" s="1126"/>
      <c r="F330" s="1132"/>
      <c r="G330" s="100"/>
      <c r="H330" s="824"/>
      <c r="I330" s="1126"/>
      <c r="J330" s="1135"/>
      <c r="K330" s="1135"/>
      <c r="L330" s="916"/>
    </row>
    <row r="331" spans="1:12" s="103" customFormat="1" ht="15.75" hidden="1" customHeight="1" outlineLevel="1">
      <c r="A331" s="916"/>
      <c r="B331" s="1123">
        <v>107</v>
      </c>
      <c r="C331" s="1127"/>
      <c r="D331" s="1125"/>
      <c r="E331" s="1125" t="s">
        <v>18</v>
      </c>
      <c r="F331" s="1130" t="str">
        <f>VLOOKUP(E331,$N$13:$O$17,2,0)</f>
        <v>-</v>
      </c>
      <c r="G331" s="92"/>
      <c r="H331" s="823"/>
      <c r="I331" s="1125"/>
      <c r="J331" s="1133"/>
      <c r="K331" s="1133"/>
      <c r="L331" s="916"/>
    </row>
    <row r="332" spans="1:12" s="103" customFormat="1" ht="15.75" hidden="1" customHeight="1" outlineLevel="1">
      <c r="A332" s="916"/>
      <c r="B332" s="1123"/>
      <c r="C332" s="1127"/>
      <c r="D332" s="1125"/>
      <c r="E332" s="1125"/>
      <c r="F332" s="1130"/>
      <c r="G332" s="95"/>
      <c r="H332" s="823"/>
      <c r="I332" s="1125"/>
      <c r="J332" s="1134"/>
      <c r="K332" s="1134"/>
      <c r="L332" s="916"/>
    </row>
    <row r="333" spans="1:12" s="103" customFormat="1" ht="15.75" hidden="1" customHeight="1" outlineLevel="1">
      <c r="A333" s="916"/>
      <c r="B333" s="1124"/>
      <c r="C333" s="1128"/>
      <c r="D333" s="1126"/>
      <c r="E333" s="1126"/>
      <c r="F333" s="1132"/>
      <c r="G333" s="100"/>
      <c r="H333" s="824"/>
      <c r="I333" s="1126"/>
      <c r="J333" s="1135"/>
      <c r="K333" s="1135"/>
      <c r="L333" s="916"/>
    </row>
    <row r="334" spans="1:12" s="103" customFormat="1" ht="15.75" hidden="1" customHeight="1" outlineLevel="1">
      <c r="A334" s="916"/>
      <c r="B334" s="1123">
        <v>108</v>
      </c>
      <c r="C334" s="1127"/>
      <c r="D334" s="1125"/>
      <c r="E334" s="1125" t="s">
        <v>18</v>
      </c>
      <c r="F334" s="1130" t="str">
        <f>VLOOKUP(E334,$N$13:$O$17,2,0)</f>
        <v>-</v>
      </c>
      <c r="G334" s="92"/>
      <c r="H334" s="823"/>
      <c r="I334" s="1125"/>
      <c r="J334" s="1133"/>
      <c r="K334" s="1133"/>
      <c r="L334" s="916"/>
    </row>
    <row r="335" spans="1:12" s="103" customFormat="1" ht="15.75" hidden="1" customHeight="1" outlineLevel="1">
      <c r="A335" s="916"/>
      <c r="B335" s="1123"/>
      <c r="C335" s="1127"/>
      <c r="D335" s="1125"/>
      <c r="E335" s="1125"/>
      <c r="F335" s="1130"/>
      <c r="G335" s="95"/>
      <c r="H335" s="823"/>
      <c r="I335" s="1125"/>
      <c r="J335" s="1134"/>
      <c r="K335" s="1134"/>
      <c r="L335" s="916"/>
    </row>
    <row r="336" spans="1:12" s="103" customFormat="1" ht="15.75" hidden="1" customHeight="1" outlineLevel="1">
      <c r="A336" s="916"/>
      <c r="B336" s="1124"/>
      <c r="C336" s="1128"/>
      <c r="D336" s="1126"/>
      <c r="E336" s="1126"/>
      <c r="F336" s="1132"/>
      <c r="G336" s="100"/>
      <c r="H336" s="824"/>
      <c r="I336" s="1126"/>
      <c r="J336" s="1135"/>
      <c r="K336" s="1135"/>
      <c r="L336" s="916"/>
    </row>
    <row r="337" spans="1:12" s="103" customFormat="1" ht="15.75" hidden="1" customHeight="1" outlineLevel="1">
      <c r="A337" s="916"/>
      <c r="B337" s="1123">
        <v>109</v>
      </c>
      <c r="C337" s="1127"/>
      <c r="D337" s="1125"/>
      <c r="E337" s="1125" t="s">
        <v>18</v>
      </c>
      <c r="F337" s="1130" t="str">
        <f>VLOOKUP(E337,$N$13:$O$17,2,0)</f>
        <v>-</v>
      </c>
      <c r="G337" s="92"/>
      <c r="H337" s="823"/>
      <c r="I337" s="1125"/>
      <c r="J337" s="1133"/>
      <c r="K337" s="1133"/>
      <c r="L337" s="916"/>
    </row>
    <row r="338" spans="1:12" s="103" customFormat="1" ht="15.75" hidden="1" customHeight="1" outlineLevel="1">
      <c r="A338" s="916"/>
      <c r="B338" s="1123"/>
      <c r="C338" s="1127"/>
      <c r="D338" s="1125"/>
      <c r="E338" s="1125"/>
      <c r="F338" s="1130"/>
      <c r="G338" s="95"/>
      <c r="H338" s="823"/>
      <c r="I338" s="1125"/>
      <c r="J338" s="1134"/>
      <c r="K338" s="1134"/>
      <c r="L338" s="916"/>
    </row>
    <row r="339" spans="1:12" s="103" customFormat="1" ht="15.75" hidden="1" customHeight="1" outlineLevel="1">
      <c r="A339" s="916"/>
      <c r="B339" s="1124"/>
      <c r="C339" s="1128"/>
      <c r="D339" s="1126"/>
      <c r="E339" s="1126"/>
      <c r="F339" s="1132"/>
      <c r="G339" s="100"/>
      <c r="H339" s="824"/>
      <c r="I339" s="1126"/>
      <c r="J339" s="1135"/>
      <c r="K339" s="1135"/>
      <c r="L339" s="916"/>
    </row>
    <row r="340" spans="1:12" s="103" customFormat="1" ht="15.75" hidden="1" customHeight="1" outlineLevel="1">
      <c r="A340" s="916"/>
      <c r="B340" s="1123">
        <v>110</v>
      </c>
      <c r="C340" s="1127"/>
      <c r="D340" s="1125"/>
      <c r="E340" s="1125" t="s">
        <v>18</v>
      </c>
      <c r="F340" s="1130" t="str">
        <f>VLOOKUP(E340,$N$13:$O$17,2,0)</f>
        <v>-</v>
      </c>
      <c r="G340" s="92"/>
      <c r="H340" s="823"/>
      <c r="I340" s="1125"/>
      <c r="J340" s="1133"/>
      <c r="K340" s="1133"/>
      <c r="L340" s="916"/>
    </row>
    <row r="341" spans="1:12" s="103" customFormat="1" ht="15.75" hidden="1" customHeight="1" outlineLevel="1">
      <c r="A341" s="916"/>
      <c r="B341" s="1123"/>
      <c r="C341" s="1127"/>
      <c r="D341" s="1125"/>
      <c r="E341" s="1125"/>
      <c r="F341" s="1130"/>
      <c r="G341" s="95"/>
      <c r="H341" s="823"/>
      <c r="I341" s="1125"/>
      <c r="J341" s="1134"/>
      <c r="K341" s="1134"/>
      <c r="L341" s="916"/>
    </row>
    <row r="342" spans="1:12" s="103" customFormat="1" ht="15.75" hidden="1" customHeight="1" outlineLevel="1">
      <c r="A342" s="916"/>
      <c r="B342" s="1124"/>
      <c r="C342" s="1128"/>
      <c r="D342" s="1126"/>
      <c r="E342" s="1126"/>
      <c r="F342" s="1132"/>
      <c r="G342" s="100"/>
      <c r="H342" s="824"/>
      <c r="I342" s="1126"/>
      <c r="J342" s="1135"/>
      <c r="K342" s="1135"/>
      <c r="L342" s="916"/>
    </row>
    <row r="343" spans="1:12" s="103" customFormat="1" ht="15.75" hidden="1" customHeight="1" outlineLevel="1">
      <c r="A343" s="916"/>
      <c r="B343" s="1123">
        <v>111</v>
      </c>
      <c r="C343" s="1127"/>
      <c r="D343" s="1125"/>
      <c r="E343" s="1125" t="s">
        <v>18</v>
      </c>
      <c r="F343" s="1130" t="str">
        <f>VLOOKUP(E343,$N$13:$O$17,2,0)</f>
        <v>-</v>
      </c>
      <c r="G343" s="92"/>
      <c r="H343" s="823"/>
      <c r="I343" s="1125"/>
      <c r="J343" s="1133"/>
      <c r="K343" s="1133"/>
      <c r="L343" s="916"/>
    </row>
    <row r="344" spans="1:12" s="103" customFormat="1" ht="15.75" hidden="1" customHeight="1" outlineLevel="1">
      <c r="A344" s="916"/>
      <c r="B344" s="1123"/>
      <c r="C344" s="1127"/>
      <c r="D344" s="1125"/>
      <c r="E344" s="1125"/>
      <c r="F344" s="1130"/>
      <c r="G344" s="95"/>
      <c r="H344" s="823"/>
      <c r="I344" s="1125"/>
      <c r="J344" s="1134"/>
      <c r="K344" s="1134"/>
      <c r="L344" s="916"/>
    </row>
    <row r="345" spans="1:12" s="103" customFormat="1" ht="15.75" hidden="1" customHeight="1" outlineLevel="1">
      <c r="A345" s="916"/>
      <c r="B345" s="1124"/>
      <c r="C345" s="1128"/>
      <c r="D345" s="1126"/>
      <c r="E345" s="1126"/>
      <c r="F345" s="1132"/>
      <c r="G345" s="100"/>
      <c r="H345" s="824"/>
      <c r="I345" s="1126"/>
      <c r="J345" s="1135"/>
      <c r="K345" s="1135"/>
      <c r="L345" s="916"/>
    </row>
    <row r="346" spans="1:12" s="103" customFormat="1" ht="15.75" hidden="1" customHeight="1" outlineLevel="1">
      <c r="A346" s="916"/>
      <c r="B346" s="1123">
        <v>112</v>
      </c>
      <c r="C346" s="1127"/>
      <c r="D346" s="1125"/>
      <c r="E346" s="1125" t="s">
        <v>18</v>
      </c>
      <c r="F346" s="1130" t="str">
        <f>VLOOKUP(E346,$N$13:$O$17,2,0)</f>
        <v>-</v>
      </c>
      <c r="G346" s="92"/>
      <c r="H346" s="823"/>
      <c r="I346" s="1125"/>
      <c r="J346" s="1133"/>
      <c r="K346" s="1133"/>
      <c r="L346" s="916"/>
    </row>
    <row r="347" spans="1:12" s="103" customFormat="1" ht="15.75" hidden="1" customHeight="1" outlineLevel="1">
      <c r="A347" s="916"/>
      <c r="B347" s="1123"/>
      <c r="C347" s="1127"/>
      <c r="D347" s="1125"/>
      <c r="E347" s="1125"/>
      <c r="F347" s="1130"/>
      <c r="G347" s="95"/>
      <c r="H347" s="823"/>
      <c r="I347" s="1125"/>
      <c r="J347" s="1134"/>
      <c r="K347" s="1134"/>
      <c r="L347" s="916"/>
    </row>
    <row r="348" spans="1:12" s="103" customFormat="1" ht="15.75" hidden="1" customHeight="1" outlineLevel="1">
      <c r="A348" s="916"/>
      <c r="B348" s="1124"/>
      <c r="C348" s="1128"/>
      <c r="D348" s="1126"/>
      <c r="E348" s="1126"/>
      <c r="F348" s="1132"/>
      <c r="G348" s="100"/>
      <c r="H348" s="824"/>
      <c r="I348" s="1126"/>
      <c r="J348" s="1135"/>
      <c r="K348" s="1135"/>
      <c r="L348" s="916"/>
    </row>
    <row r="349" spans="1:12" s="103" customFormat="1" ht="15.75" hidden="1" customHeight="1" outlineLevel="1">
      <c r="A349" s="916"/>
      <c r="B349" s="1123">
        <v>113</v>
      </c>
      <c r="C349" s="1127"/>
      <c r="D349" s="1125"/>
      <c r="E349" s="1125" t="s">
        <v>18</v>
      </c>
      <c r="F349" s="1130" t="str">
        <f>VLOOKUP(E349,$N$13:$O$17,2,0)</f>
        <v>-</v>
      </c>
      <c r="G349" s="92"/>
      <c r="H349" s="823"/>
      <c r="I349" s="1125"/>
      <c r="J349" s="1133"/>
      <c r="K349" s="1133"/>
      <c r="L349" s="916"/>
    </row>
    <row r="350" spans="1:12" s="103" customFormat="1" ht="15.75" hidden="1" customHeight="1" outlineLevel="1">
      <c r="A350" s="916"/>
      <c r="B350" s="1123"/>
      <c r="C350" s="1127"/>
      <c r="D350" s="1125"/>
      <c r="E350" s="1125"/>
      <c r="F350" s="1130"/>
      <c r="G350" s="95"/>
      <c r="H350" s="823"/>
      <c r="I350" s="1125"/>
      <c r="J350" s="1134"/>
      <c r="K350" s="1134"/>
      <c r="L350" s="916"/>
    </row>
    <row r="351" spans="1:12" s="103" customFormat="1" ht="15.75" hidden="1" customHeight="1" outlineLevel="1">
      <c r="A351" s="916"/>
      <c r="B351" s="1124"/>
      <c r="C351" s="1128"/>
      <c r="D351" s="1126"/>
      <c r="E351" s="1126"/>
      <c r="F351" s="1132"/>
      <c r="G351" s="100"/>
      <c r="H351" s="824"/>
      <c r="I351" s="1126"/>
      <c r="J351" s="1135"/>
      <c r="K351" s="1135"/>
      <c r="L351" s="916"/>
    </row>
    <row r="352" spans="1:12" s="103" customFormat="1" ht="15.75" hidden="1" customHeight="1" outlineLevel="1">
      <c r="A352" s="916"/>
      <c r="B352" s="1123">
        <v>114</v>
      </c>
      <c r="C352" s="1127"/>
      <c r="D352" s="1125"/>
      <c r="E352" s="1125" t="s">
        <v>18</v>
      </c>
      <c r="F352" s="1130" t="str">
        <f>VLOOKUP(E352,$N$13:$O$17,2,0)</f>
        <v>-</v>
      </c>
      <c r="G352" s="92"/>
      <c r="H352" s="823"/>
      <c r="I352" s="1125"/>
      <c r="J352" s="1133"/>
      <c r="K352" s="1133"/>
      <c r="L352" s="916"/>
    </row>
    <row r="353" spans="1:12" s="103" customFormat="1" ht="15.75" hidden="1" customHeight="1" outlineLevel="1">
      <c r="A353" s="916"/>
      <c r="B353" s="1123"/>
      <c r="C353" s="1127"/>
      <c r="D353" s="1125"/>
      <c r="E353" s="1125"/>
      <c r="F353" s="1130"/>
      <c r="G353" s="95"/>
      <c r="H353" s="823"/>
      <c r="I353" s="1125"/>
      <c r="J353" s="1134"/>
      <c r="K353" s="1134"/>
      <c r="L353" s="916"/>
    </row>
    <row r="354" spans="1:12" s="103" customFormat="1" ht="15.75" hidden="1" customHeight="1" outlineLevel="1">
      <c r="A354" s="916"/>
      <c r="B354" s="1124"/>
      <c r="C354" s="1128"/>
      <c r="D354" s="1126"/>
      <c r="E354" s="1126"/>
      <c r="F354" s="1132"/>
      <c r="G354" s="100"/>
      <c r="H354" s="824"/>
      <c r="I354" s="1126"/>
      <c r="J354" s="1135"/>
      <c r="K354" s="1135"/>
      <c r="L354" s="916"/>
    </row>
    <row r="355" spans="1:12" s="103" customFormat="1" ht="15.75" hidden="1" customHeight="1" outlineLevel="1">
      <c r="A355" s="916"/>
      <c r="B355" s="1123">
        <v>115</v>
      </c>
      <c r="C355" s="1127"/>
      <c r="D355" s="1125"/>
      <c r="E355" s="1125" t="s">
        <v>18</v>
      </c>
      <c r="F355" s="1130" t="str">
        <f>VLOOKUP(E355,$N$13:$O$17,2,0)</f>
        <v>-</v>
      </c>
      <c r="G355" s="92"/>
      <c r="H355" s="823"/>
      <c r="I355" s="1125"/>
      <c r="J355" s="1133"/>
      <c r="K355" s="1133"/>
      <c r="L355" s="916"/>
    </row>
    <row r="356" spans="1:12" s="103" customFormat="1" ht="15.75" hidden="1" customHeight="1" outlineLevel="1">
      <c r="A356" s="916"/>
      <c r="B356" s="1123"/>
      <c r="C356" s="1127"/>
      <c r="D356" s="1125"/>
      <c r="E356" s="1125"/>
      <c r="F356" s="1130"/>
      <c r="G356" s="95"/>
      <c r="H356" s="823"/>
      <c r="I356" s="1125"/>
      <c r="J356" s="1134"/>
      <c r="K356" s="1134"/>
      <c r="L356" s="916"/>
    </row>
    <row r="357" spans="1:12" s="103" customFormat="1" ht="15.75" hidden="1" customHeight="1" outlineLevel="1">
      <c r="A357" s="916"/>
      <c r="B357" s="1124"/>
      <c r="C357" s="1128"/>
      <c r="D357" s="1126"/>
      <c r="E357" s="1126"/>
      <c r="F357" s="1132"/>
      <c r="G357" s="100"/>
      <c r="H357" s="824"/>
      <c r="I357" s="1126"/>
      <c r="J357" s="1135"/>
      <c r="K357" s="1135"/>
      <c r="L357" s="916"/>
    </row>
    <row r="358" spans="1:12" s="103" customFormat="1" ht="15.75" hidden="1" customHeight="1" outlineLevel="1">
      <c r="A358" s="916"/>
      <c r="B358" s="1123">
        <v>116</v>
      </c>
      <c r="C358" s="1127"/>
      <c r="D358" s="1125"/>
      <c r="E358" s="1125" t="s">
        <v>18</v>
      </c>
      <c r="F358" s="1130" t="str">
        <f>VLOOKUP(E358,$N$13:$O$17,2,0)</f>
        <v>-</v>
      </c>
      <c r="G358" s="92"/>
      <c r="H358" s="823"/>
      <c r="I358" s="1125"/>
      <c r="J358" s="1133"/>
      <c r="K358" s="1133"/>
      <c r="L358" s="916"/>
    </row>
    <row r="359" spans="1:12" s="103" customFormat="1" ht="15.75" hidden="1" customHeight="1" outlineLevel="1">
      <c r="A359" s="916"/>
      <c r="B359" s="1123"/>
      <c r="C359" s="1127"/>
      <c r="D359" s="1125"/>
      <c r="E359" s="1125"/>
      <c r="F359" s="1130"/>
      <c r="G359" s="95"/>
      <c r="H359" s="823"/>
      <c r="I359" s="1125"/>
      <c r="J359" s="1134"/>
      <c r="K359" s="1134"/>
      <c r="L359" s="916"/>
    </row>
    <row r="360" spans="1:12" s="103" customFormat="1" ht="15.75" hidden="1" customHeight="1" outlineLevel="1">
      <c r="A360" s="916"/>
      <c r="B360" s="1124"/>
      <c r="C360" s="1128"/>
      <c r="D360" s="1126"/>
      <c r="E360" s="1126"/>
      <c r="F360" s="1132"/>
      <c r="G360" s="100"/>
      <c r="H360" s="824"/>
      <c r="I360" s="1126"/>
      <c r="J360" s="1135"/>
      <c r="K360" s="1135"/>
      <c r="L360" s="916"/>
    </row>
    <row r="361" spans="1:12" s="103" customFormat="1" ht="15.75" hidden="1" customHeight="1" outlineLevel="1">
      <c r="A361" s="916"/>
      <c r="B361" s="1123">
        <v>117</v>
      </c>
      <c r="C361" s="1127"/>
      <c r="D361" s="1125"/>
      <c r="E361" s="1125" t="s">
        <v>18</v>
      </c>
      <c r="F361" s="1130" t="str">
        <f>VLOOKUP(E361,$N$13:$O$17,2,0)</f>
        <v>-</v>
      </c>
      <c r="G361" s="92"/>
      <c r="H361" s="823"/>
      <c r="I361" s="1125"/>
      <c r="J361" s="1133"/>
      <c r="K361" s="1133"/>
      <c r="L361" s="916"/>
    </row>
    <row r="362" spans="1:12" s="103" customFormat="1" ht="15.75" hidden="1" customHeight="1" outlineLevel="1">
      <c r="A362" s="916"/>
      <c r="B362" s="1123"/>
      <c r="C362" s="1127"/>
      <c r="D362" s="1125"/>
      <c r="E362" s="1125"/>
      <c r="F362" s="1130"/>
      <c r="G362" s="95"/>
      <c r="H362" s="823"/>
      <c r="I362" s="1125"/>
      <c r="J362" s="1134"/>
      <c r="K362" s="1134"/>
      <c r="L362" s="916"/>
    </row>
    <row r="363" spans="1:12" s="103" customFormat="1" ht="15.75" hidden="1" customHeight="1" outlineLevel="1">
      <c r="A363" s="916"/>
      <c r="B363" s="1124"/>
      <c r="C363" s="1128"/>
      <c r="D363" s="1126"/>
      <c r="E363" s="1126"/>
      <c r="F363" s="1132"/>
      <c r="G363" s="100"/>
      <c r="H363" s="824"/>
      <c r="I363" s="1126"/>
      <c r="J363" s="1135"/>
      <c r="K363" s="1135"/>
      <c r="L363" s="916"/>
    </row>
    <row r="364" spans="1:12" s="103" customFormat="1" ht="15.75" hidden="1" customHeight="1" outlineLevel="1">
      <c r="A364" s="916"/>
      <c r="B364" s="1123">
        <v>118</v>
      </c>
      <c r="C364" s="1127"/>
      <c r="D364" s="1125"/>
      <c r="E364" s="1125" t="s">
        <v>18</v>
      </c>
      <c r="F364" s="1130" t="str">
        <f>VLOOKUP(E364,$N$13:$O$17,2,0)</f>
        <v>-</v>
      </c>
      <c r="G364" s="92"/>
      <c r="H364" s="823"/>
      <c r="I364" s="1125"/>
      <c r="J364" s="1133"/>
      <c r="K364" s="1133"/>
      <c r="L364" s="916"/>
    </row>
    <row r="365" spans="1:12" s="103" customFormat="1" ht="15.75" hidden="1" customHeight="1" outlineLevel="1">
      <c r="A365" s="916"/>
      <c r="B365" s="1123"/>
      <c r="C365" s="1127"/>
      <c r="D365" s="1125"/>
      <c r="E365" s="1125"/>
      <c r="F365" s="1130"/>
      <c r="G365" s="95"/>
      <c r="H365" s="823"/>
      <c r="I365" s="1125"/>
      <c r="J365" s="1134"/>
      <c r="K365" s="1134"/>
      <c r="L365" s="916"/>
    </row>
    <row r="366" spans="1:12" s="103" customFormat="1" ht="15.75" hidden="1" customHeight="1" outlineLevel="1">
      <c r="A366" s="916"/>
      <c r="B366" s="1124"/>
      <c r="C366" s="1128"/>
      <c r="D366" s="1126"/>
      <c r="E366" s="1126"/>
      <c r="F366" s="1132"/>
      <c r="G366" s="100"/>
      <c r="H366" s="824"/>
      <c r="I366" s="1126"/>
      <c r="J366" s="1135"/>
      <c r="K366" s="1135"/>
      <c r="L366" s="916"/>
    </row>
    <row r="367" spans="1:12" s="103" customFormat="1" ht="15.75" hidden="1" customHeight="1" outlineLevel="1">
      <c r="A367" s="916"/>
      <c r="B367" s="1123">
        <v>119</v>
      </c>
      <c r="C367" s="1127"/>
      <c r="D367" s="1125"/>
      <c r="E367" s="1125" t="s">
        <v>18</v>
      </c>
      <c r="F367" s="1130" t="str">
        <f>VLOOKUP(E367,$N$13:$O$17,2,0)</f>
        <v>-</v>
      </c>
      <c r="G367" s="92"/>
      <c r="H367" s="823"/>
      <c r="I367" s="1125"/>
      <c r="J367" s="1133"/>
      <c r="K367" s="1133"/>
      <c r="L367" s="916"/>
    </row>
    <row r="368" spans="1:12" s="103" customFormat="1" ht="15.75" hidden="1" customHeight="1" outlineLevel="1">
      <c r="A368" s="916"/>
      <c r="B368" s="1123"/>
      <c r="C368" s="1127"/>
      <c r="D368" s="1125"/>
      <c r="E368" s="1125"/>
      <c r="F368" s="1130"/>
      <c r="G368" s="95"/>
      <c r="H368" s="823"/>
      <c r="I368" s="1125"/>
      <c r="J368" s="1134"/>
      <c r="K368" s="1134"/>
      <c r="L368" s="916"/>
    </row>
    <row r="369" spans="1:12" s="103" customFormat="1" ht="15.75" hidden="1" customHeight="1" outlineLevel="1">
      <c r="A369" s="916"/>
      <c r="B369" s="1124"/>
      <c r="C369" s="1128"/>
      <c r="D369" s="1126"/>
      <c r="E369" s="1126"/>
      <c r="F369" s="1132"/>
      <c r="G369" s="100"/>
      <c r="H369" s="824"/>
      <c r="I369" s="1126"/>
      <c r="J369" s="1135"/>
      <c r="K369" s="1135"/>
      <c r="L369" s="916"/>
    </row>
    <row r="370" spans="1:12" s="103" customFormat="1" ht="15.75" hidden="1" customHeight="1" outlineLevel="1">
      <c r="A370" s="916"/>
      <c r="B370" s="1123">
        <v>120</v>
      </c>
      <c r="C370" s="1127"/>
      <c r="D370" s="1125"/>
      <c r="E370" s="1125" t="s">
        <v>18</v>
      </c>
      <c r="F370" s="1130" t="str">
        <f>VLOOKUP(E370,$N$13:$O$17,2,0)</f>
        <v>-</v>
      </c>
      <c r="G370" s="92"/>
      <c r="H370" s="823"/>
      <c r="I370" s="1125"/>
      <c r="J370" s="1133"/>
      <c r="K370" s="1133"/>
      <c r="L370" s="916"/>
    </row>
    <row r="371" spans="1:12" s="103" customFormat="1" ht="15.75" hidden="1" customHeight="1" outlineLevel="1">
      <c r="A371" s="916"/>
      <c r="B371" s="1123"/>
      <c r="C371" s="1127"/>
      <c r="D371" s="1125"/>
      <c r="E371" s="1125"/>
      <c r="F371" s="1130"/>
      <c r="G371" s="95"/>
      <c r="H371" s="823"/>
      <c r="I371" s="1125"/>
      <c r="J371" s="1134"/>
      <c r="K371" s="1134"/>
      <c r="L371" s="916"/>
    </row>
    <row r="372" spans="1:12" s="103" customFormat="1" ht="15.75" hidden="1" customHeight="1" outlineLevel="1">
      <c r="A372" s="916"/>
      <c r="B372" s="1124"/>
      <c r="C372" s="1128"/>
      <c r="D372" s="1126"/>
      <c r="E372" s="1126"/>
      <c r="F372" s="1132"/>
      <c r="G372" s="100"/>
      <c r="H372" s="824"/>
      <c r="I372" s="1126"/>
      <c r="J372" s="1135"/>
      <c r="K372" s="1135"/>
      <c r="L372" s="916"/>
    </row>
    <row r="373" spans="1:12" s="103" customFormat="1" ht="15.75" hidden="1" customHeight="1" outlineLevel="1">
      <c r="A373" s="916"/>
      <c r="B373" s="1123">
        <v>121</v>
      </c>
      <c r="C373" s="1127"/>
      <c r="D373" s="1125"/>
      <c r="E373" s="1125" t="s">
        <v>18</v>
      </c>
      <c r="F373" s="1130" t="str">
        <f>VLOOKUP(E373,$N$13:$O$17,2,0)</f>
        <v>-</v>
      </c>
      <c r="G373" s="92"/>
      <c r="H373" s="823"/>
      <c r="I373" s="1125"/>
      <c r="J373" s="1133"/>
      <c r="K373" s="1133"/>
      <c r="L373" s="916"/>
    </row>
    <row r="374" spans="1:12" s="103" customFormat="1" ht="15.75" hidden="1" customHeight="1" outlineLevel="1">
      <c r="A374" s="916"/>
      <c r="B374" s="1123"/>
      <c r="C374" s="1127"/>
      <c r="D374" s="1125"/>
      <c r="E374" s="1125"/>
      <c r="F374" s="1130"/>
      <c r="G374" s="95"/>
      <c r="H374" s="823"/>
      <c r="I374" s="1125"/>
      <c r="J374" s="1134"/>
      <c r="K374" s="1134"/>
      <c r="L374" s="916"/>
    </row>
    <row r="375" spans="1:12" s="103" customFormat="1" ht="15.75" hidden="1" customHeight="1" outlineLevel="1">
      <c r="A375" s="916"/>
      <c r="B375" s="1124"/>
      <c r="C375" s="1128"/>
      <c r="D375" s="1126"/>
      <c r="E375" s="1126"/>
      <c r="F375" s="1132"/>
      <c r="G375" s="100"/>
      <c r="H375" s="824"/>
      <c r="I375" s="1126"/>
      <c r="J375" s="1135"/>
      <c r="K375" s="1135"/>
      <c r="L375" s="916"/>
    </row>
    <row r="376" spans="1:12" s="103" customFormat="1" ht="15.75" hidden="1" customHeight="1" outlineLevel="1">
      <c r="A376" s="916"/>
      <c r="B376" s="1123">
        <v>122</v>
      </c>
      <c r="C376" s="1127"/>
      <c r="D376" s="1125"/>
      <c r="E376" s="1125" t="s">
        <v>18</v>
      </c>
      <c r="F376" s="1130" t="str">
        <f>VLOOKUP(E376,$N$13:$O$17,2,0)</f>
        <v>-</v>
      </c>
      <c r="G376" s="92"/>
      <c r="H376" s="823"/>
      <c r="I376" s="1125"/>
      <c r="J376" s="1133"/>
      <c r="K376" s="1133"/>
      <c r="L376" s="916"/>
    </row>
    <row r="377" spans="1:12" s="103" customFormat="1" ht="15.75" hidden="1" customHeight="1" outlineLevel="1">
      <c r="A377" s="916"/>
      <c r="B377" s="1123"/>
      <c r="C377" s="1127"/>
      <c r="D377" s="1125"/>
      <c r="E377" s="1125"/>
      <c r="F377" s="1130"/>
      <c r="G377" s="95"/>
      <c r="H377" s="823"/>
      <c r="I377" s="1125"/>
      <c r="J377" s="1134"/>
      <c r="K377" s="1134"/>
      <c r="L377" s="916"/>
    </row>
    <row r="378" spans="1:12" s="103" customFormat="1" ht="15.75" hidden="1" customHeight="1" outlineLevel="1">
      <c r="A378" s="916"/>
      <c r="B378" s="1124"/>
      <c r="C378" s="1128"/>
      <c r="D378" s="1126"/>
      <c r="E378" s="1126"/>
      <c r="F378" s="1132"/>
      <c r="G378" s="100"/>
      <c r="H378" s="824"/>
      <c r="I378" s="1126"/>
      <c r="J378" s="1135"/>
      <c r="K378" s="1135"/>
      <c r="L378" s="916"/>
    </row>
    <row r="379" spans="1:12" s="103" customFormat="1" ht="15.75" hidden="1" customHeight="1" outlineLevel="1">
      <c r="A379" s="916"/>
      <c r="B379" s="1123">
        <v>123</v>
      </c>
      <c r="C379" s="1127"/>
      <c r="D379" s="1125"/>
      <c r="E379" s="1125" t="s">
        <v>18</v>
      </c>
      <c r="F379" s="1130" t="str">
        <f>VLOOKUP(E379,$N$13:$O$17,2,0)</f>
        <v>-</v>
      </c>
      <c r="G379" s="92"/>
      <c r="H379" s="823"/>
      <c r="I379" s="1125"/>
      <c r="J379" s="1133"/>
      <c r="K379" s="1133"/>
      <c r="L379" s="916"/>
    </row>
    <row r="380" spans="1:12" s="103" customFormat="1" ht="15.75" hidden="1" customHeight="1" outlineLevel="1">
      <c r="A380" s="916"/>
      <c r="B380" s="1123"/>
      <c r="C380" s="1127"/>
      <c r="D380" s="1125"/>
      <c r="E380" s="1125"/>
      <c r="F380" s="1130"/>
      <c r="G380" s="95"/>
      <c r="H380" s="823"/>
      <c r="I380" s="1125"/>
      <c r="J380" s="1134"/>
      <c r="K380" s="1134"/>
      <c r="L380" s="916"/>
    </row>
    <row r="381" spans="1:12" s="103" customFormat="1" ht="15.75" hidden="1" customHeight="1" outlineLevel="1">
      <c r="A381" s="916"/>
      <c r="B381" s="1124"/>
      <c r="C381" s="1128"/>
      <c r="D381" s="1126"/>
      <c r="E381" s="1126"/>
      <c r="F381" s="1132"/>
      <c r="G381" s="100"/>
      <c r="H381" s="824"/>
      <c r="I381" s="1126"/>
      <c r="J381" s="1135"/>
      <c r="K381" s="1135"/>
      <c r="L381" s="916"/>
    </row>
    <row r="382" spans="1:12" s="103" customFormat="1" ht="15.75" hidden="1" customHeight="1" outlineLevel="1">
      <c r="A382" s="916"/>
      <c r="B382" s="1123">
        <v>124</v>
      </c>
      <c r="C382" s="1127"/>
      <c r="D382" s="1125"/>
      <c r="E382" s="1125" t="s">
        <v>18</v>
      </c>
      <c r="F382" s="1130" t="str">
        <f>VLOOKUP(E382,$N$13:$O$17,2,0)</f>
        <v>-</v>
      </c>
      <c r="G382" s="92"/>
      <c r="H382" s="823"/>
      <c r="I382" s="1125"/>
      <c r="J382" s="1133"/>
      <c r="K382" s="1133"/>
      <c r="L382" s="916"/>
    </row>
    <row r="383" spans="1:12" s="103" customFormat="1" ht="15.75" hidden="1" customHeight="1" outlineLevel="1">
      <c r="A383" s="916"/>
      <c r="B383" s="1123"/>
      <c r="C383" s="1127"/>
      <c r="D383" s="1125"/>
      <c r="E383" s="1125"/>
      <c r="F383" s="1130"/>
      <c r="G383" s="95"/>
      <c r="H383" s="823"/>
      <c r="I383" s="1125"/>
      <c r="J383" s="1134"/>
      <c r="K383" s="1134"/>
      <c r="L383" s="916"/>
    </row>
    <row r="384" spans="1:12" s="103" customFormat="1" ht="15.75" hidden="1" customHeight="1" outlineLevel="1">
      <c r="A384" s="916"/>
      <c r="B384" s="1124"/>
      <c r="C384" s="1128"/>
      <c r="D384" s="1126"/>
      <c r="E384" s="1126"/>
      <c r="F384" s="1132"/>
      <c r="G384" s="100"/>
      <c r="H384" s="824"/>
      <c r="I384" s="1126"/>
      <c r="J384" s="1135"/>
      <c r="K384" s="1135"/>
      <c r="L384" s="916"/>
    </row>
    <row r="385" spans="1:12" s="103" customFormat="1" ht="15.75" hidden="1" customHeight="1" outlineLevel="1">
      <c r="A385" s="916"/>
      <c r="B385" s="1123">
        <v>125</v>
      </c>
      <c r="C385" s="1127"/>
      <c r="D385" s="1125"/>
      <c r="E385" s="1125" t="s">
        <v>18</v>
      </c>
      <c r="F385" s="1130" t="str">
        <f>VLOOKUP(E385,$N$13:$O$17,2,0)</f>
        <v>-</v>
      </c>
      <c r="G385" s="92"/>
      <c r="H385" s="823"/>
      <c r="I385" s="1125"/>
      <c r="J385" s="1133"/>
      <c r="K385" s="1133"/>
      <c r="L385" s="916"/>
    </row>
    <row r="386" spans="1:12" s="103" customFormat="1" ht="15.75" hidden="1" customHeight="1" outlineLevel="1">
      <c r="A386" s="916"/>
      <c r="B386" s="1123"/>
      <c r="C386" s="1127"/>
      <c r="D386" s="1125"/>
      <c r="E386" s="1125"/>
      <c r="F386" s="1130"/>
      <c r="G386" s="95"/>
      <c r="H386" s="823"/>
      <c r="I386" s="1125"/>
      <c r="J386" s="1134"/>
      <c r="K386" s="1134"/>
      <c r="L386" s="916"/>
    </row>
    <row r="387" spans="1:12" s="103" customFormat="1" ht="15.75" hidden="1" customHeight="1" outlineLevel="1">
      <c r="A387" s="916"/>
      <c r="B387" s="1124"/>
      <c r="C387" s="1128"/>
      <c r="D387" s="1126"/>
      <c r="E387" s="1126"/>
      <c r="F387" s="1132"/>
      <c r="G387" s="100"/>
      <c r="H387" s="824"/>
      <c r="I387" s="1126"/>
      <c r="J387" s="1135"/>
      <c r="K387" s="1135"/>
      <c r="L387" s="916"/>
    </row>
    <row r="388" spans="1:12" s="103" customFormat="1" ht="15.75" hidden="1" customHeight="1" outlineLevel="1">
      <c r="A388" s="916"/>
      <c r="B388" s="1123">
        <v>126</v>
      </c>
      <c r="C388" s="1127"/>
      <c r="D388" s="1125"/>
      <c r="E388" s="1125" t="s">
        <v>18</v>
      </c>
      <c r="F388" s="1130" t="str">
        <f>VLOOKUP(E388,$N$13:$O$17,2,0)</f>
        <v>-</v>
      </c>
      <c r="G388" s="92"/>
      <c r="H388" s="823"/>
      <c r="I388" s="1125"/>
      <c r="J388" s="1133"/>
      <c r="K388" s="1133"/>
      <c r="L388" s="916"/>
    </row>
    <row r="389" spans="1:12" s="103" customFormat="1" ht="15.75" hidden="1" customHeight="1" outlineLevel="1">
      <c r="A389" s="916"/>
      <c r="B389" s="1123"/>
      <c r="C389" s="1127"/>
      <c r="D389" s="1125"/>
      <c r="E389" s="1125"/>
      <c r="F389" s="1130"/>
      <c r="G389" s="95"/>
      <c r="H389" s="823"/>
      <c r="I389" s="1125"/>
      <c r="J389" s="1134"/>
      <c r="K389" s="1134"/>
      <c r="L389" s="916"/>
    </row>
    <row r="390" spans="1:12" s="103" customFormat="1" ht="15.75" hidden="1" customHeight="1" outlineLevel="1">
      <c r="A390" s="916"/>
      <c r="B390" s="1124"/>
      <c r="C390" s="1128"/>
      <c r="D390" s="1126"/>
      <c r="E390" s="1126"/>
      <c r="F390" s="1132"/>
      <c r="G390" s="100"/>
      <c r="H390" s="824"/>
      <c r="I390" s="1126"/>
      <c r="J390" s="1135"/>
      <c r="K390" s="1135"/>
      <c r="L390" s="916"/>
    </row>
    <row r="391" spans="1:12" s="103" customFormat="1" ht="15.75" hidden="1" customHeight="1" outlineLevel="1">
      <c r="A391" s="916"/>
      <c r="B391" s="1123">
        <v>127</v>
      </c>
      <c r="C391" s="1127"/>
      <c r="D391" s="1125"/>
      <c r="E391" s="1125" t="s">
        <v>18</v>
      </c>
      <c r="F391" s="1130" t="str">
        <f>VLOOKUP(E391,$N$13:$O$17,2,0)</f>
        <v>-</v>
      </c>
      <c r="G391" s="92"/>
      <c r="H391" s="823"/>
      <c r="I391" s="1125"/>
      <c r="J391" s="1133"/>
      <c r="K391" s="1133"/>
      <c r="L391" s="916"/>
    </row>
    <row r="392" spans="1:12" s="103" customFormat="1" ht="15.75" hidden="1" customHeight="1" outlineLevel="1">
      <c r="A392" s="916"/>
      <c r="B392" s="1123"/>
      <c r="C392" s="1127"/>
      <c r="D392" s="1125"/>
      <c r="E392" s="1125"/>
      <c r="F392" s="1130"/>
      <c r="G392" s="95"/>
      <c r="H392" s="823"/>
      <c r="I392" s="1125"/>
      <c r="J392" s="1134"/>
      <c r="K392" s="1134"/>
      <c r="L392" s="916"/>
    </row>
    <row r="393" spans="1:12" s="103" customFormat="1" ht="15.75" hidden="1" customHeight="1" outlineLevel="1">
      <c r="A393" s="916"/>
      <c r="B393" s="1124"/>
      <c r="C393" s="1128"/>
      <c r="D393" s="1126"/>
      <c r="E393" s="1126"/>
      <c r="F393" s="1132"/>
      <c r="G393" s="100"/>
      <c r="H393" s="824"/>
      <c r="I393" s="1126"/>
      <c r="J393" s="1135"/>
      <c r="K393" s="1135"/>
      <c r="L393" s="916"/>
    </row>
    <row r="394" spans="1:12" s="103" customFormat="1" ht="15.75" hidden="1" customHeight="1" outlineLevel="1">
      <c r="A394" s="916"/>
      <c r="B394" s="1123">
        <v>128</v>
      </c>
      <c r="C394" s="1127"/>
      <c r="D394" s="1125"/>
      <c r="E394" s="1125" t="s">
        <v>18</v>
      </c>
      <c r="F394" s="1130" t="str">
        <f>VLOOKUP(E394,$N$13:$O$17,2,0)</f>
        <v>-</v>
      </c>
      <c r="G394" s="92"/>
      <c r="H394" s="823"/>
      <c r="I394" s="1125"/>
      <c r="J394" s="1133"/>
      <c r="K394" s="1133"/>
      <c r="L394" s="916"/>
    </row>
    <row r="395" spans="1:12" s="103" customFormat="1" ht="15.75" hidden="1" customHeight="1" outlineLevel="1">
      <c r="A395" s="916"/>
      <c r="B395" s="1123"/>
      <c r="C395" s="1127"/>
      <c r="D395" s="1125"/>
      <c r="E395" s="1125"/>
      <c r="F395" s="1130"/>
      <c r="G395" s="95"/>
      <c r="H395" s="823"/>
      <c r="I395" s="1125"/>
      <c r="J395" s="1134"/>
      <c r="K395" s="1134"/>
      <c r="L395" s="916"/>
    </row>
    <row r="396" spans="1:12" s="103" customFormat="1" ht="15.75" hidden="1" customHeight="1" outlineLevel="1">
      <c r="A396" s="916"/>
      <c r="B396" s="1124"/>
      <c r="C396" s="1128"/>
      <c r="D396" s="1126"/>
      <c r="E396" s="1126"/>
      <c r="F396" s="1132"/>
      <c r="G396" s="100"/>
      <c r="H396" s="824"/>
      <c r="I396" s="1126"/>
      <c r="J396" s="1135"/>
      <c r="K396" s="1135"/>
      <c r="L396" s="916"/>
    </row>
    <row r="397" spans="1:12" s="103" customFormat="1" ht="15.75" hidden="1" customHeight="1" outlineLevel="1">
      <c r="A397" s="916"/>
      <c r="B397" s="1123">
        <v>129</v>
      </c>
      <c r="C397" s="1127"/>
      <c r="D397" s="1125"/>
      <c r="E397" s="1125" t="s">
        <v>18</v>
      </c>
      <c r="F397" s="1130" t="str">
        <f>VLOOKUP(E397,$N$13:$O$17,2,0)</f>
        <v>-</v>
      </c>
      <c r="G397" s="92"/>
      <c r="H397" s="823"/>
      <c r="I397" s="1125"/>
      <c r="J397" s="1133"/>
      <c r="K397" s="1133"/>
      <c r="L397" s="916"/>
    </row>
    <row r="398" spans="1:12" s="103" customFormat="1" ht="15.75" hidden="1" customHeight="1" outlineLevel="1">
      <c r="A398" s="916"/>
      <c r="B398" s="1123"/>
      <c r="C398" s="1127"/>
      <c r="D398" s="1125"/>
      <c r="E398" s="1125"/>
      <c r="F398" s="1130"/>
      <c r="G398" s="95"/>
      <c r="H398" s="823"/>
      <c r="I398" s="1125"/>
      <c r="J398" s="1134"/>
      <c r="K398" s="1134"/>
      <c r="L398" s="916"/>
    </row>
    <row r="399" spans="1:12" s="103" customFormat="1" ht="15.75" hidden="1" customHeight="1" outlineLevel="1">
      <c r="A399" s="916"/>
      <c r="B399" s="1124"/>
      <c r="C399" s="1128"/>
      <c r="D399" s="1126"/>
      <c r="E399" s="1126"/>
      <c r="F399" s="1132"/>
      <c r="G399" s="100"/>
      <c r="H399" s="824"/>
      <c r="I399" s="1126"/>
      <c r="J399" s="1135"/>
      <c r="K399" s="1135"/>
      <c r="L399" s="916"/>
    </row>
    <row r="400" spans="1:12" s="103" customFormat="1" ht="15.75" hidden="1" customHeight="1" outlineLevel="1">
      <c r="A400" s="916"/>
      <c r="B400" s="1123">
        <v>130</v>
      </c>
      <c r="C400" s="1127"/>
      <c r="D400" s="1125"/>
      <c r="E400" s="1125" t="s">
        <v>18</v>
      </c>
      <c r="F400" s="1130" t="str">
        <f>VLOOKUP(E400,$N$13:$O$17,2,0)</f>
        <v>-</v>
      </c>
      <c r="G400" s="92"/>
      <c r="H400" s="823"/>
      <c r="I400" s="1125"/>
      <c r="J400" s="1133"/>
      <c r="K400" s="1133"/>
      <c r="L400" s="916"/>
    </row>
    <row r="401" spans="1:12" s="103" customFormat="1" ht="15.75" hidden="1" customHeight="1" outlineLevel="1">
      <c r="A401" s="916"/>
      <c r="B401" s="1123"/>
      <c r="C401" s="1127"/>
      <c r="D401" s="1125"/>
      <c r="E401" s="1125"/>
      <c r="F401" s="1130"/>
      <c r="G401" s="95"/>
      <c r="H401" s="823"/>
      <c r="I401" s="1125"/>
      <c r="J401" s="1134"/>
      <c r="K401" s="1134"/>
      <c r="L401" s="916"/>
    </row>
    <row r="402" spans="1:12" s="103" customFormat="1" ht="15.75" hidden="1" customHeight="1" outlineLevel="1">
      <c r="A402" s="916"/>
      <c r="B402" s="1124"/>
      <c r="C402" s="1128"/>
      <c r="D402" s="1126"/>
      <c r="E402" s="1126"/>
      <c r="F402" s="1132"/>
      <c r="G402" s="100"/>
      <c r="H402" s="824"/>
      <c r="I402" s="1126"/>
      <c r="J402" s="1135"/>
      <c r="K402" s="1135"/>
      <c r="L402" s="916"/>
    </row>
    <row r="403" spans="1:12" s="103" customFormat="1" ht="15.75" hidden="1" customHeight="1" outlineLevel="1">
      <c r="A403" s="916"/>
      <c r="B403" s="1123">
        <v>131</v>
      </c>
      <c r="C403" s="1127"/>
      <c r="D403" s="1125"/>
      <c r="E403" s="1125" t="s">
        <v>18</v>
      </c>
      <c r="F403" s="1130" t="str">
        <f>VLOOKUP(E403,$N$13:$O$17,2,0)</f>
        <v>-</v>
      </c>
      <c r="G403" s="92"/>
      <c r="H403" s="823"/>
      <c r="I403" s="1125"/>
      <c r="J403" s="1133"/>
      <c r="K403" s="1133"/>
      <c r="L403" s="916"/>
    </row>
    <row r="404" spans="1:12" s="103" customFormat="1" ht="15.75" hidden="1" customHeight="1" outlineLevel="1">
      <c r="A404" s="916"/>
      <c r="B404" s="1123"/>
      <c r="C404" s="1127"/>
      <c r="D404" s="1125"/>
      <c r="E404" s="1125"/>
      <c r="F404" s="1130"/>
      <c r="G404" s="95"/>
      <c r="H404" s="823"/>
      <c r="I404" s="1125"/>
      <c r="J404" s="1134"/>
      <c r="K404" s="1134"/>
      <c r="L404" s="916"/>
    </row>
    <row r="405" spans="1:12" s="103" customFormat="1" ht="15.75" hidden="1" customHeight="1" outlineLevel="1">
      <c r="A405" s="916"/>
      <c r="B405" s="1124"/>
      <c r="C405" s="1128"/>
      <c r="D405" s="1126"/>
      <c r="E405" s="1126"/>
      <c r="F405" s="1132"/>
      <c r="G405" s="100"/>
      <c r="H405" s="824"/>
      <c r="I405" s="1126"/>
      <c r="J405" s="1135"/>
      <c r="K405" s="1135"/>
      <c r="L405" s="916"/>
    </row>
    <row r="406" spans="1:12" s="103" customFormat="1" ht="15.75" hidden="1" customHeight="1" outlineLevel="1">
      <c r="A406" s="916"/>
      <c r="B406" s="1123">
        <v>132</v>
      </c>
      <c r="C406" s="1127"/>
      <c r="D406" s="1125"/>
      <c r="E406" s="1125" t="s">
        <v>18</v>
      </c>
      <c r="F406" s="1130" t="str">
        <f>VLOOKUP(E406,$N$13:$O$17,2,0)</f>
        <v>-</v>
      </c>
      <c r="G406" s="92"/>
      <c r="H406" s="823"/>
      <c r="I406" s="1125"/>
      <c r="J406" s="1133"/>
      <c r="K406" s="1133"/>
      <c r="L406" s="916"/>
    </row>
    <row r="407" spans="1:12" s="103" customFormat="1" ht="15.75" hidden="1" customHeight="1" outlineLevel="1">
      <c r="A407" s="916"/>
      <c r="B407" s="1123"/>
      <c r="C407" s="1127"/>
      <c r="D407" s="1125"/>
      <c r="E407" s="1125"/>
      <c r="F407" s="1130"/>
      <c r="G407" s="95"/>
      <c r="H407" s="823"/>
      <c r="I407" s="1125"/>
      <c r="J407" s="1134"/>
      <c r="K407" s="1134"/>
      <c r="L407" s="916"/>
    </row>
    <row r="408" spans="1:12" s="103" customFormat="1" ht="15.75" hidden="1" customHeight="1" outlineLevel="1">
      <c r="A408" s="916"/>
      <c r="B408" s="1124"/>
      <c r="C408" s="1128"/>
      <c r="D408" s="1126"/>
      <c r="E408" s="1126"/>
      <c r="F408" s="1132"/>
      <c r="G408" s="100"/>
      <c r="H408" s="824"/>
      <c r="I408" s="1126"/>
      <c r="J408" s="1135"/>
      <c r="K408" s="1135"/>
      <c r="L408" s="916"/>
    </row>
    <row r="409" spans="1:12" s="103" customFormat="1" ht="15.75" hidden="1" customHeight="1" outlineLevel="1">
      <c r="A409" s="916"/>
      <c r="B409" s="1123">
        <v>133</v>
      </c>
      <c r="C409" s="1127"/>
      <c r="D409" s="1125"/>
      <c r="E409" s="1125" t="s">
        <v>18</v>
      </c>
      <c r="F409" s="1130" t="str">
        <f>VLOOKUP(E409,$N$13:$O$17,2,0)</f>
        <v>-</v>
      </c>
      <c r="G409" s="92"/>
      <c r="H409" s="823"/>
      <c r="I409" s="1125"/>
      <c r="J409" s="1133"/>
      <c r="K409" s="1133"/>
      <c r="L409" s="916"/>
    </row>
    <row r="410" spans="1:12" s="103" customFormat="1" ht="15.75" hidden="1" customHeight="1" outlineLevel="1">
      <c r="A410" s="916"/>
      <c r="B410" s="1123"/>
      <c r="C410" s="1127"/>
      <c r="D410" s="1125"/>
      <c r="E410" s="1125"/>
      <c r="F410" s="1130"/>
      <c r="G410" s="95"/>
      <c r="H410" s="823"/>
      <c r="I410" s="1125"/>
      <c r="J410" s="1134"/>
      <c r="K410" s="1134"/>
      <c r="L410" s="916"/>
    </row>
    <row r="411" spans="1:12" s="103" customFormat="1" ht="15.75" hidden="1" customHeight="1" outlineLevel="1">
      <c r="A411" s="916"/>
      <c r="B411" s="1124"/>
      <c r="C411" s="1128"/>
      <c r="D411" s="1126"/>
      <c r="E411" s="1126"/>
      <c r="F411" s="1132"/>
      <c r="G411" s="100"/>
      <c r="H411" s="824"/>
      <c r="I411" s="1126"/>
      <c r="J411" s="1135"/>
      <c r="K411" s="1135"/>
      <c r="L411" s="916"/>
    </row>
    <row r="412" spans="1:12" s="103" customFormat="1" ht="15.75" hidden="1" customHeight="1" outlineLevel="1">
      <c r="A412" s="916"/>
      <c r="B412" s="1123">
        <v>134</v>
      </c>
      <c r="C412" s="1127"/>
      <c r="D412" s="1125"/>
      <c r="E412" s="1125" t="s">
        <v>18</v>
      </c>
      <c r="F412" s="1130" t="str">
        <f>VLOOKUP(E412,$N$13:$O$17,2,0)</f>
        <v>-</v>
      </c>
      <c r="G412" s="92"/>
      <c r="H412" s="823"/>
      <c r="I412" s="1125"/>
      <c r="J412" s="1133"/>
      <c r="K412" s="1133"/>
      <c r="L412" s="916"/>
    </row>
    <row r="413" spans="1:12" s="103" customFormat="1" ht="15.75" hidden="1" customHeight="1" outlineLevel="1">
      <c r="A413" s="916"/>
      <c r="B413" s="1123"/>
      <c r="C413" s="1127"/>
      <c r="D413" s="1125"/>
      <c r="E413" s="1125"/>
      <c r="F413" s="1130"/>
      <c r="G413" s="95"/>
      <c r="H413" s="823"/>
      <c r="I413" s="1125"/>
      <c r="J413" s="1134"/>
      <c r="K413" s="1134"/>
      <c r="L413" s="916"/>
    </row>
    <row r="414" spans="1:12" s="103" customFormat="1" ht="15.75" hidden="1" customHeight="1" outlineLevel="1">
      <c r="A414" s="916"/>
      <c r="B414" s="1124"/>
      <c r="C414" s="1128"/>
      <c r="D414" s="1126"/>
      <c r="E414" s="1126"/>
      <c r="F414" s="1132"/>
      <c r="G414" s="100"/>
      <c r="H414" s="824"/>
      <c r="I414" s="1126"/>
      <c r="J414" s="1135"/>
      <c r="K414" s="1135"/>
      <c r="L414" s="916"/>
    </row>
    <row r="415" spans="1:12" s="103" customFormat="1" ht="15.75" hidden="1" customHeight="1" outlineLevel="1">
      <c r="A415" s="916"/>
      <c r="B415" s="1123">
        <v>135</v>
      </c>
      <c r="C415" s="1127"/>
      <c r="D415" s="1125"/>
      <c r="E415" s="1125" t="s">
        <v>18</v>
      </c>
      <c r="F415" s="1130" t="str">
        <f>VLOOKUP(E415,$N$13:$O$17,2,0)</f>
        <v>-</v>
      </c>
      <c r="G415" s="92"/>
      <c r="H415" s="823"/>
      <c r="I415" s="1125"/>
      <c r="J415" s="1133"/>
      <c r="K415" s="1133"/>
      <c r="L415" s="916"/>
    </row>
    <row r="416" spans="1:12" s="103" customFormat="1" ht="15.75" hidden="1" customHeight="1" outlineLevel="1">
      <c r="A416" s="916"/>
      <c r="B416" s="1123"/>
      <c r="C416" s="1127"/>
      <c r="D416" s="1125"/>
      <c r="E416" s="1125"/>
      <c r="F416" s="1130"/>
      <c r="G416" s="95"/>
      <c r="H416" s="823"/>
      <c r="I416" s="1125"/>
      <c r="J416" s="1134"/>
      <c r="K416" s="1134"/>
      <c r="L416" s="916"/>
    </row>
    <row r="417" spans="1:12" s="103" customFormat="1" ht="15.75" hidden="1" customHeight="1" outlineLevel="1">
      <c r="A417" s="916"/>
      <c r="B417" s="1124"/>
      <c r="C417" s="1128"/>
      <c r="D417" s="1126"/>
      <c r="E417" s="1126"/>
      <c r="F417" s="1132"/>
      <c r="G417" s="100"/>
      <c r="H417" s="824"/>
      <c r="I417" s="1126"/>
      <c r="J417" s="1135"/>
      <c r="K417" s="1135"/>
      <c r="L417" s="916"/>
    </row>
    <row r="418" spans="1:12" s="103" customFormat="1" ht="15.75" hidden="1" customHeight="1" outlineLevel="1">
      <c r="A418" s="916"/>
      <c r="B418" s="1123">
        <v>136</v>
      </c>
      <c r="C418" s="1127"/>
      <c r="D418" s="1125"/>
      <c r="E418" s="1125" t="s">
        <v>18</v>
      </c>
      <c r="F418" s="1130" t="str">
        <f>VLOOKUP(E418,$N$13:$O$17,2,0)</f>
        <v>-</v>
      </c>
      <c r="G418" s="92"/>
      <c r="H418" s="823"/>
      <c r="I418" s="1125"/>
      <c r="J418" s="1133"/>
      <c r="K418" s="1133"/>
      <c r="L418" s="916"/>
    </row>
    <row r="419" spans="1:12" s="103" customFormat="1" ht="15.75" hidden="1" customHeight="1" outlineLevel="1">
      <c r="A419" s="916"/>
      <c r="B419" s="1123"/>
      <c r="C419" s="1127"/>
      <c r="D419" s="1125"/>
      <c r="E419" s="1125"/>
      <c r="F419" s="1130"/>
      <c r="G419" s="95"/>
      <c r="H419" s="823"/>
      <c r="I419" s="1125"/>
      <c r="J419" s="1134"/>
      <c r="K419" s="1134"/>
      <c r="L419" s="916"/>
    </row>
    <row r="420" spans="1:12" s="103" customFormat="1" ht="15.75" hidden="1" customHeight="1" outlineLevel="1">
      <c r="A420" s="916"/>
      <c r="B420" s="1124"/>
      <c r="C420" s="1128"/>
      <c r="D420" s="1126"/>
      <c r="E420" s="1126"/>
      <c r="F420" s="1132"/>
      <c r="G420" s="100"/>
      <c r="H420" s="824"/>
      <c r="I420" s="1126"/>
      <c r="J420" s="1135"/>
      <c r="K420" s="1135"/>
      <c r="L420" s="916"/>
    </row>
    <row r="421" spans="1:12" s="103" customFormat="1" ht="15.75" hidden="1" customHeight="1" outlineLevel="1">
      <c r="A421" s="916"/>
      <c r="B421" s="1123">
        <v>137</v>
      </c>
      <c r="C421" s="1127"/>
      <c r="D421" s="1125"/>
      <c r="E421" s="1125" t="s">
        <v>18</v>
      </c>
      <c r="F421" s="1130" t="str">
        <f>VLOOKUP(E421,$N$13:$O$17,2,0)</f>
        <v>-</v>
      </c>
      <c r="G421" s="92"/>
      <c r="H421" s="823"/>
      <c r="I421" s="1125"/>
      <c r="J421" s="1133"/>
      <c r="K421" s="1133"/>
      <c r="L421" s="916"/>
    </row>
    <row r="422" spans="1:12" s="103" customFormat="1" ht="15.75" hidden="1" customHeight="1" outlineLevel="1">
      <c r="A422" s="916"/>
      <c r="B422" s="1123"/>
      <c r="C422" s="1127"/>
      <c r="D422" s="1125"/>
      <c r="E422" s="1125"/>
      <c r="F422" s="1130"/>
      <c r="G422" s="95"/>
      <c r="H422" s="823"/>
      <c r="I422" s="1125"/>
      <c r="J422" s="1134"/>
      <c r="K422" s="1134"/>
      <c r="L422" s="916"/>
    </row>
    <row r="423" spans="1:12" s="103" customFormat="1" ht="15.75" hidden="1" customHeight="1" outlineLevel="1">
      <c r="A423" s="916"/>
      <c r="B423" s="1124"/>
      <c r="C423" s="1128"/>
      <c r="D423" s="1126"/>
      <c r="E423" s="1126"/>
      <c r="F423" s="1132"/>
      <c r="G423" s="100"/>
      <c r="H423" s="824"/>
      <c r="I423" s="1126"/>
      <c r="J423" s="1135"/>
      <c r="K423" s="1135"/>
      <c r="L423" s="916"/>
    </row>
    <row r="424" spans="1:12" s="103" customFormat="1" ht="15.75" hidden="1" customHeight="1" outlineLevel="1">
      <c r="A424" s="916"/>
      <c r="B424" s="1123">
        <v>138</v>
      </c>
      <c r="C424" s="1127"/>
      <c r="D424" s="1125"/>
      <c r="E424" s="1125" t="s">
        <v>18</v>
      </c>
      <c r="F424" s="1130" t="str">
        <f>VLOOKUP(E424,$N$13:$O$17,2,0)</f>
        <v>-</v>
      </c>
      <c r="G424" s="92"/>
      <c r="H424" s="823"/>
      <c r="I424" s="1125"/>
      <c r="J424" s="1133"/>
      <c r="K424" s="1133"/>
      <c r="L424" s="916"/>
    </row>
    <row r="425" spans="1:12" s="103" customFormat="1" ht="15.75" hidden="1" customHeight="1" outlineLevel="1">
      <c r="A425" s="916"/>
      <c r="B425" s="1123"/>
      <c r="C425" s="1127"/>
      <c r="D425" s="1125"/>
      <c r="E425" s="1125"/>
      <c r="F425" s="1130"/>
      <c r="G425" s="95"/>
      <c r="H425" s="823"/>
      <c r="I425" s="1125"/>
      <c r="J425" s="1134"/>
      <c r="K425" s="1134"/>
      <c r="L425" s="916"/>
    </row>
    <row r="426" spans="1:12" s="103" customFormat="1" ht="15.75" hidden="1" customHeight="1" outlineLevel="1">
      <c r="A426" s="916"/>
      <c r="B426" s="1124"/>
      <c r="C426" s="1128"/>
      <c r="D426" s="1126"/>
      <c r="E426" s="1126"/>
      <c r="F426" s="1132"/>
      <c r="G426" s="100"/>
      <c r="H426" s="824"/>
      <c r="I426" s="1126"/>
      <c r="J426" s="1135"/>
      <c r="K426" s="1135"/>
      <c r="L426" s="916"/>
    </row>
    <row r="427" spans="1:12" s="103" customFormat="1" ht="15.75" hidden="1" customHeight="1" outlineLevel="1">
      <c r="A427" s="916"/>
      <c r="B427" s="1123">
        <v>139</v>
      </c>
      <c r="C427" s="1127"/>
      <c r="D427" s="1125"/>
      <c r="E427" s="1125" t="s">
        <v>18</v>
      </c>
      <c r="F427" s="1130" t="str">
        <f>VLOOKUP(E427,$N$13:$O$17,2,0)</f>
        <v>-</v>
      </c>
      <c r="G427" s="92"/>
      <c r="H427" s="823"/>
      <c r="I427" s="1125"/>
      <c r="J427" s="1133"/>
      <c r="K427" s="1133"/>
      <c r="L427" s="916"/>
    </row>
    <row r="428" spans="1:12" s="103" customFormat="1" ht="15.75" hidden="1" customHeight="1" outlineLevel="1">
      <c r="A428" s="916"/>
      <c r="B428" s="1123"/>
      <c r="C428" s="1127"/>
      <c r="D428" s="1125"/>
      <c r="E428" s="1125"/>
      <c r="F428" s="1130"/>
      <c r="G428" s="95"/>
      <c r="H428" s="823"/>
      <c r="I428" s="1125"/>
      <c r="J428" s="1134"/>
      <c r="K428" s="1134"/>
      <c r="L428" s="916"/>
    </row>
    <row r="429" spans="1:12" s="103" customFormat="1" ht="15.75" hidden="1" customHeight="1" outlineLevel="1">
      <c r="A429" s="916"/>
      <c r="B429" s="1124"/>
      <c r="C429" s="1128"/>
      <c r="D429" s="1126"/>
      <c r="E429" s="1126"/>
      <c r="F429" s="1132"/>
      <c r="G429" s="100"/>
      <c r="H429" s="824"/>
      <c r="I429" s="1126"/>
      <c r="J429" s="1135"/>
      <c r="K429" s="1135"/>
      <c r="L429" s="916"/>
    </row>
    <row r="430" spans="1:12" s="103" customFormat="1" ht="15.75" hidden="1" customHeight="1" outlineLevel="1">
      <c r="A430" s="916"/>
      <c r="B430" s="1123">
        <v>140</v>
      </c>
      <c r="C430" s="1127"/>
      <c r="D430" s="1125"/>
      <c r="E430" s="1125" t="s">
        <v>18</v>
      </c>
      <c r="F430" s="1130" t="str">
        <f>VLOOKUP(E430,$N$13:$O$17,2,0)</f>
        <v>-</v>
      </c>
      <c r="G430" s="92"/>
      <c r="H430" s="823"/>
      <c r="I430" s="1125"/>
      <c r="J430" s="1133"/>
      <c r="K430" s="1133"/>
      <c r="L430" s="916"/>
    </row>
    <row r="431" spans="1:12" s="103" customFormat="1" ht="15.75" hidden="1" customHeight="1" outlineLevel="1">
      <c r="A431" s="916"/>
      <c r="B431" s="1123"/>
      <c r="C431" s="1127"/>
      <c r="D431" s="1125"/>
      <c r="E431" s="1125"/>
      <c r="F431" s="1130"/>
      <c r="G431" s="95"/>
      <c r="H431" s="823"/>
      <c r="I431" s="1125"/>
      <c r="J431" s="1134"/>
      <c r="K431" s="1134"/>
      <c r="L431" s="916"/>
    </row>
    <row r="432" spans="1:12" s="103" customFormat="1" ht="15.75" hidden="1" customHeight="1" outlineLevel="1">
      <c r="A432" s="916"/>
      <c r="B432" s="1124"/>
      <c r="C432" s="1128"/>
      <c r="D432" s="1126"/>
      <c r="E432" s="1126"/>
      <c r="F432" s="1132"/>
      <c r="G432" s="100"/>
      <c r="H432" s="824"/>
      <c r="I432" s="1126"/>
      <c r="J432" s="1135"/>
      <c r="K432" s="1135"/>
      <c r="L432" s="916"/>
    </row>
    <row r="433" spans="1:12" s="103" customFormat="1" ht="15.75" hidden="1" customHeight="1" outlineLevel="1">
      <c r="A433" s="916"/>
      <c r="B433" s="1123">
        <v>141</v>
      </c>
      <c r="C433" s="1127"/>
      <c r="D433" s="1125"/>
      <c r="E433" s="1125" t="s">
        <v>18</v>
      </c>
      <c r="F433" s="1130" t="str">
        <f>VLOOKUP(E433,$N$13:$O$17,2,0)</f>
        <v>-</v>
      </c>
      <c r="G433" s="92"/>
      <c r="H433" s="823"/>
      <c r="I433" s="1125"/>
      <c r="J433" s="1133"/>
      <c r="K433" s="1133"/>
      <c r="L433" s="916"/>
    </row>
    <row r="434" spans="1:12" s="103" customFormat="1" ht="15.75" hidden="1" customHeight="1" outlineLevel="1">
      <c r="A434" s="916"/>
      <c r="B434" s="1123"/>
      <c r="C434" s="1127"/>
      <c r="D434" s="1125"/>
      <c r="E434" s="1125"/>
      <c r="F434" s="1130"/>
      <c r="G434" s="95"/>
      <c r="H434" s="823"/>
      <c r="I434" s="1125"/>
      <c r="J434" s="1134"/>
      <c r="K434" s="1134"/>
      <c r="L434" s="916"/>
    </row>
    <row r="435" spans="1:12" s="103" customFormat="1" ht="15.75" hidden="1" customHeight="1" outlineLevel="1">
      <c r="A435" s="916"/>
      <c r="B435" s="1124"/>
      <c r="C435" s="1128"/>
      <c r="D435" s="1126"/>
      <c r="E435" s="1126"/>
      <c r="F435" s="1132"/>
      <c r="G435" s="100"/>
      <c r="H435" s="824"/>
      <c r="I435" s="1126"/>
      <c r="J435" s="1135"/>
      <c r="K435" s="1135"/>
      <c r="L435" s="916"/>
    </row>
    <row r="436" spans="1:12" s="103" customFormat="1" ht="15.75" hidden="1" customHeight="1" outlineLevel="1">
      <c r="A436" s="916"/>
      <c r="B436" s="1123">
        <v>142</v>
      </c>
      <c r="C436" s="1127"/>
      <c r="D436" s="1125"/>
      <c r="E436" s="1125" t="s">
        <v>18</v>
      </c>
      <c r="F436" s="1130" t="str">
        <f>VLOOKUP(E436,$N$13:$O$17,2,0)</f>
        <v>-</v>
      </c>
      <c r="G436" s="92"/>
      <c r="H436" s="823"/>
      <c r="I436" s="1125"/>
      <c r="J436" s="1133"/>
      <c r="K436" s="1133"/>
      <c r="L436" s="916"/>
    </row>
    <row r="437" spans="1:12" s="103" customFormat="1" ht="15.75" hidden="1" customHeight="1" outlineLevel="1">
      <c r="A437" s="916"/>
      <c r="B437" s="1123"/>
      <c r="C437" s="1127"/>
      <c r="D437" s="1125"/>
      <c r="E437" s="1125"/>
      <c r="F437" s="1130"/>
      <c r="G437" s="95"/>
      <c r="H437" s="823"/>
      <c r="I437" s="1125"/>
      <c r="J437" s="1134"/>
      <c r="K437" s="1134"/>
      <c r="L437" s="916"/>
    </row>
    <row r="438" spans="1:12" s="103" customFormat="1" ht="15.75" hidden="1" customHeight="1" outlineLevel="1">
      <c r="A438" s="916"/>
      <c r="B438" s="1124"/>
      <c r="C438" s="1128"/>
      <c r="D438" s="1126"/>
      <c r="E438" s="1126"/>
      <c r="F438" s="1132"/>
      <c r="G438" s="100"/>
      <c r="H438" s="824"/>
      <c r="I438" s="1126"/>
      <c r="J438" s="1135"/>
      <c r="K438" s="1135"/>
      <c r="L438" s="916"/>
    </row>
    <row r="439" spans="1:12" s="103" customFormat="1" ht="15.75" hidden="1" customHeight="1" outlineLevel="1">
      <c r="A439" s="916"/>
      <c r="B439" s="1123">
        <v>143</v>
      </c>
      <c r="C439" s="1127"/>
      <c r="D439" s="1125"/>
      <c r="E439" s="1125" t="s">
        <v>18</v>
      </c>
      <c r="F439" s="1130" t="str">
        <f>VLOOKUP(E439,$N$13:$O$17,2,0)</f>
        <v>-</v>
      </c>
      <c r="G439" s="92"/>
      <c r="H439" s="823"/>
      <c r="I439" s="1125"/>
      <c r="J439" s="1133"/>
      <c r="K439" s="1133"/>
      <c r="L439" s="916"/>
    </row>
    <row r="440" spans="1:12" s="103" customFormat="1" ht="15.75" hidden="1" customHeight="1" outlineLevel="1">
      <c r="A440" s="916"/>
      <c r="B440" s="1123"/>
      <c r="C440" s="1127"/>
      <c r="D440" s="1125"/>
      <c r="E440" s="1125"/>
      <c r="F440" s="1130"/>
      <c r="G440" s="95"/>
      <c r="H440" s="823"/>
      <c r="I440" s="1125"/>
      <c r="J440" s="1134"/>
      <c r="K440" s="1134"/>
      <c r="L440" s="916"/>
    </row>
    <row r="441" spans="1:12" s="103" customFormat="1" ht="15.75" hidden="1" customHeight="1" outlineLevel="1">
      <c r="A441" s="916"/>
      <c r="B441" s="1124"/>
      <c r="C441" s="1128"/>
      <c r="D441" s="1126"/>
      <c r="E441" s="1126"/>
      <c r="F441" s="1132"/>
      <c r="G441" s="100"/>
      <c r="H441" s="824"/>
      <c r="I441" s="1126"/>
      <c r="J441" s="1135"/>
      <c r="K441" s="1135"/>
      <c r="L441" s="916"/>
    </row>
    <row r="442" spans="1:12" s="103" customFormat="1" ht="15.75" hidden="1" customHeight="1" outlineLevel="1">
      <c r="A442" s="916"/>
      <c r="B442" s="1123">
        <v>144</v>
      </c>
      <c r="C442" s="1127"/>
      <c r="D442" s="1125"/>
      <c r="E442" s="1125" t="s">
        <v>18</v>
      </c>
      <c r="F442" s="1130" t="str">
        <f>VLOOKUP(E442,$N$13:$O$17,2,0)</f>
        <v>-</v>
      </c>
      <c r="G442" s="92"/>
      <c r="H442" s="823"/>
      <c r="I442" s="1125"/>
      <c r="J442" s="1133"/>
      <c r="K442" s="1133"/>
      <c r="L442" s="916"/>
    </row>
    <row r="443" spans="1:12" s="103" customFormat="1" ht="15.75" hidden="1" customHeight="1" outlineLevel="1">
      <c r="A443" s="916"/>
      <c r="B443" s="1123"/>
      <c r="C443" s="1127"/>
      <c r="D443" s="1125"/>
      <c r="E443" s="1125"/>
      <c r="F443" s="1130"/>
      <c r="G443" s="95"/>
      <c r="H443" s="823"/>
      <c r="I443" s="1125"/>
      <c r="J443" s="1134"/>
      <c r="K443" s="1134"/>
      <c r="L443" s="916"/>
    </row>
    <row r="444" spans="1:12" s="103" customFormat="1" ht="15.75" hidden="1" customHeight="1" outlineLevel="1">
      <c r="A444" s="916"/>
      <c r="B444" s="1124"/>
      <c r="C444" s="1128"/>
      <c r="D444" s="1126"/>
      <c r="E444" s="1126"/>
      <c r="F444" s="1132"/>
      <c r="G444" s="100"/>
      <c r="H444" s="824"/>
      <c r="I444" s="1126"/>
      <c r="J444" s="1135"/>
      <c r="K444" s="1135"/>
      <c r="L444" s="916"/>
    </row>
    <row r="445" spans="1:12" s="103" customFormat="1" ht="15.75" hidden="1" customHeight="1" outlineLevel="1">
      <c r="A445" s="916"/>
      <c r="B445" s="1123">
        <v>145</v>
      </c>
      <c r="C445" s="1127"/>
      <c r="D445" s="1125"/>
      <c r="E445" s="1125" t="s">
        <v>18</v>
      </c>
      <c r="F445" s="1130" t="str">
        <f>VLOOKUP(E445,$N$13:$O$17,2,0)</f>
        <v>-</v>
      </c>
      <c r="G445" s="92"/>
      <c r="H445" s="823"/>
      <c r="I445" s="1125"/>
      <c r="J445" s="1133"/>
      <c r="K445" s="1133"/>
      <c r="L445" s="916"/>
    </row>
    <row r="446" spans="1:12" s="103" customFormat="1" ht="15.75" hidden="1" customHeight="1" outlineLevel="1">
      <c r="A446" s="916"/>
      <c r="B446" s="1123"/>
      <c r="C446" s="1127"/>
      <c r="D446" s="1125"/>
      <c r="E446" s="1125"/>
      <c r="F446" s="1130"/>
      <c r="G446" s="95"/>
      <c r="H446" s="823"/>
      <c r="I446" s="1125"/>
      <c r="J446" s="1134"/>
      <c r="K446" s="1134"/>
      <c r="L446" s="916"/>
    </row>
    <row r="447" spans="1:12" s="103" customFormat="1" ht="15.75" hidden="1" customHeight="1" outlineLevel="1">
      <c r="A447" s="916"/>
      <c r="B447" s="1124"/>
      <c r="C447" s="1128"/>
      <c r="D447" s="1126"/>
      <c r="E447" s="1126"/>
      <c r="F447" s="1132"/>
      <c r="G447" s="100"/>
      <c r="H447" s="824"/>
      <c r="I447" s="1126"/>
      <c r="J447" s="1135"/>
      <c r="K447" s="1135"/>
      <c r="L447" s="916"/>
    </row>
    <row r="448" spans="1:12" s="103" customFormat="1" ht="15.75" hidden="1" customHeight="1" outlineLevel="1">
      <c r="A448" s="916"/>
      <c r="B448" s="1123">
        <v>146</v>
      </c>
      <c r="C448" s="1127"/>
      <c r="D448" s="1125"/>
      <c r="E448" s="1125" t="s">
        <v>18</v>
      </c>
      <c r="F448" s="1130" t="str">
        <f>VLOOKUP(E448,$N$13:$O$17,2,0)</f>
        <v>-</v>
      </c>
      <c r="G448" s="92"/>
      <c r="H448" s="823"/>
      <c r="I448" s="1125"/>
      <c r="J448" s="1133"/>
      <c r="K448" s="1133"/>
      <c r="L448" s="916"/>
    </row>
    <row r="449" spans="1:12" s="103" customFormat="1" ht="15.75" hidden="1" customHeight="1" outlineLevel="1">
      <c r="A449" s="916"/>
      <c r="B449" s="1123"/>
      <c r="C449" s="1127"/>
      <c r="D449" s="1125"/>
      <c r="E449" s="1125"/>
      <c r="F449" s="1130"/>
      <c r="G449" s="95"/>
      <c r="H449" s="823"/>
      <c r="I449" s="1125"/>
      <c r="J449" s="1134"/>
      <c r="K449" s="1134"/>
      <c r="L449" s="916"/>
    </row>
    <row r="450" spans="1:12" s="103" customFormat="1" ht="15.75" hidden="1" customHeight="1" outlineLevel="1">
      <c r="A450" s="916"/>
      <c r="B450" s="1124"/>
      <c r="C450" s="1128"/>
      <c r="D450" s="1126"/>
      <c r="E450" s="1126"/>
      <c r="F450" s="1132"/>
      <c r="G450" s="100"/>
      <c r="H450" s="824"/>
      <c r="I450" s="1126"/>
      <c r="J450" s="1135"/>
      <c r="K450" s="1135"/>
      <c r="L450" s="916"/>
    </row>
    <row r="451" spans="1:12" s="103" customFormat="1" ht="15.75" hidden="1" customHeight="1" outlineLevel="1">
      <c r="A451" s="916"/>
      <c r="B451" s="1123">
        <v>147</v>
      </c>
      <c r="C451" s="1127"/>
      <c r="D451" s="1125"/>
      <c r="E451" s="1125" t="s">
        <v>18</v>
      </c>
      <c r="F451" s="1130" t="str">
        <f>VLOOKUP(E451,$N$13:$O$17,2,0)</f>
        <v>-</v>
      </c>
      <c r="G451" s="92"/>
      <c r="H451" s="823"/>
      <c r="I451" s="1125"/>
      <c r="J451" s="1133"/>
      <c r="K451" s="1133"/>
      <c r="L451" s="916"/>
    </row>
    <row r="452" spans="1:12" s="103" customFormat="1" ht="15.75" hidden="1" customHeight="1" outlineLevel="1">
      <c r="A452" s="916"/>
      <c r="B452" s="1123"/>
      <c r="C452" s="1127"/>
      <c r="D452" s="1125"/>
      <c r="E452" s="1125"/>
      <c r="F452" s="1130"/>
      <c r="G452" s="95"/>
      <c r="H452" s="823"/>
      <c r="I452" s="1125"/>
      <c r="J452" s="1134"/>
      <c r="K452" s="1134"/>
      <c r="L452" s="916"/>
    </row>
    <row r="453" spans="1:12" s="103" customFormat="1" ht="15.75" hidden="1" customHeight="1" outlineLevel="1">
      <c r="A453" s="916"/>
      <c r="B453" s="1124"/>
      <c r="C453" s="1128"/>
      <c r="D453" s="1126"/>
      <c r="E453" s="1126"/>
      <c r="F453" s="1132"/>
      <c r="G453" s="100"/>
      <c r="H453" s="824"/>
      <c r="I453" s="1126"/>
      <c r="J453" s="1135"/>
      <c r="K453" s="1135"/>
      <c r="L453" s="916"/>
    </row>
    <row r="454" spans="1:12" s="103" customFormat="1" ht="15.75" hidden="1" customHeight="1" outlineLevel="1">
      <c r="A454" s="916"/>
      <c r="B454" s="1123">
        <v>148</v>
      </c>
      <c r="C454" s="1127"/>
      <c r="D454" s="1125"/>
      <c r="E454" s="1125" t="s">
        <v>18</v>
      </c>
      <c r="F454" s="1130" t="str">
        <f>VLOOKUP(E454,$N$13:$O$17,2,0)</f>
        <v>-</v>
      </c>
      <c r="G454" s="92"/>
      <c r="H454" s="823"/>
      <c r="I454" s="1125"/>
      <c r="J454" s="1133"/>
      <c r="K454" s="1133"/>
      <c r="L454" s="916"/>
    </row>
    <row r="455" spans="1:12" s="103" customFormat="1" ht="15.75" hidden="1" customHeight="1" outlineLevel="1">
      <c r="A455" s="916"/>
      <c r="B455" s="1123"/>
      <c r="C455" s="1127"/>
      <c r="D455" s="1125"/>
      <c r="E455" s="1125"/>
      <c r="F455" s="1130"/>
      <c r="G455" s="95"/>
      <c r="H455" s="823"/>
      <c r="I455" s="1125"/>
      <c r="J455" s="1134"/>
      <c r="K455" s="1134"/>
      <c r="L455" s="916"/>
    </row>
    <row r="456" spans="1:12" s="103" customFormat="1" ht="15.75" hidden="1" customHeight="1" outlineLevel="1">
      <c r="A456" s="916"/>
      <c r="B456" s="1124"/>
      <c r="C456" s="1128"/>
      <c r="D456" s="1126"/>
      <c r="E456" s="1126"/>
      <c r="F456" s="1132"/>
      <c r="G456" s="100"/>
      <c r="H456" s="824"/>
      <c r="I456" s="1126"/>
      <c r="J456" s="1135"/>
      <c r="K456" s="1135"/>
      <c r="L456" s="916"/>
    </row>
    <row r="457" spans="1:12" s="103" customFormat="1" ht="15.75" hidden="1" customHeight="1" outlineLevel="1">
      <c r="A457" s="916"/>
      <c r="B457" s="1123">
        <v>149</v>
      </c>
      <c r="C457" s="1127"/>
      <c r="D457" s="1125"/>
      <c r="E457" s="1125" t="s">
        <v>18</v>
      </c>
      <c r="F457" s="1130" t="str">
        <f>VLOOKUP(E457,$N$13:$O$17,2,0)</f>
        <v>-</v>
      </c>
      <c r="G457" s="92"/>
      <c r="H457" s="823"/>
      <c r="I457" s="1125"/>
      <c r="J457" s="1133"/>
      <c r="K457" s="1133"/>
      <c r="L457" s="916"/>
    </row>
    <row r="458" spans="1:12" s="103" customFormat="1" ht="15.75" hidden="1" customHeight="1" outlineLevel="1">
      <c r="A458" s="916"/>
      <c r="B458" s="1123"/>
      <c r="C458" s="1127"/>
      <c r="D458" s="1125"/>
      <c r="E458" s="1125"/>
      <c r="F458" s="1130"/>
      <c r="G458" s="95"/>
      <c r="H458" s="823"/>
      <c r="I458" s="1125"/>
      <c r="J458" s="1134"/>
      <c r="K458" s="1134"/>
      <c r="L458" s="916"/>
    </row>
    <row r="459" spans="1:12" s="103" customFormat="1" ht="15.75" hidden="1" customHeight="1" outlineLevel="1">
      <c r="A459" s="916"/>
      <c r="B459" s="1124"/>
      <c r="C459" s="1128"/>
      <c r="D459" s="1126"/>
      <c r="E459" s="1126"/>
      <c r="F459" s="1132"/>
      <c r="G459" s="100"/>
      <c r="H459" s="824"/>
      <c r="I459" s="1126"/>
      <c r="J459" s="1135"/>
      <c r="K459" s="1135"/>
      <c r="L459" s="916"/>
    </row>
    <row r="460" spans="1:12" s="103" customFormat="1" ht="15.75" hidden="1" customHeight="1" outlineLevel="1">
      <c r="A460" s="916"/>
      <c r="B460" s="1123">
        <v>150</v>
      </c>
      <c r="C460" s="1127"/>
      <c r="D460" s="1125"/>
      <c r="E460" s="1125" t="s">
        <v>18</v>
      </c>
      <c r="F460" s="1130" t="str">
        <f>VLOOKUP(E460,$N$13:$O$17,2,0)</f>
        <v>-</v>
      </c>
      <c r="G460" s="92"/>
      <c r="H460" s="823"/>
      <c r="I460" s="1125"/>
      <c r="J460" s="1133"/>
      <c r="K460" s="1133"/>
      <c r="L460" s="916"/>
    </row>
    <row r="461" spans="1:12" s="103" customFormat="1" ht="15.75" hidden="1" customHeight="1" outlineLevel="1">
      <c r="A461" s="916"/>
      <c r="B461" s="1123"/>
      <c r="C461" s="1127"/>
      <c r="D461" s="1125"/>
      <c r="E461" s="1125"/>
      <c r="F461" s="1130"/>
      <c r="G461" s="95"/>
      <c r="H461" s="823"/>
      <c r="I461" s="1125"/>
      <c r="J461" s="1134"/>
      <c r="K461" s="1134"/>
      <c r="L461" s="916"/>
    </row>
    <row r="462" spans="1:12" s="103" customFormat="1" ht="15.75" hidden="1" customHeight="1" outlineLevel="1">
      <c r="A462" s="916"/>
      <c r="B462" s="1124"/>
      <c r="C462" s="1128"/>
      <c r="D462" s="1126"/>
      <c r="E462" s="1126"/>
      <c r="F462" s="1132"/>
      <c r="G462" s="100"/>
      <c r="H462" s="824"/>
      <c r="I462" s="1126"/>
      <c r="J462" s="1135"/>
      <c r="K462" s="1135"/>
      <c r="L462" s="916"/>
    </row>
    <row r="463" spans="1:12" s="103" customFormat="1" ht="15.75" hidden="1" customHeight="1" outlineLevel="1">
      <c r="A463" s="916"/>
      <c r="B463" s="1123">
        <v>151</v>
      </c>
      <c r="C463" s="1127"/>
      <c r="D463" s="1125"/>
      <c r="E463" s="1125" t="s">
        <v>18</v>
      </c>
      <c r="F463" s="1130" t="str">
        <f>VLOOKUP(E463,$N$13:$O$17,2,0)</f>
        <v>-</v>
      </c>
      <c r="G463" s="92"/>
      <c r="H463" s="823"/>
      <c r="I463" s="1125"/>
      <c r="J463" s="1133"/>
      <c r="K463" s="1133"/>
      <c r="L463" s="916"/>
    </row>
    <row r="464" spans="1:12" s="103" customFormat="1" ht="15.75" hidden="1" customHeight="1" outlineLevel="1">
      <c r="A464" s="916"/>
      <c r="B464" s="1123"/>
      <c r="C464" s="1127"/>
      <c r="D464" s="1125"/>
      <c r="E464" s="1125"/>
      <c r="F464" s="1130"/>
      <c r="G464" s="95"/>
      <c r="H464" s="823"/>
      <c r="I464" s="1125"/>
      <c r="J464" s="1134"/>
      <c r="K464" s="1134"/>
      <c r="L464" s="916"/>
    </row>
    <row r="465" spans="1:12" s="103" customFormat="1" ht="15.75" hidden="1" customHeight="1" outlineLevel="1">
      <c r="A465" s="916"/>
      <c r="B465" s="1124"/>
      <c r="C465" s="1128"/>
      <c r="D465" s="1126"/>
      <c r="E465" s="1126"/>
      <c r="F465" s="1132"/>
      <c r="G465" s="100"/>
      <c r="H465" s="824"/>
      <c r="I465" s="1126"/>
      <c r="J465" s="1135"/>
      <c r="K465" s="1135"/>
      <c r="L465" s="916"/>
    </row>
    <row r="466" spans="1:12" s="103" customFormat="1" ht="15.75" hidden="1" customHeight="1" outlineLevel="1">
      <c r="A466" s="916"/>
      <c r="B466" s="1123">
        <v>152</v>
      </c>
      <c r="C466" s="1127"/>
      <c r="D466" s="1125"/>
      <c r="E466" s="1125" t="s">
        <v>18</v>
      </c>
      <c r="F466" s="1130" t="str">
        <f>VLOOKUP(E466,$N$13:$O$17,2,0)</f>
        <v>-</v>
      </c>
      <c r="G466" s="92"/>
      <c r="H466" s="823"/>
      <c r="I466" s="1125"/>
      <c r="J466" s="1133"/>
      <c r="K466" s="1133"/>
      <c r="L466" s="916"/>
    </row>
    <row r="467" spans="1:12" s="103" customFormat="1" ht="15.75" hidden="1" customHeight="1" outlineLevel="1">
      <c r="A467" s="916"/>
      <c r="B467" s="1123"/>
      <c r="C467" s="1127"/>
      <c r="D467" s="1125"/>
      <c r="E467" s="1125"/>
      <c r="F467" s="1130"/>
      <c r="G467" s="95"/>
      <c r="H467" s="823"/>
      <c r="I467" s="1125"/>
      <c r="J467" s="1134"/>
      <c r="K467" s="1134"/>
      <c r="L467" s="916"/>
    </row>
    <row r="468" spans="1:12" s="103" customFormat="1" ht="15.75" hidden="1" customHeight="1" outlineLevel="1">
      <c r="A468" s="916"/>
      <c r="B468" s="1124"/>
      <c r="C468" s="1128"/>
      <c r="D468" s="1126"/>
      <c r="E468" s="1126"/>
      <c r="F468" s="1132"/>
      <c r="G468" s="100"/>
      <c r="H468" s="824"/>
      <c r="I468" s="1126"/>
      <c r="J468" s="1135"/>
      <c r="K468" s="1135"/>
      <c r="L468" s="916"/>
    </row>
    <row r="469" spans="1:12" s="103" customFormat="1" ht="15.75" hidden="1" customHeight="1" outlineLevel="1">
      <c r="A469" s="916"/>
      <c r="B469" s="1123">
        <v>153</v>
      </c>
      <c r="C469" s="1127"/>
      <c r="D469" s="1125"/>
      <c r="E469" s="1125" t="s">
        <v>18</v>
      </c>
      <c r="F469" s="1130" t="str">
        <f>VLOOKUP(E469,$N$13:$O$17,2,0)</f>
        <v>-</v>
      </c>
      <c r="G469" s="92"/>
      <c r="H469" s="823"/>
      <c r="I469" s="1125"/>
      <c r="J469" s="1133"/>
      <c r="K469" s="1133"/>
      <c r="L469" s="916"/>
    </row>
    <row r="470" spans="1:12" s="103" customFormat="1" ht="15.75" hidden="1" customHeight="1" outlineLevel="1">
      <c r="A470" s="916"/>
      <c r="B470" s="1123"/>
      <c r="C470" s="1127"/>
      <c r="D470" s="1125"/>
      <c r="E470" s="1125"/>
      <c r="F470" s="1130"/>
      <c r="G470" s="95"/>
      <c r="H470" s="823"/>
      <c r="I470" s="1125"/>
      <c r="J470" s="1134"/>
      <c r="K470" s="1134"/>
      <c r="L470" s="916"/>
    </row>
    <row r="471" spans="1:12" s="103" customFormat="1" ht="15.75" hidden="1" customHeight="1" outlineLevel="1">
      <c r="A471" s="916"/>
      <c r="B471" s="1124"/>
      <c r="C471" s="1128"/>
      <c r="D471" s="1126"/>
      <c r="E471" s="1126"/>
      <c r="F471" s="1132"/>
      <c r="G471" s="100"/>
      <c r="H471" s="824"/>
      <c r="I471" s="1126"/>
      <c r="J471" s="1135"/>
      <c r="K471" s="1135"/>
      <c r="L471" s="916"/>
    </row>
    <row r="472" spans="1:12" s="103" customFormat="1" ht="15.75" hidden="1" customHeight="1" outlineLevel="1">
      <c r="A472" s="916"/>
      <c r="B472" s="1123">
        <v>154</v>
      </c>
      <c r="C472" s="1127"/>
      <c r="D472" s="1125"/>
      <c r="E472" s="1125" t="s">
        <v>18</v>
      </c>
      <c r="F472" s="1130" t="str">
        <f>VLOOKUP(E472,$N$13:$O$17,2,0)</f>
        <v>-</v>
      </c>
      <c r="G472" s="92"/>
      <c r="H472" s="823"/>
      <c r="I472" s="1125"/>
      <c r="J472" s="1133"/>
      <c r="K472" s="1133"/>
      <c r="L472" s="916"/>
    </row>
    <row r="473" spans="1:12" s="103" customFormat="1" ht="15.75" hidden="1" customHeight="1" outlineLevel="1">
      <c r="A473" s="916"/>
      <c r="B473" s="1123"/>
      <c r="C473" s="1127"/>
      <c r="D473" s="1125"/>
      <c r="E473" s="1125"/>
      <c r="F473" s="1130"/>
      <c r="G473" s="95"/>
      <c r="H473" s="823"/>
      <c r="I473" s="1125"/>
      <c r="J473" s="1134"/>
      <c r="K473" s="1134"/>
      <c r="L473" s="916"/>
    </row>
    <row r="474" spans="1:12" s="103" customFormat="1" ht="15.75" hidden="1" customHeight="1" outlineLevel="1">
      <c r="A474" s="916"/>
      <c r="B474" s="1124"/>
      <c r="C474" s="1128"/>
      <c r="D474" s="1126"/>
      <c r="E474" s="1126"/>
      <c r="F474" s="1132"/>
      <c r="G474" s="100"/>
      <c r="H474" s="824"/>
      <c r="I474" s="1126"/>
      <c r="J474" s="1135"/>
      <c r="K474" s="1135"/>
      <c r="L474" s="916"/>
    </row>
    <row r="475" spans="1:12" s="103" customFormat="1" ht="15.75" hidden="1" customHeight="1" outlineLevel="1">
      <c r="A475" s="916"/>
      <c r="B475" s="1123">
        <v>155</v>
      </c>
      <c r="C475" s="1127"/>
      <c r="D475" s="1125"/>
      <c r="E475" s="1125" t="s">
        <v>18</v>
      </c>
      <c r="F475" s="1130" t="str">
        <f>VLOOKUP(E475,$N$13:$O$17,2,0)</f>
        <v>-</v>
      </c>
      <c r="G475" s="92"/>
      <c r="H475" s="823"/>
      <c r="I475" s="1125"/>
      <c r="J475" s="1133"/>
      <c r="K475" s="1133"/>
      <c r="L475" s="916"/>
    </row>
    <row r="476" spans="1:12" s="103" customFormat="1" ht="15.75" hidden="1" customHeight="1" outlineLevel="1">
      <c r="A476" s="916"/>
      <c r="B476" s="1123"/>
      <c r="C476" s="1127"/>
      <c r="D476" s="1125"/>
      <c r="E476" s="1125"/>
      <c r="F476" s="1130"/>
      <c r="G476" s="95"/>
      <c r="H476" s="823"/>
      <c r="I476" s="1125"/>
      <c r="J476" s="1134"/>
      <c r="K476" s="1134"/>
      <c r="L476" s="916"/>
    </row>
    <row r="477" spans="1:12" s="103" customFormat="1" ht="15.75" hidden="1" customHeight="1" outlineLevel="1">
      <c r="A477" s="916"/>
      <c r="B477" s="1124"/>
      <c r="C477" s="1128"/>
      <c r="D477" s="1126"/>
      <c r="E477" s="1126"/>
      <c r="F477" s="1132"/>
      <c r="G477" s="100"/>
      <c r="H477" s="824"/>
      <c r="I477" s="1126"/>
      <c r="J477" s="1135"/>
      <c r="K477" s="1135"/>
      <c r="L477" s="916"/>
    </row>
    <row r="478" spans="1:12" s="103" customFormat="1" ht="15.75" hidden="1" customHeight="1" outlineLevel="1">
      <c r="A478" s="916"/>
      <c r="B478" s="1123">
        <v>156</v>
      </c>
      <c r="C478" s="1127"/>
      <c r="D478" s="1125"/>
      <c r="E478" s="1125" t="s">
        <v>18</v>
      </c>
      <c r="F478" s="1130" t="str">
        <f>VLOOKUP(E478,$N$13:$O$17,2,0)</f>
        <v>-</v>
      </c>
      <c r="G478" s="92"/>
      <c r="H478" s="823"/>
      <c r="I478" s="1125"/>
      <c r="J478" s="1133"/>
      <c r="K478" s="1133"/>
      <c r="L478" s="916"/>
    </row>
    <row r="479" spans="1:12" s="103" customFormat="1" ht="15.75" hidden="1" customHeight="1" outlineLevel="1">
      <c r="A479" s="916"/>
      <c r="B479" s="1123"/>
      <c r="C479" s="1127"/>
      <c r="D479" s="1125"/>
      <c r="E479" s="1125"/>
      <c r="F479" s="1130"/>
      <c r="G479" s="95"/>
      <c r="H479" s="823"/>
      <c r="I479" s="1125"/>
      <c r="J479" s="1134"/>
      <c r="K479" s="1134"/>
      <c r="L479" s="916"/>
    </row>
    <row r="480" spans="1:12" s="103" customFormat="1" ht="15.75" hidden="1" customHeight="1" outlineLevel="1">
      <c r="A480" s="916"/>
      <c r="B480" s="1124"/>
      <c r="C480" s="1128"/>
      <c r="D480" s="1126"/>
      <c r="E480" s="1126"/>
      <c r="F480" s="1132"/>
      <c r="G480" s="100"/>
      <c r="H480" s="824"/>
      <c r="I480" s="1126"/>
      <c r="J480" s="1135"/>
      <c r="K480" s="1135"/>
      <c r="L480" s="916"/>
    </row>
    <row r="481" spans="1:12" s="103" customFormat="1" ht="15.75" hidden="1" customHeight="1" outlineLevel="1">
      <c r="A481" s="916"/>
      <c r="B481" s="1123">
        <v>157</v>
      </c>
      <c r="C481" s="1127"/>
      <c r="D481" s="1125"/>
      <c r="E481" s="1125" t="s">
        <v>18</v>
      </c>
      <c r="F481" s="1130" t="str">
        <f>VLOOKUP(E481,$N$13:$O$17,2,0)</f>
        <v>-</v>
      </c>
      <c r="G481" s="92"/>
      <c r="H481" s="823"/>
      <c r="I481" s="1125"/>
      <c r="J481" s="1133"/>
      <c r="K481" s="1133"/>
      <c r="L481" s="916"/>
    </row>
    <row r="482" spans="1:12" s="103" customFormat="1" ht="15.75" hidden="1" customHeight="1" outlineLevel="1">
      <c r="A482" s="916"/>
      <c r="B482" s="1123"/>
      <c r="C482" s="1127"/>
      <c r="D482" s="1125"/>
      <c r="E482" s="1125"/>
      <c r="F482" s="1130"/>
      <c r="G482" s="95"/>
      <c r="H482" s="823"/>
      <c r="I482" s="1125"/>
      <c r="J482" s="1134"/>
      <c r="K482" s="1134"/>
      <c r="L482" s="916"/>
    </row>
    <row r="483" spans="1:12" s="103" customFormat="1" ht="15.75" hidden="1" customHeight="1" outlineLevel="1">
      <c r="A483" s="916"/>
      <c r="B483" s="1124"/>
      <c r="C483" s="1128"/>
      <c r="D483" s="1126"/>
      <c r="E483" s="1126"/>
      <c r="F483" s="1132"/>
      <c r="G483" s="100"/>
      <c r="H483" s="824"/>
      <c r="I483" s="1126"/>
      <c r="J483" s="1135"/>
      <c r="K483" s="1135"/>
      <c r="L483" s="916"/>
    </row>
    <row r="484" spans="1:12" s="103" customFormat="1" ht="15.75" hidden="1" customHeight="1" outlineLevel="1">
      <c r="A484" s="916"/>
      <c r="B484" s="1123">
        <v>158</v>
      </c>
      <c r="C484" s="1127"/>
      <c r="D484" s="1125"/>
      <c r="E484" s="1125" t="s">
        <v>18</v>
      </c>
      <c r="F484" s="1130" t="str">
        <f>VLOOKUP(E484,$N$13:$O$17,2,0)</f>
        <v>-</v>
      </c>
      <c r="G484" s="92"/>
      <c r="H484" s="823"/>
      <c r="I484" s="1125"/>
      <c r="J484" s="1133"/>
      <c r="K484" s="1133"/>
      <c r="L484" s="916"/>
    </row>
    <row r="485" spans="1:12" s="103" customFormat="1" ht="15.75" hidden="1" customHeight="1" outlineLevel="1">
      <c r="A485" s="916"/>
      <c r="B485" s="1123"/>
      <c r="C485" s="1127"/>
      <c r="D485" s="1125"/>
      <c r="E485" s="1125"/>
      <c r="F485" s="1130"/>
      <c r="G485" s="95"/>
      <c r="H485" s="823"/>
      <c r="I485" s="1125"/>
      <c r="J485" s="1134"/>
      <c r="K485" s="1134"/>
      <c r="L485" s="916"/>
    </row>
    <row r="486" spans="1:12" s="103" customFormat="1" ht="15.75" hidden="1" customHeight="1" outlineLevel="1">
      <c r="A486" s="916"/>
      <c r="B486" s="1124"/>
      <c r="C486" s="1128"/>
      <c r="D486" s="1126"/>
      <c r="E486" s="1126"/>
      <c r="F486" s="1132"/>
      <c r="G486" s="100"/>
      <c r="H486" s="824"/>
      <c r="I486" s="1126"/>
      <c r="J486" s="1135"/>
      <c r="K486" s="1135"/>
      <c r="L486" s="916"/>
    </row>
    <row r="487" spans="1:12" s="103" customFormat="1" ht="15.75" hidden="1" customHeight="1" outlineLevel="1">
      <c r="A487" s="916"/>
      <c r="B487" s="1123">
        <v>159</v>
      </c>
      <c r="C487" s="1127"/>
      <c r="D487" s="1125"/>
      <c r="E487" s="1125" t="s">
        <v>18</v>
      </c>
      <c r="F487" s="1130" t="str">
        <f>VLOOKUP(E487,$N$13:$O$17,2,0)</f>
        <v>-</v>
      </c>
      <c r="G487" s="92"/>
      <c r="H487" s="823"/>
      <c r="I487" s="1125"/>
      <c r="J487" s="1133"/>
      <c r="K487" s="1133"/>
      <c r="L487" s="916"/>
    </row>
    <row r="488" spans="1:12" s="103" customFormat="1" ht="15.75" hidden="1" customHeight="1" outlineLevel="1">
      <c r="A488" s="916"/>
      <c r="B488" s="1123"/>
      <c r="C488" s="1127"/>
      <c r="D488" s="1125"/>
      <c r="E488" s="1125"/>
      <c r="F488" s="1130"/>
      <c r="G488" s="95"/>
      <c r="H488" s="823"/>
      <c r="I488" s="1125"/>
      <c r="J488" s="1134"/>
      <c r="K488" s="1134"/>
      <c r="L488" s="916"/>
    </row>
    <row r="489" spans="1:12" s="103" customFormat="1" ht="15.75" hidden="1" customHeight="1" outlineLevel="1">
      <c r="A489" s="916"/>
      <c r="B489" s="1124"/>
      <c r="C489" s="1128"/>
      <c r="D489" s="1126"/>
      <c r="E489" s="1126"/>
      <c r="F489" s="1132"/>
      <c r="G489" s="100"/>
      <c r="H489" s="824"/>
      <c r="I489" s="1126"/>
      <c r="J489" s="1135"/>
      <c r="K489" s="1135"/>
      <c r="L489" s="916"/>
    </row>
    <row r="490" spans="1:12" s="103" customFormat="1" ht="15.75" hidden="1" customHeight="1" outlineLevel="1">
      <c r="A490" s="916"/>
      <c r="B490" s="1123">
        <v>160</v>
      </c>
      <c r="C490" s="1127"/>
      <c r="D490" s="1125"/>
      <c r="E490" s="1125" t="s">
        <v>18</v>
      </c>
      <c r="F490" s="1130" t="str">
        <f>VLOOKUP(E490,$N$13:$O$17,2,0)</f>
        <v>-</v>
      </c>
      <c r="G490" s="92"/>
      <c r="H490" s="823"/>
      <c r="I490" s="1125"/>
      <c r="J490" s="1133"/>
      <c r="K490" s="1133"/>
      <c r="L490" s="916"/>
    </row>
    <row r="491" spans="1:12" s="103" customFormat="1" ht="15.75" hidden="1" customHeight="1" outlineLevel="1">
      <c r="A491" s="916"/>
      <c r="B491" s="1123"/>
      <c r="C491" s="1127"/>
      <c r="D491" s="1125"/>
      <c r="E491" s="1125"/>
      <c r="F491" s="1130"/>
      <c r="G491" s="95"/>
      <c r="H491" s="823"/>
      <c r="I491" s="1125"/>
      <c r="J491" s="1134"/>
      <c r="K491" s="1134"/>
      <c r="L491" s="916"/>
    </row>
    <row r="492" spans="1:12" s="103" customFormat="1" ht="15.75" hidden="1" customHeight="1" outlineLevel="1">
      <c r="A492" s="916"/>
      <c r="B492" s="1124"/>
      <c r="C492" s="1128"/>
      <c r="D492" s="1126"/>
      <c r="E492" s="1126"/>
      <c r="F492" s="1132"/>
      <c r="G492" s="100"/>
      <c r="H492" s="824"/>
      <c r="I492" s="1126"/>
      <c r="J492" s="1135"/>
      <c r="K492" s="1135"/>
      <c r="L492" s="916"/>
    </row>
    <row r="493" spans="1:12" s="103" customFormat="1" ht="15.75" hidden="1" customHeight="1" outlineLevel="1">
      <c r="A493" s="916"/>
      <c r="B493" s="1123">
        <v>161</v>
      </c>
      <c r="C493" s="1127"/>
      <c r="D493" s="1125"/>
      <c r="E493" s="1125" t="s">
        <v>18</v>
      </c>
      <c r="F493" s="1130" t="str">
        <f>VLOOKUP(E493,$N$13:$O$17,2,0)</f>
        <v>-</v>
      </c>
      <c r="G493" s="92"/>
      <c r="H493" s="823"/>
      <c r="I493" s="1125"/>
      <c r="J493" s="1133"/>
      <c r="K493" s="1133"/>
      <c r="L493" s="916"/>
    </row>
    <row r="494" spans="1:12" s="103" customFormat="1" ht="15.75" hidden="1" customHeight="1" outlineLevel="1">
      <c r="A494" s="916"/>
      <c r="B494" s="1123"/>
      <c r="C494" s="1127"/>
      <c r="D494" s="1125"/>
      <c r="E494" s="1125"/>
      <c r="F494" s="1130"/>
      <c r="G494" s="95"/>
      <c r="H494" s="823"/>
      <c r="I494" s="1125"/>
      <c r="J494" s="1134"/>
      <c r="K494" s="1134"/>
      <c r="L494" s="916"/>
    </row>
    <row r="495" spans="1:12" s="103" customFormat="1" ht="15.75" hidden="1" customHeight="1" outlineLevel="1">
      <c r="A495" s="916"/>
      <c r="B495" s="1124"/>
      <c r="C495" s="1128"/>
      <c r="D495" s="1126"/>
      <c r="E495" s="1126"/>
      <c r="F495" s="1132"/>
      <c r="G495" s="100"/>
      <c r="H495" s="824"/>
      <c r="I495" s="1126"/>
      <c r="J495" s="1135"/>
      <c r="K495" s="1135"/>
      <c r="L495" s="916"/>
    </row>
    <row r="496" spans="1:12" s="103" customFormat="1" ht="15.75" hidden="1" customHeight="1" outlineLevel="1">
      <c r="A496" s="916"/>
      <c r="B496" s="1123">
        <v>162</v>
      </c>
      <c r="C496" s="1127"/>
      <c r="D496" s="1125"/>
      <c r="E496" s="1125" t="s">
        <v>18</v>
      </c>
      <c r="F496" s="1130" t="str">
        <f>VLOOKUP(E496,$N$13:$O$17,2,0)</f>
        <v>-</v>
      </c>
      <c r="G496" s="92"/>
      <c r="H496" s="823"/>
      <c r="I496" s="1125"/>
      <c r="J496" s="1133"/>
      <c r="K496" s="1133"/>
      <c r="L496" s="916"/>
    </row>
    <row r="497" spans="1:12" s="103" customFormat="1" ht="15.75" hidden="1" customHeight="1" outlineLevel="1">
      <c r="A497" s="916"/>
      <c r="B497" s="1123"/>
      <c r="C497" s="1127"/>
      <c r="D497" s="1125"/>
      <c r="E497" s="1125"/>
      <c r="F497" s="1130"/>
      <c r="G497" s="95"/>
      <c r="H497" s="823"/>
      <c r="I497" s="1125"/>
      <c r="J497" s="1134"/>
      <c r="K497" s="1134"/>
      <c r="L497" s="916"/>
    </row>
    <row r="498" spans="1:12" s="103" customFormat="1" ht="15.75" hidden="1" customHeight="1" outlineLevel="1">
      <c r="A498" s="916"/>
      <c r="B498" s="1124"/>
      <c r="C498" s="1128"/>
      <c r="D498" s="1126"/>
      <c r="E498" s="1126"/>
      <c r="F498" s="1132"/>
      <c r="G498" s="100"/>
      <c r="H498" s="824"/>
      <c r="I498" s="1126"/>
      <c r="J498" s="1135"/>
      <c r="K498" s="1135"/>
      <c r="L498" s="916"/>
    </row>
    <row r="499" spans="1:12" s="103" customFormat="1" ht="15.75" hidden="1" customHeight="1" outlineLevel="1">
      <c r="A499" s="916"/>
      <c r="B499" s="1123">
        <v>163</v>
      </c>
      <c r="C499" s="1127"/>
      <c r="D499" s="1125"/>
      <c r="E499" s="1125" t="s">
        <v>18</v>
      </c>
      <c r="F499" s="1130" t="str">
        <f>VLOOKUP(E499,$N$13:$O$17,2,0)</f>
        <v>-</v>
      </c>
      <c r="G499" s="92"/>
      <c r="H499" s="823"/>
      <c r="I499" s="1125"/>
      <c r="J499" s="1133"/>
      <c r="K499" s="1133"/>
      <c r="L499" s="916"/>
    </row>
    <row r="500" spans="1:12" s="103" customFormat="1" ht="15.75" hidden="1" customHeight="1" outlineLevel="1">
      <c r="A500" s="916"/>
      <c r="B500" s="1123"/>
      <c r="C500" s="1127"/>
      <c r="D500" s="1125"/>
      <c r="E500" s="1125"/>
      <c r="F500" s="1130"/>
      <c r="G500" s="95"/>
      <c r="H500" s="823"/>
      <c r="I500" s="1125"/>
      <c r="J500" s="1134"/>
      <c r="K500" s="1134"/>
      <c r="L500" s="916"/>
    </row>
    <row r="501" spans="1:12" s="103" customFormat="1" ht="15.75" hidden="1" customHeight="1" outlineLevel="1">
      <c r="A501" s="916"/>
      <c r="B501" s="1124"/>
      <c r="C501" s="1128"/>
      <c r="D501" s="1126"/>
      <c r="E501" s="1126"/>
      <c r="F501" s="1132"/>
      <c r="G501" s="100"/>
      <c r="H501" s="824"/>
      <c r="I501" s="1126"/>
      <c r="J501" s="1135"/>
      <c r="K501" s="1135"/>
      <c r="L501" s="916"/>
    </row>
    <row r="502" spans="1:12" s="103" customFormat="1" ht="15.75" hidden="1" customHeight="1" outlineLevel="1">
      <c r="A502" s="916"/>
      <c r="B502" s="1123">
        <v>164</v>
      </c>
      <c r="C502" s="1127"/>
      <c r="D502" s="1125"/>
      <c r="E502" s="1125" t="s">
        <v>18</v>
      </c>
      <c r="F502" s="1130" t="str">
        <f>VLOOKUP(E502,$N$13:$O$17,2,0)</f>
        <v>-</v>
      </c>
      <c r="G502" s="92"/>
      <c r="H502" s="823"/>
      <c r="I502" s="1125"/>
      <c r="J502" s="1133"/>
      <c r="K502" s="1133"/>
      <c r="L502" s="916"/>
    </row>
    <row r="503" spans="1:12" s="103" customFormat="1" ht="15.75" hidden="1" customHeight="1" outlineLevel="1">
      <c r="A503" s="916"/>
      <c r="B503" s="1123"/>
      <c r="C503" s="1127"/>
      <c r="D503" s="1125"/>
      <c r="E503" s="1125"/>
      <c r="F503" s="1130"/>
      <c r="G503" s="95"/>
      <c r="H503" s="823"/>
      <c r="I503" s="1125"/>
      <c r="J503" s="1134"/>
      <c r="K503" s="1134"/>
      <c r="L503" s="916"/>
    </row>
    <row r="504" spans="1:12" s="103" customFormat="1" ht="15.75" hidden="1" customHeight="1" outlineLevel="1">
      <c r="A504" s="916"/>
      <c r="B504" s="1124"/>
      <c r="C504" s="1128"/>
      <c r="D504" s="1126"/>
      <c r="E504" s="1126"/>
      <c r="F504" s="1132"/>
      <c r="G504" s="100"/>
      <c r="H504" s="824"/>
      <c r="I504" s="1126"/>
      <c r="J504" s="1135"/>
      <c r="K504" s="1135"/>
      <c r="L504" s="916"/>
    </row>
    <row r="505" spans="1:12" s="103" customFormat="1" ht="15.75" hidden="1" customHeight="1" outlineLevel="1">
      <c r="A505" s="916"/>
      <c r="B505" s="1123">
        <v>165</v>
      </c>
      <c r="C505" s="1127"/>
      <c r="D505" s="1125"/>
      <c r="E505" s="1125" t="s">
        <v>18</v>
      </c>
      <c r="F505" s="1130" t="str">
        <f>VLOOKUP(E505,$N$13:$O$17,2,0)</f>
        <v>-</v>
      </c>
      <c r="G505" s="92"/>
      <c r="H505" s="823"/>
      <c r="I505" s="1125"/>
      <c r="J505" s="1133"/>
      <c r="K505" s="1133"/>
      <c r="L505" s="916"/>
    </row>
    <row r="506" spans="1:12" s="103" customFormat="1" ht="15.75" hidden="1" customHeight="1" outlineLevel="1">
      <c r="A506" s="916"/>
      <c r="B506" s="1123"/>
      <c r="C506" s="1127"/>
      <c r="D506" s="1125"/>
      <c r="E506" s="1125"/>
      <c r="F506" s="1130"/>
      <c r="G506" s="95"/>
      <c r="H506" s="823"/>
      <c r="I506" s="1125"/>
      <c r="J506" s="1134"/>
      <c r="K506" s="1134"/>
      <c r="L506" s="916"/>
    </row>
    <row r="507" spans="1:12" s="103" customFormat="1" ht="15.75" hidden="1" customHeight="1" outlineLevel="1">
      <c r="A507" s="916"/>
      <c r="B507" s="1124"/>
      <c r="C507" s="1128"/>
      <c r="D507" s="1126"/>
      <c r="E507" s="1126"/>
      <c r="F507" s="1132"/>
      <c r="G507" s="100"/>
      <c r="H507" s="824"/>
      <c r="I507" s="1126"/>
      <c r="J507" s="1135"/>
      <c r="K507" s="1135"/>
      <c r="L507" s="916"/>
    </row>
    <row r="508" spans="1:12" s="103" customFormat="1" ht="15.75" hidden="1" customHeight="1" outlineLevel="1">
      <c r="A508" s="916"/>
      <c r="B508" s="1123">
        <v>166</v>
      </c>
      <c r="C508" s="1127"/>
      <c r="D508" s="1125"/>
      <c r="E508" s="1125" t="s">
        <v>18</v>
      </c>
      <c r="F508" s="1130" t="str">
        <f>VLOOKUP(E508,$N$13:$O$17,2,0)</f>
        <v>-</v>
      </c>
      <c r="G508" s="92"/>
      <c r="H508" s="823"/>
      <c r="I508" s="1125"/>
      <c r="J508" s="1133"/>
      <c r="K508" s="1133"/>
      <c r="L508" s="916"/>
    </row>
    <row r="509" spans="1:12" s="103" customFormat="1" ht="15.75" hidden="1" customHeight="1" outlineLevel="1">
      <c r="A509" s="916"/>
      <c r="B509" s="1123"/>
      <c r="C509" s="1127"/>
      <c r="D509" s="1125"/>
      <c r="E509" s="1125"/>
      <c r="F509" s="1130"/>
      <c r="G509" s="95"/>
      <c r="H509" s="823"/>
      <c r="I509" s="1125"/>
      <c r="J509" s="1134"/>
      <c r="K509" s="1134"/>
      <c r="L509" s="916"/>
    </row>
    <row r="510" spans="1:12" s="103" customFormat="1" ht="15.75" hidden="1" customHeight="1" outlineLevel="1">
      <c r="A510" s="916"/>
      <c r="B510" s="1124"/>
      <c r="C510" s="1128"/>
      <c r="D510" s="1126"/>
      <c r="E510" s="1126"/>
      <c r="F510" s="1132"/>
      <c r="G510" s="100"/>
      <c r="H510" s="824"/>
      <c r="I510" s="1126"/>
      <c r="J510" s="1135"/>
      <c r="K510" s="1135"/>
      <c r="L510" s="916"/>
    </row>
    <row r="511" spans="1:12" s="103" customFormat="1" ht="15.75" hidden="1" customHeight="1" outlineLevel="1">
      <c r="A511" s="916"/>
      <c r="B511" s="1123">
        <v>167</v>
      </c>
      <c r="C511" s="1127"/>
      <c r="D511" s="1125"/>
      <c r="E511" s="1125" t="s">
        <v>18</v>
      </c>
      <c r="F511" s="1130" t="str">
        <f>VLOOKUP(E511,$N$13:$O$17,2,0)</f>
        <v>-</v>
      </c>
      <c r="G511" s="92"/>
      <c r="H511" s="823"/>
      <c r="I511" s="1125"/>
      <c r="J511" s="1133"/>
      <c r="K511" s="1133"/>
      <c r="L511" s="916"/>
    </row>
    <row r="512" spans="1:12" s="103" customFormat="1" ht="15.75" hidden="1" customHeight="1" outlineLevel="1">
      <c r="A512" s="916"/>
      <c r="B512" s="1123"/>
      <c r="C512" s="1127"/>
      <c r="D512" s="1125"/>
      <c r="E512" s="1125"/>
      <c r="F512" s="1130"/>
      <c r="G512" s="95"/>
      <c r="H512" s="823"/>
      <c r="I512" s="1125"/>
      <c r="J512" s="1134"/>
      <c r="K512" s="1134"/>
      <c r="L512" s="916"/>
    </row>
    <row r="513" spans="1:12" s="103" customFormat="1" ht="15.75" hidden="1" customHeight="1" outlineLevel="1">
      <c r="A513" s="916"/>
      <c r="B513" s="1124"/>
      <c r="C513" s="1128"/>
      <c r="D513" s="1126"/>
      <c r="E513" s="1126"/>
      <c r="F513" s="1132"/>
      <c r="G513" s="100"/>
      <c r="H513" s="824"/>
      <c r="I513" s="1126"/>
      <c r="J513" s="1135"/>
      <c r="K513" s="1135"/>
      <c r="L513" s="916"/>
    </row>
    <row r="514" spans="1:12" s="103" customFormat="1" ht="15.75" hidden="1" customHeight="1" outlineLevel="1">
      <c r="A514" s="916"/>
      <c r="B514" s="1123">
        <v>168</v>
      </c>
      <c r="C514" s="1127"/>
      <c r="D514" s="1125"/>
      <c r="E514" s="1125" t="s">
        <v>18</v>
      </c>
      <c r="F514" s="1130" t="str">
        <f>VLOOKUP(E514,$N$13:$O$17,2,0)</f>
        <v>-</v>
      </c>
      <c r="G514" s="92"/>
      <c r="H514" s="823"/>
      <c r="I514" s="1125"/>
      <c r="J514" s="1133"/>
      <c r="K514" s="1133"/>
      <c r="L514" s="916"/>
    </row>
    <row r="515" spans="1:12" s="103" customFormat="1" ht="15.75" hidden="1" customHeight="1" outlineLevel="1">
      <c r="A515" s="916"/>
      <c r="B515" s="1123"/>
      <c r="C515" s="1127"/>
      <c r="D515" s="1125"/>
      <c r="E515" s="1125"/>
      <c r="F515" s="1130"/>
      <c r="G515" s="95"/>
      <c r="H515" s="823"/>
      <c r="I515" s="1125"/>
      <c r="J515" s="1134"/>
      <c r="K515" s="1134"/>
      <c r="L515" s="916"/>
    </row>
    <row r="516" spans="1:12" s="103" customFormat="1" ht="15.75" hidden="1" customHeight="1" outlineLevel="1">
      <c r="A516" s="916"/>
      <c r="B516" s="1124"/>
      <c r="C516" s="1128"/>
      <c r="D516" s="1126"/>
      <c r="E516" s="1126"/>
      <c r="F516" s="1132"/>
      <c r="G516" s="100"/>
      <c r="H516" s="824"/>
      <c r="I516" s="1126"/>
      <c r="J516" s="1135"/>
      <c r="K516" s="1135"/>
      <c r="L516" s="916"/>
    </row>
    <row r="517" spans="1:12" s="103" customFormat="1" ht="15.75" hidden="1" customHeight="1" outlineLevel="1">
      <c r="A517" s="916"/>
      <c r="B517" s="1123">
        <v>169</v>
      </c>
      <c r="C517" s="1127"/>
      <c r="D517" s="1125"/>
      <c r="E517" s="1125" t="s">
        <v>18</v>
      </c>
      <c r="F517" s="1130" t="str">
        <f>VLOOKUP(E517,$N$13:$O$17,2,0)</f>
        <v>-</v>
      </c>
      <c r="G517" s="92"/>
      <c r="H517" s="823"/>
      <c r="I517" s="1125"/>
      <c r="J517" s="1133"/>
      <c r="K517" s="1133"/>
      <c r="L517" s="916"/>
    </row>
    <row r="518" spans="1:12" s="103" customFormat="1" ht="15.75" hidden="1" customHeight="1" outlineLevel="1">
      <c r="A518" s="916"/>
      <c r="B518" s="1123"/>
      <c r="C518" s="1127"/>
      <c r="D518" s="1125"/>
      <c r="E518" s="1125"/>
      <c r="F518" s="1130"/>
      <c r="G518" s="95"/>
      <c r="H518" s="823"/>
      <c r="I518" s="1125"/>
      <c r="J518" s="1134"/>
      <c r="K518" s="1134"/>
      <c r="L518" s="916"/>
    </row>
    <row r="519" spans="1:12" s="103" customFormat="1" ht="15.75" hidden="1" customHeight="1" outlineLevel="1">
      <c r="A519" s="916"/>
      <c r="B519" s="1124"/>
      <c r="C519" s="1128"/>
      <c r="D519" s="1126"/>
      <c r="E519" s="1126"/>
      <c r="F519" s="1132"/>
      <c r="G519" s="100"/>
      <c r="H519" s="824"/>
      <c r="I519" s="1126"/>
      <c r="J519" s="1135"/>
      <c r="K519" s="1135"/>
      <c r="L519" s="916"/>
    </row>
    <row r="520" spans="1:12" s="103" customFormat="1" ht="15.75" hidden="1" customHeight="1" outlineLevel="1">
      <c r="A520" s="916"/>
      <c r="B520" s="1123">
        <v>170</v>
      </c>
      <c r="C520" s="1127"/>
      <c r="D520" s="1125"/>
      <c r="E520" s="1125" t="s">
        <v>18</v>
      </c>
      <c r="F520" s="1130" t="str">
        <f>VLOOKUP(E520,$N$13:$O$17,2,0)</f>
        <v>-</v>
      </c>
      <c r="G520" s="92"/>
      <c r="H520" s="823"/>
      <c r="I520" s="1125"/>
      <c r="J520" s="1133"/>
      <c r="K520" s="1133"/>
      <c r="L520" s="916"/>
    </row>
    <row r="521" spans="1:12" s="103" customFormat="1" ht="15.75" hidden="1" customHeight="1" outlineLevel="1">
      <c r="A521" s="916"/>
      <c r="B521" s="1123"/>
      <c r="C521" s="1127"/>
      <c r="D521" s="1125"/>
      <c r="E521" s="1125"/>
      <c r="F521" s="1130"/>
      <c r="G521" s="95"/>
      <c r="H521" s="823"/>
      <c r="I521" s="1125"/>
      <c r="J521" s="1134"/>
      <c r="K521" s="1134"/>
      <c r="L521" s="916"/>
    </row>
    <row r="522" spans="1:12" s="103" customFormat="1" ht="15.75" hidden="1" customHeight="1" outlineLevel="1">
      <c r="A522" s="916"/>
      <c r="B522" s="1124"/>
      <c r="C522" s="1128"/>
      <c r="D522" s="1126"/>
      <c r="E522" s="1126"/>
      <c r="F522" s="1132"/>
      <c r="G522" s="100"/>
      <c r="H522" s="824"/>
      <c r="I522" s="1126"/>
      <c r="J522" s="1135"/>
      <c r="K522" s="1135"/>
      <c r="L522" s="916"/>
    </row>
    <row r="523" spans="1:12" s="103" customFormat="1" ht="15.75" hidden="1" customHeight="1" outlineLevel="1">
      <c r="A523" s="916"/>
      <c r="B523" s="1123">
        <v>171</v>
      </c>
      <c r="C523" s="1127"/>
      <c r="D523" s="1125"/>
      <c r="E523" s="1125" t="s">
        <v>18</v>
      </c>
      <c r="F523" s="1130" t="str">
        <f>VLOOKUP(E523,$N$13:$O$17,2,0)</f>
        <v>-</v>
      </c>
      <c r="G523" s="92"/>
      <c r="H523" s="823"/>
      <c r="I523" s="1125"/>
      <c r="J523" s="1133"/>
      <c r="K523" s="1133"/>
      <c r="L523" s="916"/>
    </row>
    <row r="524" spans="1:12" s="103" customFormat="1" ht="15.75" hidden="1" customHeight="1" outlineLevel="1">
      <c r="A524" s="916"/>
      <c r="B524" s="1123"/>
      <c r="C524" s="1127"/>
      <c r="D524" s="1125"/>
      <c r="E524" s="1125"/>
      <c r="F524" s="1130"/>
      <c r="G524" s="95"/>
      <c r="H524" s="823"/>
      <c r="I524" s="1125"/>
      <c r="J524" s="1134"/>
      <c r="K524" s="1134"/>
      <c r="L524" s="916"/>
    </row>
    <row r="525" spans="1:12" s="103" customFormat="1" ht="15.75" hidden="1" customHeight="1" outlineLevel="1">
      <c r="A525" s="916"/>
      <c r="B525" s="1124"/>
      <c r="C525" s="1128"/>
      <c r="D525" s="1126"/>
      <c r="E525" s="1126"/>
      <c r="F525" s="1132"/>
      <c r="G525" s="100"/>
      <c r="H525" s="824"/>
      <c r="I525" s="1126"/>
      <c r="J525" s="1135"/>
      <c r="K525" s="1135"/>
      <c r="L525" s="916"/>
    </row>
    <row r="526" spans="1:12" s="103" customFormat="1" ht="15.75" hidden="1" customHeight="1" outlineLevel="1">
      <c r="A526" s="916"/>
      <c r="B526" s="1123">
        <v>172</v>
      </c>
      <c r="C526" s="1127"/>
      <c r="D526" s="1125"/>
      <c r="E526" s="1125" t="s">
        <v>18</v>
      </c>
      <c r="F526" s="1130" t="str">
        <f>VLOOKUP(E526,$N$13:$O$17,2,0)</f>
        <v>-</v>
      </c>
      <c r="G526" s="92"/>
      <c r="H526" s="823"/>
      <c r="I526" s="1125"/>
      <c r="J526" s="1133"/>
      <c r="K526" s="1133"/>
      <c r="L526" s="916"/>
    </row>
    <row r="527" spans="1:12" s="103" customFormat="1" ht="15.75" hidden="1" customHeight="1" outlineLevel="1">
      <c r="A527" s="916"/>
      <c r="B527" s="1123"/>
      <c r="C527" s="1127"/>
      <c r="D527" s="1125"/>
      <c r="E527" s="1125"/>
      <c r="F527" s="1130"/>
      <c r="G527" s="95"/>
      <c r="H527" s="823"/>
      <c r="I527" s="1125"/>
      <c r="J527" s="1134"/>
      <c r="K527" s="1134"/>
      <c r="L527" s="916"/>
    </row>
    <row r="528" spans="1:12" s="103" customFormat="1" ht="15.75" hidden="1" customHeight="1" outlineLevel="1">
      <c r="A528" s="916"/>
      <c r="B528" s="1124"/>
      <c r="C528" s="1128"/>
      <c r="D528" s="1126"/>
      <c r="E528" s="1126"/>
      <c r="F528" s="1132"/>
      <c r="G528" s="100"/>
      <c r="H528" s="824"/>
      <c r="I528" s="1126"/>
      <c r="J528" s="1135"/>
      <c r="K528" s="1135"/>
      <c r="L528" s="916"/>
    </row>
    <row r="529" spans="1:12" s="103" customFormat="1" ht="15.75" hidden="1" customHeight="1" outlineLevel="1">
      <c r="A529" s="916"/>
      <c r="B529" s="1123">
        <v>173</v>
      </c>
      <c r="C529" s="1127"/>
      <c r="D529" s="1125"/>
      <c r="E529" s="1125" t="s">
        <v>18</v>
      </c>
      <c r="F529" s="1130" t="str">
        <f>VLOOKUP(E529,$N$13:$O$17,2,0)</f>
        <v>-</v>
      </c>
      <c r="G529" s="92"/>
      <c r="H529" s="823"/>
      <c r="I529" s="1125"/>
      <c r="J529" s="1133"/>
      <c r="K529" s="1133"/>
      <c r="L529" s="916"/>
    </row>
    <row r="530" spans="1:12" s="103" customFormat="1" ht="15.75" hidden="1" customHeight="1" outlineLevel="1">
      <c r="A530" s="916"/>
      <c r="B530" s="1123"/>
      <c r="C530" s="1127"/>
      <c r="D530" s="1125"/>
      <c r="E530" s="1125"/>
      <c r="F530" s="1130"/>
      <c r="G530" s="95"/>
      <c r="H530" s="823"/>
      <c r="I530" s="1125"/>
      <c r="J530" s="1134"/>
      <c r="K530" s="1134"/>
      <c r="L530" s="916"/>
    </row>
    <row r="531" spans="1:12" s="103" customFormat="1" ht="15.75" hidden="1" customHeight="1" outlineLevel="1">
      <c r="A531" s="916"/>
      <c r="B531" s="1124"/>
      <c r="C531" s="1128"/>
      <c r="D531" s="1126"/>
      <c r="E531" s="1126"/>
      <c r="F531" s="1132"/>
      <c r="G531" s="100"/>
      <c r="H531" s="824"/>
      <c r="I531" s="1126"/>
      <c r="J531" s="1135"/>
      <c r="K531" s="1135"/>
      <c r="L531" s="916"/>
    </row>
    <row r="532" spans="1:12" s="103" customFormat="1" ht="15.75" hidden="1" customHeight="1" outlineLevel="1">
      <c r="A532" s="916"/>
      <c r="B532" s="1123">
        <v>174</v>
      </c>
      <c r="C532" s="1127"/>
      <c r="D532" s="1125"/>
      <c r="E532" s="1125" t="s">
        <v>18</v>
      </c>
      <c r="F532" s="1130" t="str">
        <f>VLOOKUP(E532,$N$13:$O$17,2,0)</f>
        <v>-</v>
      </c>
      <c r="G532" s="92"/>
      <c r="H532" s="823"/>
      <c r="I532" s="1125"/>
      <c r="J532" s="1133"/>
      <c r="K532" s="1133"/>
      <c r="L532" s="916"/>
    </row>
    <row r="533" spans="1:12" s="103" customFormat="1" ht="15.75" hidden="1" customHeight="1" outlineLevel="1">
      <c r="A533" s="916"/>
      <c r="B533" s="1123"/>
      <c r="C533" s="1127"/>
      <c r="D533" s="1125"/>
      <c r="E533" s="1125"/>
      <c r="F533" s="1130"/>
      <c r="G533" s="95"/>
      <c r="H533" s="823"/>
      <c r="I533" s="1125"/>
      <c r="J533" s="1134"/>
      <c r="K533" s="1134"/>
      <c r="L533" s="916"/>
    </row>
    <row r="534" spans="1:12" s="103" customFormat="1" ht="15.75" hidden="1" customHeight="1" outlineLevel="1">
      <c r="A534" s="916"/>
      <c r="B534" s="1124"/>
      <c r="C534" s="1128"/>
      <c r="D534" s="1126"/>
      <c r="E534" s="1126"/>
      <c r="F534" s="1132"/>
      <c r="G534" s="100"/>
      <c r="H534" s="824"/>
      <c r="I534" s="1126"/>
      <c r="J534" s="1135"/>
      <c r="K534" s="1135"/>
      <c r="L534" s="916"/>
    </row>
    <row r="535" spans="1:12" s="103" customFormat="1" ht="15.75" hidden="1" customHeight="1" outlineLevel="1">
      <c r="A535" s="916"/>
      <c r="B535" s="1123">
        <v>175</v>
      </c>
      <c r="C535" s="1127"/>
      <c r="D535" s="1125"/>
      <c r="E535" s="1125" t="s">
        <v>18</v>
      </c>
      <c r="F535" s="1130" t="str">
        <f>VLOOKUP(E535,$N$13:$O$17,2,0)</f>
        <v>-</v>
      </c>
      <c r="G535" s="92"/>
      <c r="H535" s="823"/>
      <c r="I535" s="1125"/>
      <c r="J535" s="1133"/>
      <c r="K535" s="1133"/>
      <c r="L535" s="916"/>
    </row>
    <row r="536" spans="1:12" s="103" customFormat="1" ht="15.75" hidden="1" customHeight="1" outlineLevel="1">
      <c r="A536" s="916"/>
      <c r="B536" s="1123"/>
      <c r="C536" s="1127"/>
      <c r="D536" s="1125"/>
      <c r="E536" s="1125"/>
      <c r="F536" s="1130"/>
      <c r="G536" s="95"/>
      <c r="H536" s="823"/>
      <c r="I536" s="1125"/>
      <c r="J536" s="1134"/>
      <c r="K536" s="1134"/>
      <c r="L536" s="916"/>
    </row>
    <row r="537" spans="1:12" s="103" customFormat="1" ht="15.75" hidden="1" customHeight="1" outlineLevel="1">
      <c r="A537" s="916"/>
      <c r="B537" s="1124"/>
      <c r="C537" s="1128"/>
      <c r="D537" s="1126"/>
      <c r="E537" s="1126"/>
      <c r="F537" s="1132"/>
      <c r="G537" s="100"/>
      <c r="H537" s="824"/>
      <c r="I537" s="1126"/>
      <c r="J537" s="1135"/>
      <c r="K537" s="1135"/>
      <c r="L537" s="916"/>
    </row>
    <row r="538" spans="1:12" s="103" customFormat="1" ht="15.75" hidden="1" customHeight="1" outlineLevel="1">
      <c r="A538" s="916"/>
      <c r="B538" s="1123">
        <v>176</v>
      </c>
      <c r="C538" s="1127"/>
      <c r="D538" s="1125"/>
      <c r="E538" s="1125" t="s">
        <v>18</v>
      </c>
      <c r="F538" s="1130" t="str">
        <f>VLOOKUP(E538,$N$13:$O$17,2,0)</f>
        <v>-</v>
      </c>
      <c r="G538" s="92"/>
      <c r="H538" s="823"/>
      <c r="I538" s="1125"/>
      <c r="J538" s="1133"/>
      <c r="K538" s="1133"/>
      <c r="L538" s="916"/>
    </row>
    <row r="539" spans="1:12" s="103" customFormat="1" ht="15.75" hidden="1" customHeight="1" outlineLevel="1">
      <c r="A539" s="916"/>
      <c r="B539" s="1123"/>
      <c r="C539" s="1127"/>
      <c r="D539" s="1125"/>
      <c r="E539" s="1125"/>
      <c r="F539" s="1130"/>
      <c r="G539" s="95"/>
      <c r="H539" s="823"/>
      <c r="I539" s="1125"/>
      <c r="J539" s="1134"/>
      <c r="K539" s="1134"/>
      <c r="L539" s="916"/>
    </row>
    <row r="540" spans="1:12" s="103" customFormat="1" ht="15.75" hidden="1" customHeight="1" outlineLevel="1">
      <c r="A540" s="916"/>
      <c r="B540" s="1124"/>
      <c r="C540" s="1128"/>
      <c r="D540" s="1126"/>
      <c r="E540" s="1126"/>
      <c r="F540" s="1132"/>
      <c r="G540" s="100"/>
      <c r="H540" s="824"/>
      <c r="I540" s="1126"/>
      <c r="J540" s="1135"/>
      <c r="K540" s="1135"/>
      <c r="L540" s="916"/>
    </row>
    <row r="541" spans="1:12" s="103" customFormat="1" ht="15.75" hidden="1" customHeight="1" outlineLevel="1">
      <c r="A541" s="916"/>
      <c r="B541" s="1123">
        <v>177</v>
      </c>
      <c r="C541" s="1127"/>
      <c r="D541" s="1125"/>
      <c r="E541" s="1125" t="s">
        <v>18</v>
      </c>
      <c r="F541" s="1130" t="str">
        <f>VLOOKUP(E541,$N$13:$O$17,2,0)</f>
        <v>-</v>
      </c>
      <c r="G541" s="92"/>
      <c r="H541" s="823"/>
      <c r="I541" s="1125"/>
      <c r="J541" s="1133"/>
      <c r="K541" s="1133"/>
      <c r="L541" s="916"/>
    </row>
    <row r="542" spans="1:12" s="103" customFormat="1" ht="15.75" hidden="1" customHeight="1" outlineLevel="1">
      <c r="A542" s="916"/>
      <c r="B542" s="1123"/>
      <c r="C542" s="1127"/>
      <c r="D542" s="1125"/>
      <c r="E542" s="1125"/>
      <c r="F542" s="1130"/>
      <c r="G542" s="95"/>
      <c r="H542" s="823"/>
      <c r="I542" s="1125"/>
      <c r="J542" s="1134"/>
      <c r="K542" s="1134"/>
      <c r="L542" s="916"/>
    </row>
    <row r="543" spans="1:12" s="103" customFormat="1" ht="15.75" hidden="1" customHeight="1" outlineLevel="1">
      <c r="A543" s="916"/>
      <c r="B543" s="1124"/>
      <c r="C543" s="1128"/>
      <c r="D543" s="1126"/>
      <c r="E543" s="1126"/>
      <c r="F543" s="1132"/>
      <c r="G543" s="100"/>
      <c r="H543" s="824"/>
      <c r="I543" s="1126"/>
      <c r="J543" s="1135"/>
      <c r="K543" s="1135"/>
      <c r="L543" s="916"/>
    </row>
    <row r="544" spans="1:12" s="103" customFormat="1" ht="15.75" hidden="1" customHeight="1" outlineLevel="1">
      <c r="A544" s="916"/>
      <c r="B544" s="1123">
        <v>178</v>
      </c>
      <c r="C544" s="1127"/>
      <c r="D544" s="1125"/>
      <c r="E544" s="1125" t="s">
        <v>18</v>
      </c>
      <c r="F544" s="1130" t="str">
        <f>VLOOKUP(E544,$N$13:$O$17,2,0)</f>
        <v>-</v>
      </c>
      <c r="G544" s="92"/>
      <c r="H544" s="823"/>
      <c r="I544" s="1125"/>
      <c r="J544" s="1133"/>
      <c r="K544" s="1133"/>
      <c r="L544" s="916"/>
    </row>
    <row r="545" spans="1:12" s="103" customFormat="1" ht="15.75" hidden="1" customHeight="1" outlineLevel="1">
      <c r="A545" s="916"/>
      <c r="B545" s="1123"/>
      <c r="C545" s="1127"/>
      <c r="D545" s="1125"/>
      <c r="E545" s="1125"/>
      <c r="F545" s="1130"/>
      <c r="G545" s="95"/>
      <c r="H545" s="823"/>
      <c r="I545" s="1125"/>
      <c r="J545" s="1134"/>
      <c r="K545" s="1134"/>
      <c r="L545" s="916"/>
    </row>
    <row r="546" spans="1:12" s="103" customFormat="1" ht="15.75" hidden="1" customHeight="1" outlineLevel="1">
      <c r="A546" s="916"/>
      <c r="B546" s="1124"/>
      <c r="C546" s="1128"/>
      <c r="D546" s="1126"/>
      <c r="E546" s="1126"/>
      <c r="F546" s="1132"/>
      <c r="G546" s="100"/>
      <c r="H546" s="824"/>
      <c r="I546" s="1126"/>
      <c r="J546" s="1135"/>
      <c r="K546" s="1135"/>
      <c r="L546" s="916"/>
    </row>
    <row r="547" spans="1:12" s="103" customFormat="1" ht="15.75" hidden="1" customHeight="1" outlineLevel="1">
      <c r="A547" s="916"/>
      <c r="B547" s="1123">
        <v>179</v>
      </c>
      <c r="C547" s="1127"/>
      <c r="D547" s="1125"/>
      <c r="E547" s="1125" t="s">
        <v>18</v>
      </c>
      <c r="F547" s="1130" t="str">
        <f>VLOOKUP(E547,$N$13:$O$17,2,0)</f>
        <v>-</v>
      </c>
      <c r="G547" s="92"/>
      <c r="H547" s="823"/>
      <c r="I547" s="1125"/>
      <c r="J547" s="1133"/>
      <c r="K547" s="1133"/>
      <c r="L547" s="916"/>
    </row>
    <row r="548" spans="1:12" s="103" customFormat="1" ht="15.75" hidden="1" customHeight="1" outlineLevel="1">
      <c r="A548" s="916"/>
      <c r="B548" s="1123"/>
      <c r="C548" s="1127"/>
      <c r="D548" s="1125"/>
      <c r="E548" s="1125"/>
      <c r="F548" s="1130"/>
      <c r="G548" s="95"/>
      <c r="H548" s="823"/>
      <c r="I548" s="1125"/>
      <c r="J548" s="1134"/>
      <c r="K548" s="1134"/>
      <c r="L548" s="916"/>
    </row>
    <row r="549" spans="1:12" s="103" customFormat="1" ht="15.75" hidden="1" customHeight="1" outlineLevel="1">
      <c r="A549" s="916"/>
      <c r="B549" s="1124"/>
      <c r="C549" s="1128"/>
      <c r="D549" s="1126"/>
      <c r="E549" s="1126"/>
      <c r="F549" s="1132"/>
      <c r="G549" s="100"/>
      <c r="H549" s="824"/>
      <c r="I549" s="1126"/>
      <c r="J549" s="1135"/>
      <c r="K549" s="1135"/>
      <c r="L549" s="916"/>
    </row>
    <row r="550" spans="1:12" s="103" customFormat="1" ht="15.75" hidden="1" customHeight="1" outlineLevel="1">
      <c r="A550" s="916"/>
      <c r="B550" s="1123">
        <v>180</v>
      </c>
      <c r="C550" s="1127"/>
      <c r="D550" s="1125"/>
      <c r="E550" s="1125" t="s">
        <v>18</v>
      </c>
      <c r="F550" s="1130" t="str">
        <f>VLOOKUP(E550,$N$13:$O$17,2,0)</f>
        <v>-</v>
      </c>
      <c r="G550" s="92"/>
      <c r="H550" s="823"/>
      <c r="I550" s="1125"/>
      <c r="J550" s="1133"/>
      <c r="K550" s="1133"/>
      <c r="L550" s="916"/>
    </row>
    <row r="551" spans="1:12" s="103" customFormat="1" ht="15.75" hidden="1" customHeight="1" outlineLevel="1">
      <c r="A551" s="916"/>
      <c r="B551" s="1123"/>
      <c r="C551" s="1127"/>
      <c r="D551" s="1125"/>
      <c r="E551" s="1125"/>
      <c r="F551" s="1130"/>
      <c r="G551" s="95"/>
      <c r="H551" s="823"/>
      <c r="I551" s="1125"/>
      <c r="J551" s="1134"/>
      <c r="K551" s="1134"/>
      <c r="L551" s="916"/>
    </row>
    <row r="552" spans="1:12" s="103" customFormat="1" ht="15.75" hidden="1" customHeight="1" outlineLevel="1">
      <c r="A552" s="916"/>
      <c r="B552" s="1124"/>
      <c r="C552" s="1128"/>
      <c r="D552" s="1126"/>
      <c r="E552" s="1126"/>
      <c r="F552" s="1132"/>
      <c r="G552" s="100"/>
      <c r="H552" s="824"/>
      <c r="I552" s="1126"/>
      <c r="J552" s="1135"/>
      <c r="K552" s="1135"/>
      <c r="L552" s="916"/>
    </row>
    <row r="553" spans="1:12" s="103" customFormat="1" ht="15.75" hidden="1" customHeight="1" outlineLevel="1">
      <c r="A553" s="916"/>
      <c r="B553" s="1123">
        <v>181</v>
      </c>
      <c r="C553" s="1127"/>
      <c r="D553" s="1125"/>
      <c r="E553" s="1125" t="s">
        <v>18</v>
      </c>
      <c r="F553" s="1130" t="str">
        <f>VLOOKUP(E553,$N$13:$O$17,2,0)</f>
        <v>-</v>
      </c>
      <c r="G553" s="92"/>
      <c r="H553" s="823"/>
      <c r="I553" s="1125"/>
      <c r="J553" s="1133"/>
      <c r="K553" s="1133"/>
      <c r="L553" s="916"/>
    </row>
    <row r="554" spans="1:12" s="103" customFormat="1" ht="15.75" hidden="1" customHeight="1" outlineLevel="1">
      <c r="A554" s="916"/>
      <c r="B554" s="1123"/>
      <c r="C554" s="1127"/>
      <c r="D554" s="1125"/>
      <c r="E554" s="1125"/>
      <c r="F554" s="1130"/>
      <c r="G554" s="95"/>
      <c r="H554" s="823"/>
      <c r="I554" s="1125"/>
      <c r="J554" s="1134"/>
      <c r="K554" s="1134"/>
      <c r="L554" s="916"/>
    </row>
    <row r="555" spans="1:12" s="103" customFormat="1" ht="15.75" hidden="1" customHeight="1" outlineLevel="1">
      <c r="A555" s="916"/>
      <c r="B555" s="1124"/>
      <c r="C555" s="1128"/>
      <c r="D555" s="1126"/>
      <c r="E555" s="1126"/>
      <c r="F555" s="1132"/>
      <c r="G555" s="100"/>
      <c r="H555" s="824"/>
      <c r="I555" s="1126"/>
      <c r="J555" s="1135"/>
      <c r="K555" s="1135"/>
      <c r="L555" s="916"/>
    </row>
    <row r="556" spans="1:12" s="103" customFormat="1" ht="15.75" hidden="1" customHeight="1" outlineLevel="1">
      <c r="A556" s="916"/>
      <c r="B556" s="1123">
        <v>182</v>
      </c>
      <c r="C556" s="1127"/>
      <c r="D556" s="1125"/>
      <c r="E556" s="1125" t="s">
        <v>18</v>
      </c>
      <c r="F556" s="1130" t="str">
        <f>VLOOKUP(E556,$N$13:$O$17,2,0)</f>
        <v>-</v>
      </c>
      <c r="G556" s="92"/>
      <c r="H556" s="823"/>
      <c r="I556" s="1125"/>
      <c r="J556" s="1133"/>
      <c r="K556" s="1133"/>
      <c r="L556" s="916"/>
    </row>
    <row r="557" spans="1:12" s="103" customFormat="1" ht="15.75" hidden="1" customHeight="1" outlineLevel="1">
      <c r="A557" s="916"/>
      <c r="B557" s="1123"/>
      <c r="C557" s="1127"/>
      <c r="D557" s="1125"/>
      <c r="E557" s="1125"/>
      <c r="F557" s="1130"/>
      <c r="G557" s="95"/>
      <c r="H557" s="823"/>
      <c r="I557" s="1125"/>
      <c r="J557" s="1134"/>
      <c r="K557" s="1134"/>
      <c r="L557" s="916"/>
    </row>
    <row r="558" spans="1:12" s="103" customFormat="1" ht="15.75" hidden="1" customHeight="1" outlineLevel="1">
      <c r="A558" s="916"/>
      <c r="B558" s="1124"/>
      <c r="C558" s="1128"/>
      <c r="D558" s="1126"/>
      <c r="E558" s="1126"/>
      <c r="F558" s="1132"/>
      <c r="G558" s="100"/>
      <c r="H558" s="824"/>
      <c r="I558" s="1126"/>
      <c r="J558" s="1135"/>
      <c r="K558" s="1135"/>
      <c r="L558" s="916"/>
    </row>
    <row r="559" spans="1:12" s="103" customFormat="1" ht="15.75" hidden="1" customHeight="1" outlineLevel="1">
      <c r="A559" s="916"/>
      <c r="B559" s="1123">
        <v>183</v>
      </c>
      <c r="C559" s="1127"/>
      <c r="D559" s="1125"/>
      <c r="E559" s="1125" t="s">
        <v>18</v>
      </c>
      <c r="F559" s="1130" t="str">
        <f>VLOOKUP(E559,$N$13:$O$17,2,0)</f>
        <v>-</v>
      </c>
      <c r="G559" s="92"/>
      <c r="H559" s="823"/>
      <c r="I559" s="1125"/>
      <c r="J559" s="1133"/>
      <c r="K559" s="1133"/>
      <c r="L559" s="916"/>
    </row>
    <row r="560" spans="1:12" s="103" customFormat="1" ht="15.75" hidden="1" customHeight="1" outlineLevel="1">
      <c r="A560" s="916"/>
      <c r="B560" s="1123"/>
      <c r="C560" s="1127"/>
      <c r="D560" s="1125"/>
      <c r="E560" s="1125"/>
      <c r="F560" s="1130"/>
      <c r="G560" s="95"/>
      <c r="H560" s="823"/>
      <c r="I560" s="1125"/>
      <c r="J560" s="1134"/>
      <c r="K560" s="1134"/>
      <c r="L560" s="916"/>
    </row>
    <row r="561" spans="1:12" s="103" customFormat="1" ht="15.75" hidden="1" customHeight="1" outlineLevel="1">
      <c r="A561" s="916"/>
      <c r="B561" s="1124"/>
      <c r="C561" s="1128"/>
      <c r="D561" s="1126"/>
      <c r="E561" s="1126"/>
      <c r="F561" s="1132"/>
      <c r="G561" s="100"/>
      <c r="H561" s="824"/>
      <c r="I561" s="1126"/>
      <c r="J561" s="1135"/>
      <c r="K561" s="1135"/>
      <c r="L561" s="916"/>
    </row>
    <row r="562" spans="1:12" s="103" customFormat="1" ht="15.75" hidden="1" customHeight="1" outlineLevel="1">
      <c r="A562" s="916"/>
      <c r="B562" s="1123">
        <v>184</v>
      </c>
      <c r="C562" s="1127"/>
      <c r="D562" s="1125"/>
      <c r="E562" s="1125" t="s">
        <v>18</v>
      </c>
      <c r="F562" s="1130" t="str">
        <f>VLOOKUP(E562,$N$13:$O$17,2,0)</f>
        <v>-</v>
      </c>
      <c r="G562" s="92"/>
      <c r="H562" s="823"/>
      <c r="I562" s="1125"/>
      <c r="J562" s="1133"/>
      <c r="K562" s="1133"/>
      <c r="L562" s="916"/>
    </row>
    <row r="563" spans="1:12" s="103" customFormat="1" ht="15.75" hidden="1" customHeight="1" outlineLevel="1">
      <c r="A563" s="916"/>
      <c r="B563" s="1123"/>
      <c r="C563" s="1127"/>
      <c r="D563" s="1125"/>
      <c r="E563" s="1125"/>
      <c r="F563" s="1130"/>
      <c r="G563" s="95"/>
      <c r="H563" s="823"/>
      <c r="I563" s="1125"/>
      <c r="J563" s="1134"/>
      <c r="K563" s="1134"/>
      <c r="L563" s="916"/>
    </row>
    <row r="564" spans="1:12" s="103" customFormat="1" ht="15.75" hidden="1" customHeight="1" outlineLevel="1">
      <c r="A564" s="916"/>
      <c r="B564" s="1124"/>
      <c r="C564" s="1128"/>
      <c r="D564" s="1126"/>
      <c r="E564" s="1126"/>
      <c r="F564" s="1132"/>
      <c r="G564" s="100"/>
      <c r="H564" s="824"/>
      <c r="I564" s="1126"/>
      <c r="J564" s="1135"/>
      <c r="K564" s="1135"/>
      <c r="L564" s="916"/>
    </row>
    <row r="565" spans="1:12" s="103" customFormat="1" ht="15.75" hidden="1" customHeight="1" outlineLevel="1">
      <c r="A565" s="916"/>
      <c r="B565" s="1123">
        <v>185</v>
      </c>
      <c r="C565" s="1127"/>
      <c r="D565" s="1125"/>
      <c r="E565" s="1125" t="s">
        <v>18</v>
      </c>
      <c r="F565" s="1130" t="str">
        <f>VLOOKUP(E565,$N$13:$O$17,2,0)</f>
        <v>-</v>
      </c>
      <c r="G565" s="92"/>
      <c r="H565" s="823"/>
      <c r="I565" s="1125"/>
      <c r="J565" s="1133"/>
      <c r="K565" s="1133"/>
      <c r="L565" s="916"/>
    </row>
    <row r="566" spans="1:12" s="103" customFormat="1" ht="15.75" hidden="1" customHeight="1" outlineLevel="1">
      <c r="A566" s="916"/>
      <c r="B566" s="1123"/>
      <c r="C566" s="1127"/>
      <c r="D566" s="1125"/>
      <c r="E566" s="1125"/>
      <c r="F566" s="1130"/>
      <c r="G566" s="95"/>
      <c r="H566" s="823"/>
      <c r="I566" s="1125"/>
      <c r="J566" s="1134"/>
      <c r="K566" s="1134"/>
      <c r="L566" s="916"/>
    </row>
    <row r="567" spans="1:12" s="103" customFormat="1" ht="15.75" hidden="1" customHeight="1" outlineLevel="1">
      <c r="A567" s="916"/>
      <c r="B567" s="1124"/>
      <c r="C567" s="1128"/>
      <c r="D567" s="1126"/>
      <c r="E567" s="1126"/>
      <c r="F567" s="1132"/>
      <c r="G567" s="100"/>
      <c r="H567" s="824"/>
      <c r="I567" s="1126"/>
      <c r="J567" s="1135"/>
      <c r="K567" s="1135"/>
      <c r="L567" s="916"/>
    </row>
    <row r="568" spans="1:12" s="103" customFormat="1" ht="15.75" hidden="1" customHeight="1" outlineLevel="1">
      <c r="A568" s="916"/>
      <c r="B568" s="1123">
        <v>186</v>
      </c>
      <c r="C568" s="1127"/>
      <c r="D568" s="1125"/>
      <c r="E568" s="1125" t="s">
        <v>18</v>
      </c>
      <c r="F568" s="1130" t="str">
        <f>VLOOKUP(E568,$N$13:$O$17,2,0)</f>
        <v>-</v>
      </c>
      <c r="G568" s="92"/>
      <c r="H568" s="823"/>
      <c r="I568" s="1125"/>
      <c r="J568" s="1133"/>
      <c r="K568" s="1133"/>
      <c r="L568" s="916"/>
    </row>
    <row r="569" spans="1:12" s="103" customFormat="1" ht="15.75" hidden="1" customHeight="1" outlineLevel="1">
      <c r="A569" s="916"/>
      <c r="B569" s="1123"/>
      <c r="C569" s="1127"/>
      <c r="D569" s="1125"/>
      <c r="E569" s="1125"/>
      <c r="F569" s="1130"/>
      <c r="G569" s="95"/>
      <c r="H569" s="823"/>
      <c r="I569" s="1125"/>
      <c r="J569" s="1134"/>
      <c r="K569" s="1134"/>
      <c r="L569" s="916"/>
    </row>
    <row r="570" spans="1:12" s="103" customFormat="1" ht="15.75" hidden="1" customHeight="1" outlineLevel="1">
      <c r="A570" s="916"/>
      <c r="B570" s="1124"/>
      <c r="C570" s="1128"/>
      <c r="D570" s="1126"/>
      <c r="E570" s="1126"/>
      <c r="F570" s="1132"/>
      <c r="G570" s="100"/>
      <c r="H570" s="824"/>
      <c r="I570" s="1126"/>
      <c r="J570" s="1135"/>
      <c r="K570" s="1135"/>
      <c r="L570" s="916"/>
    </row>
    <row r="571" spans="1:12" s="103" customFormat="1" ht="15.75" hidden="1" customHeight="1" outlineLevel="1">
      <c r="A571" s="916"/>
      <c r="B571" s="1123">
        <v>187</v>
      </c>
      <c r="C571" s="1127"/>
      <c r="D571" s="1125"/>
      <c r="E571" s="1125" t="s">
        <v>18</v>
      </c>
      <c r="F571" s="1130" t="str">
        <f>VLOOKUP(E571,$N$13:$O$17,2,0)</f>
        <v>-</v>
      </c>
      <c r="G571" s="92"/>
      <c r="H571" s="823"/>
      <c r="I571" s="1125"/>
      <c r="J571" s="1133"/>
      <c r="K571" s="1133"/>
      <c r="L571" s="916"/>
    </row>
    <row r="572" spans="1:12" s="103" customFormat="1" ht="15.75" hidden="1" customHeight="1" outlineLevel="1">
      <c r="A572" s="916"/>
      <c r="B572" s="1123"/>
      <c r="C572" s="1127"/>
      <c r="D572" s="1125"/>
      <c r="E572" s="1125"/>
      <c r="F572" s="1130"/>
      <c r="G572" s="95"/>
      <c r="H572" s="823"/>
      <c r="I572" s="1125"/>
      <c r="J572" s="1134"/>
      <c r="K572" s="1134"/>
      <c r="L572" s="916"/>
    </row>
    <row r="573" spans="1:12" s="103" customFormat="1" ht="15.75" hidden="1" customHeight="1" outlineLevel="1">
      <c r="A573" s="916"/>
      <c r="B573" s="1124"/>
      <c r="C573" s="1128"/>
      <c r="D573" s="1126"/>
      <c r="E573" s="1126"/>
      <c r="F573" s="1132"/>
      <c r="G573" s="100"/>
      <c r="H573" s="824"/>
      <c r="I573" s="1126"/>
      <c r="J573" s="1135"/>
      <c r="K573" s="1135"/>
      <c r="L573" s="916"/>
    </row>
    <row r="574" spans="1:12" s="103" customFormat="1" ht="15.75" hidden="1" customHeight="1" outlineLevel="1">
      <c r="A574" s="916"/>
      <c r="B574" s="1123">
        <v>188</v>
      </c>
      <c r="C574" s="1127"/>
      <c r="D574" s="1125"/>
      <c r="E574" s="1125" t="s">
        <v>18</v>
      </c>
      <c r="F574" s="1130" t="str">
        <f>VLOOKUP(E574,$N$13:$O$17,2,0)</f>
        <v>-</v>
      </c>
      <c r="G574" s="92"/>
      <c r="H574" s="823"/>
      <c r="I574" s="1125"/>
      <c r="J574" s="1133"/>
      <c r="K574" s="1133"/>
      <c r="L574" s="916"/>
    </row>
    <row r="575" spans="1:12" s="103" customFormat="1" ht="15.75" hidden="1" customHeight="1" outlineLevel="1">
      <c r="A575" s="916"/>
      <c r="B575" s="1123"/>
      <c r="C575" s="1127"/>
      <c r="D575" s="1125"/>
      <c r="E575" s="1125"/>
      <c r="F575" s="1130"/>
      <c r="G575" s="95"/>
      <c r="H575" s="823"/>
      <c r="I575" s="1125"/>
      <c r="J575" s="1134"/>
      <c r="K575" s="1134"/>
      <c r="L575" s="916"/>
    </row>
    <row r="576" spans="1:12" s="103" customFormat="1" ht="15.75" hidden="1" customHeight="1" outlineLevel="1">
      <c r="A576" s="916"/>
      <c r="B576" s="1124"/>
      <c r="C576" s="1128"/>
      <c r="D576" s="1126"/>
      <c r="E576" s="1126"/>
      <c r="F576" s="1132"/>
      <c r="G576" s="100"/>
      <c r="H576" s="824"/>
      <c r="I576" s="1126"/>
      <c r="J576" s="1135"/>
      <c r="K576" s="1135"/>
      <c r="L576" s="916"/>
    </row>
    <row r="577" spans="1:12" s="103" customFormat="1" ht="15.75" hidden="1" customHeight="1" outlineLevel="1">
      <c r="A577" s="916"/>
      <c r="B577" s="1123">
        <v>189</v>
      </c>
      <c r="C577" s="1127"/>
      <c r="D577" s="1125"/>
      <c r="E577" s="1125" t="s">
        <v>18</v>
      </c>
      <c r="F577" s="1130" t="str">
        <f>VLOOKUP(E577,$N$13:$O$17,2,0)</f>
        <v>-</v>
      </c>
      <c r="G577" s="92"/>
      <c r="H577" s="823"/>
      <c r="I577" s="1125"/>
      <c r="J577" s="1133"/>
      <c r="K577" s="1133"/>
      <c r="L577" s="916"/>
    </row>
    <row r="578" spans="1:12" s="103" customFormat="1" ht="15.75" hidden="1" customHeight="1" outlineLevel="1">
      <c r="A578" s="916"/>
      <c r="B578" s="1123"/>
      <c r="C578" s="1127"/>
      <c r="D578" s="1125"/>
      <c r="E578" s="1125"/>
      <c r="F578" s="1130"/>
      <c r="G578" s="95"/>
      <c r="H578" s="823"/>
      <c r="I578" s="1125"/>
      <c r="J578" s="1134"/>
      <c r="K578" s="1134"/>
      <c r="L578" s="916"/>
    </row>
    <row r="579" spans="1:12" s="103" customFormat="1" ht="15.75" hidden="1" customHeight="1" outlineLevel="1">
      <c r="A579" s="916"/>
      <c r="B579" s="1124"/>
      <c r="C579" s="1128"/>
      <c r="D579" s="1126"/>
      <c r="E579" s="1126"/>
      <c r="F579" s="1132"/>
      <c r="G579" s="100"/>
      <c r="H579" s="824"/>
      <c r="I579" s="1126"/>
      <c r="J579" s="1135"/>
      <c r="K579" s="1135"/>
      <c r="L579" s="916"/>
    </row>
    <row r="580" spans="1:12" s="103" customFormat="1" ht="15.75" hidden="1" customHeight="1" outlineLevel="1">
      <c r="A580" s="916"/>
      <c r="B580" s="1123">
        <v>190</v>
      </c>
      <c r="C580" s="1127"/>
      <c r="D580" s="1125"/>
      <c r="E580" s="1125" t="s">
        <v>18</v>
      </c>
      <c r="F580" s="1130" t="str">
        <f>VLOOKUP(E580,$N$13:$O$17,2,0)</f>
        <v>-</v>
      </c>
      <c r="G580" s="92"/>
      <c r="H580" s="823"/>
      <c r="I580" s="1125"/>
      <c r="J580" s="1133"/>
      <c r="K580" s="1133"/>
      <c r="L580" s="916"/>
    </row>
    <row r="581" spans="1:12" s="103" customFormat="1" ht="15.75" hidden="1" customHeight="1" outlineLevel="1">
      <c r="A581" s="916"/>
      <c r="B581" s="1123"/>
      <c r="C581" s="1127"/>
      <c r="D581" s="1125"/>
      <c r="E581" s="1125"/>
      <c r="F581" s="1130"/>
      <c r="G581" s="95"/>
      <c r="H581" s="823"/>
      <c r="I581" s="1125"/>
      <c r="J581" s="1134"/>
      <c r="K581" s="1134"/>
      <c r="L581" s="916"/>
    </row>
    <row r="582" spans="1:12" s="103" customFormat="1" ht="15.75" hidden="1" customHeight="1" outlineLevel="1">
      <c r="A582" s="916"/>
      <c r="B582" s="1124"/>
      <c r="C582" s="1128"/>
      <c r="D582" s="1126"/>
      <c r="E582" s="1126"/>
      <c r="F582" s="1132"/>
      <c r="G582" s="100"/>
      <c r="H582" s="824"/>
      <c r="I582" s="1126"/>
      <c r="J582" s="1135"/>
      <c r="K582" s="1135"/>
      <c r="L582" s="916"/>
    </row>
    <row r="583" spans="1:12" s="103" customFormat="1" ht="15.75" hidden="1" customHeight="1" outlineLevel="1">
      <c r="A583" s="916"/>
      <c r="B583" s="1123">
        <v>191</v>
      </c>
      <c r="C583" s="1127"/>
      <c r="D583" s="1125"/>
      <c r="E583" s="1125" t="s">
        <v>18</v>
      </c>
      <c r="F583" s="1130" t="str">
        <f>VLOOKUP(E583,$N$13:$O$17,2,0)</f>
        <v>-</v>
      </c>
      <c r="G583" s="92"/>
      <c r="H583" s="823"/>
      <c r="I583" s="1125"/>
      <c r="J583" s="1133"/>
      <c r="K583" s="1133"/>
      <c r="L583" s="916"/>
    </row>
    <row r="584" spans="1:12" s="103" customFormat="1" ht="15.75" hidden="1" customHeight="1" outlineLevel="1">
      <c r="A584" s="916"/>
      <c r="B584" s="1123"/>
      <c r="C584" s="1127"/>
      <c r="D584" s="1125"/>
      <c r="E584" s="1125"/>
      <c r="F584" s="1130"/>
      <c r="G584" s="95"/>
      <c r="H584" s="823"/>
      <c r="I584" s="1125"/>
      <c r="J584" s="1134"/>
      <c r="K584" s="1134"/>
      <c r="L584" s="916"/>
    </row>
    <row r="585" spans="1:12" s="103" customFormat="1" ht="15.75" hidden="1" customHeight="1" outlineLevel="1">
      <c r="A585" s="916"/>
      <c r="B585" s="1124"/>
      <c r="C585" s="1128"/>
      <c r="D585" s="1126"/>
      <c r="E585" s="1126"/>
      <c r="F585" s="1132"/>
      <c r="G585" s="100"/>
      <c r="H585" s="824"/>
      <c r="I585" s="1126"/>
      <c r="J585" s="1135"/>
      <c r="K585" s="1135"/>
      <c r="L585" s="916"/>
    </row>
    <row r="586" spans="1:12" s="103" customFormat="1" ht="15.75" hidden="1" customHeight="1" outlineLevel="1">
      <c r="A586" s="916"/>
      <c r="B586" s="1123">
        <v>192</v>
      </c>
      <c r="C586" s="1127"/>
      <c r="D586" s="1125"/>
      <c r="E586" s="1125" t="s">
        <v>18</v>
      </c>
      <c r="F586" s="1130" t="str">
        <f>VLOOKUP(E586,$N$13:$O$17,2,0)</f>
        <v>-</v>
      </c>
      <c r="G586" s="92"/>
      <c r="H586" s="823"/>
      <c r="I586" s="1125"/>
      <c r="J586" s="1133"/>
      <c r="K586" s="1133"/>
      <c r="L586" s="916"/>
    </row>
    <row r="587" spans="1:12" s="103" customFormat="1" ht="15.75" hidden="1" customHeight="1" outlineLevel="1">
      <c r="A587" s="916"/>
      <c r="B587" s="1123"/>
      <c r="C587" s="1127"/>
      <c r="D587" s="1125"/>
      <c r="E587" s="1125"/>
      <c r="F587" s="1130"/>
      <c r="G587" s="95"/>
      <c r="H587" s="823"/>
      <c r="I587" s="1125"/>
      <c r="J587" s="1134"/>
      <c r="K587" s="1134"/>
      <c r="L587" s="916"/>
    </row>
    <row r="588" spans="1:12" s="103" customFormat="1" ht="15.75" hidden="1" customHeight="1" outlineLevel="1">
      <c r="A588" s="916"/>
      <c r="B588" s="1124"/>
      <c r="C588" s="1128"/>
      <c r="D588" s="1126"/>
      <c r="E588" s="1126"/>
      <c r="F588" s="1132"/>
      <c r="G588" s="100"/>
      <c r="H588" s="824"/>
      <c r="I588" s="1126"/>
      <c r="J588" s="1135"/>
      <c r="K588" s="1135"/>
      <c r="L588" s="916"/>
    </row>
    <row r="589" spans="1:12" s="103" customFormat="1" ht="15.75" hidden="1" customHeight="1" outlineLevel="1">
      <c r="A589" s="916"/>
      <c r="B589" s="1123">
        <v>193</v>
      </c>
      <c r="C589" s="1127"/>
      <c r="D589" s="1125"/>
      <c r="E589" s="1125" t="s">
        <v>18</v>
      </c>
      <c r="F589" s="1130" t="str">
        <f>VLOOKUP(E589,$N$13:$O$17,2,0)</f>
        <v>-</v>
      </c>
      <c r="G589" s="92"/>
      <c r="H589" s="823"/>
      <c r="I589" s="1125"/>
      <c r="J589" s="1133"/>
      <c r="K589" s="1133"/>
      <c r="L589" s="916"/>
    </row>
    <row r="590" spans="1:12" s="103" customFormat="1" ht="15.75" hidden="1" customHeight="1" outlineLevel="1">
      <c r="A590" s="916"/>
      <c r="B590" s="1123"/>
      <c r="C590" s="1127"/>
      <c r="D590" s="1125"/>
      <c r="E590" s="1125"/>
      <c r="F590" s="1130"/>
      <c r="G590" s="95"/>
      <c r="H590" s="823"/>
      <c r="I590" s="1125"/>
      <c r="J590" s="1134"/>
      <c r="K590" s="1134"/>
      <c r="L590" s="916"/>
    </row>
    <row r="591" spans="1:12" s="103" customFormat="1" ht="15.75" hidden="1" customHeight="1" outlineLevel="1">
      <c r="A591" s="916"/>
      <c r="B591" s="1124"/>
      <c r="C591" s="1128"/>
      <c r="D591" s="1126"/>
      <c r="E591" s="1126"/>
      <c r="F591" s="1132"/>
      <c r="G591" s="100"/>
      <c r="H591" s="824"/>
      <c r="I591" s="1126"/>
      <c r="J591" s="1135"/>
      <c r="K591" s="1135"/>
      <c r="L591" s="916"/>
    </row>
    <row r="592" spans="1:12" s="103" customFormat="1" ht="15.75" hidden="1" customHeight="1" outlineLevel="1">
      <c r="A592" s="916"/>
      <c r="B592" s="1123">
        <v>194</v>
      </c>
      <c r="C592" s="1127"/>
      <c r="D592" s="1125"/>
      <c r="E592" s="1125" t="s">
        <v>18</v>
      </c>
      <c r="F592" s="1130" t="str">
        <f>VLOOKUP(E592,$N$13:$O$17,2,0)</f>
        <v>-</v>
      </c>
      <c r="G592" s="92"/>
      <c r="H592" s="823"/>
      <c r="I592" s="1125"/>
      <c r="J592" s="1133"/>
      <c r="K592" s="1133"/>
      <c r="L592" s="916"/>
    </row>
    <row r="593" spans="1:12" s="103" customFormat="1" ht="15.75" hidden="1" customHeight="1" outlineLevel="1">
      <c r="A593" s="916"/>
      <c r="B593" s="1123"/>
      <c r="C593" s="1127"/>
      <c r="D593" s="1125"/>
      <c r="E593" s="1125"/>
      <c r="F593" s="1130"/>
      <c r="G593" s="95"/>
      <c r="H593" s="823"/>
      <c r="I593" s="1125"/>
      <c r="J593" s="1134"/>
      <c r="K593" s="1134"/>
      <c r="L593" s="916"/>
    </row>
    <row r="594" spans="1:12" s="103" customFormat="1" ht="15.75" hidden="1" customHeight="1" outlineLevel="1">
      <c r="A594" s="916"/>
      <c r="B594" s="1124"/>
      <c r="C594" s="1128"/>
      <c r="D594" s="1126"/>
      <c r="E594" s="1126"/>
      <c r="F594" s="1132"/>
      <c r="G594" s="100"/>
      <c r="H594" s="824"/>
      <c r="I594" s="1126"/>
      <c r="J594" s="1135"/>
      <c r="K594" s="1135"/>
      <c r="L594" s="916"/>
    </row>
    <row r="595" spans="1:12" s="103" customFormat="1" ht="15.75" hidden="1" customHeight="1" outlineLevel="1">
      <c r="A595" s="916"/>
      <c r="B595" s="1123">
        <v>195</v>
      </c>
      <c r="C595" s="1127"/>
      <c r="D595" s="1125"/>
      <c r="E595" s="1125" t="s">
        <v>18</v>
      </c>
      <c r="F595" s="1130" t="str">
        <f>VLOOKUP(E595,$N$13:$O$17,2,0)</f>
        <v>-</v>
      </c>
      <c r="G595" s="92"/>
      <c r="H595" s="823"/>
      <c r="I595" s="1125"/>
      <c r="J595" s="1133"/>
      <c r="K595" s="1133"/>
      <c r="L595" s="916"/>
    </row>
    <row r="596" spans="1:12" s="103" customFormat="1" ht="15.75" hidden="1" customHeight="1" outlineLevel="1">
      <c r="A596" s="916"/>
      <c r="B596" s="1123"/>
      <c r="C596" s="1127"/>
      <c r="D596" s="1125"/>
      <c r="E596" s="1125"/>
      <c r="F596" s="1130"/>
      <c r="G596" s="95"/>
      <c r="H596" s="823"/>
      <c r="I596" s="1125"/>
      <c r="J596" s="1134"/>
      <c r="K596" s="1134"/>
      <c r="L596" s="916"/>
    </row>
    <row r="597" spans="1:12" s="103" customFormat="1" ht="15.75" hidden="1" customHeight="1" outlineLevel="1">
      <c r="A597" s="916"/>
      <c r="B597" s="1124"/>
      <c r="C597" s="1128"/>
      <c r="D597" s="1126"/>
      <c r="E597" s="1126"/>
      <c r="F597" s="1132"/>
      <c r="G597" s="100"/>
      <c r="H597" s="824"/>
      <c r="I597" s="1126"/>
      <c r="J597" s="1135"/>
      <c r="K597" s="1135"/>
      <c r="L597" s="916"/>
    </row>
    <row r="598" spans="1:12" s="103" customFormat="1" ht="15.75" hidden="1" customHeight="1" outlineLevel="1">
      <c r="A598" s="916"/>
      <c r="B598" s="1123">
        <v>196</v>
      </c>
      <c r="C598" s="1127"/>
      <c r="D598" s="1125"/>
      <c r="E598" s="1125" t="s">
        <v>18</v>
      </c>
      <c r="F598" s="1130" t="str">
        <f>VLOOKUP(E598,$N$13:$O$17,2,0)</f>
        <v>-</v>
      </c>
      <c r="G598" s="92"/>
      <c r="H598" s="823"/>
      <c r="I598" s="1125"/>
      <c r="J598" s="1133"/>
      <c r="K598" s="1133"/>
      <c r="L598" s="916"/>
    </row>
    <row r="599" spans="1:12" s="103" customFormat="1" ht="15.75" hidden="1" customHeight="1" outlineLevel="1">
      <c r="A599" s="916"/>
      <c r="B599" s="1123"/>
      <c r="C599" s="1127"/>
      <c r="D599" s="1125"/>
      <c r="E599" s="1125"/>
      <c r="F599" s="1130"/>
      <c r="G599" s="95"/>
      <c r="H599" s="823"/>
      <c r="I599" s="1125"/>
      <c r="J599" s="1134"/>
      <c r="K599" s="1134"/>
      <c r="L599" s="916"/>
    </row>
    <row r="600" spans="1:12" s="103" customFormat="1" ht="15.75" hidden="1" customHeight="1" outlineLevel="1">
      <c r="A600" s="916"/>
      <c r="B600" s="1124"/>
      <c r="C600" s="1128"/>
      <c r="D600" s="1126"/>
      <c r="E600" s="1126"/>
      <c r="F600" s="1132"/>
      <c r="G600" s="100"/>
      <c r="H600" s="824"/>
      <c r="I600" s="1126"/>
      <c r="J600" s="1135"/>
      <c r="K600" s="1135"/>
      <c r="L600" s="916"/>
    </row>
    <row r="601" spans="1:12" s="103" customFormat="1" ht="15.75" hidden="1" customHeight="1" outlineLevel="1">
      <c r="A601" s="916"/>
      <c r="B601" s="1123">
        <v>197</v>
      </c>
      <c r="C601" s="1127"/>
      <c r="D601" s="1125"/>
      <c r="E601" s="1125" t="s">
        <v>18</v>
      </c>
      <c r="F601" s="1130" t="str">
        <f>VLOOKUP(E601,$N$13:$O$17,2,0)</f>
        <v>-</v>
      </c>
      <c r="G601" s="92"/>
      <c r="H601" s="823"/>
      <c r="I601" s="1125"/>
      <c r="J601" s="1133"/>
      <c r="K601" s="1133"/>
      <c r="L601" s="916"/>
    </row>
    <row r="602" spans="1:12" s="103" customFormat="1" ht="15.75" hidden="1" customHeight="1" outlineLevel="1">
      <c r="A602" s="916"/>
      <c r="B602" s="1123"/>
      <c r="C602" s="1127"/>
      <c r="D602" s="1125"/>
      <c r="E602" s="1125"/>
      <c r="F602" s="1130"/>
      <c r="G602" s="95"/>
      <c r="H602" s="823"/>
      <c r="I602" s="1125"/>
      <c r="J602" s="1134"/>
      <c r="K602" s="1134"/>
      <c r="L602" s="916"/>
    </row>
    <row r="603" spans="1:12" s="103" customFormat="1" ht="15.75" hidden="1" customHeight="1" outlineLevel="1">
      <c r="A603" s="916"/>
      <c r="B603" s="1124"/>
      <c r="C603" s="1128"/>
      <c r="D603" s="1126"/>
      <c r="E603" s="1126"/>
      <c r="F603" s="1132"/>
      <c r="G603" s="100"/>
      <c r="H603" s="824"/>
      <c r="I603" s="1126"/>
      <c r="J603" s="1135"/>
      <c r="K603" s="1135"/>
      <c r="L603" s="916"/>
    </row>
    <row r="604" spans="1:12" s="103" customFormat="1" ht="15.75" hidden="1" customHeight="1" outlineLevel="1">
      <c r="A604" s="916"/>
      <c r="B604" s="1123">
        <v>198</v>
      </c>
      <c r="C604" s="1127"/>
      <c r="D604" s="1125"/>
      <c r="E604" s="1125" t="s">
        <v>18</v>
      </c>
      <c r="F604" s="1130" t="str">
        <f>VLOOKUP(E604,$N$13:$O$17,2,0)</f>
        <v>-</v>
      </c>
      <c r="G604" s="92"/>
      <c r="H604" s="823"/>
      <c r="I604" s="1125"/>
      <c r="J604" s="1133"/>
      <c r="K604" s="1133"/>
      <c r="L604" s="916"/>
    </row>
    <row r="605" spans="1:12" s="103" customFormat="1" ht="15.75" hidden="1" customHeight="1" outlineLevel="1">
      <c r="A605" s="916"/>
      <c r="B605" s="1123"/>
      <c r="C605" s="1127"/>
      <c r="D605" s="1125"/>
      <c r="E605" s="1125"/>
      <c r="F605" s="1130"/>
      <c r="G605" s="95"/>
      <c r="H605" s="823"/>
      <c r="I605" s="1125"/>
      <c r="J605" s="1134"/>
      <c r="K605" s="1134"/>
      <c r="L605" s="916"/>
    </row>
    <row r="606" spans="1:12" s="103" customFormat="1" ht="15.75" hidden="1" customHeight="1" outlineLevel="1">
      <c r="A606" s="916"/>
      <c r="B606" s="1124"/>
      <c r="C606" s="1128"/>
      <c r="D606" s="1126"/>
      <c r="E606" s="1126"/>
      <c r="F606" s="1132"/>
      <c r="G606" s="100"/>
      <c r="H606" s="824"/>
      <c r="I606" s="1126"/>
      <c r="J606" s="1135"/>
      <c r="K606" s="1135"/>
      <c r="L606" s="916"/>
    </row>
    <row r="607" spans="1:12" s="103" customFormat="1" ht="15.75" hidden="1" customHeight="1" outlineLevel="1">
      <c r="A607" s="916"/>
      <c r="B607" s="1123">
        <v>199</v>
      </c>
      <c r="C607" s="1127"/>
      <c r="D607" s="1125"/>
      <c r="E607" s="1125" t="s">
        <v>18</v>
      </c>
      <c r="F607" s="1130" t="str">
        <f>VLOOKUP(E607,$N$13:$O$17,2,0)</f>
        <v>-</v>
      </c>
      <c r="G607" s="92"/>
      <c r="H607" s="823"/>
      <c r="I607" s="1125"/>
      <c r="J607" s="1133"/>
      <c r="K607" s="1133"/>
      <c r="L607" s="916"/>
    </row>
    <row r="608" spans="1:12" s="103" customFormat="1" ht="15.75" hidden="1" customHeight="1" outlineLevel="1">
      <c r="A608" s="916"/>
      <c r="B608" s="1123"/>
      <c r="C608" s="1127"/>
      <c r="D608" s="1125"/>
      <c r="E608" s="1125"/>
      <c r="F608" s="1130"/>
      <c r="G608" s="95"/>
      <c r="H608" s="823"/>
      <c r="I608" s="1125"/>
      <c r="J608" s="1134"/>
      <c r="K608" s="1134"/>
      <c r="L608" s="916"/>
    </row>
    <row r="609" spans="1:12" s="103" customFormat="1" ht="15.75" hidden="1" customHeight="1" outlineLevel="1">
      <c r="A609" s="916"/>
      <c r="B609" s="1124"/>
      <c r="C609" s="1128"/>
      <c r="D609" s="1126"/>
      <c r="E609" s="1126"/>
      <c r="F609" s="1132"/>
      <c r="G609" s="100"/>
      <c r="H609" s="824"/>
      <c r="I609" s="1126"/>
      <c r="J609" s="1135"/>
      <c r="K609" s="1135"/>
      <c r="L609" s="916"/>
    </row>
    <row r="610" spans="1:12" s="103" customFormat="1" ht="15.75" hidden="1" customHeight="1" outlineLevel="1">
      <c r="A610" s="916"/>
      <c r="B610" s="1123">
        <v>200</v>
      </c>
      <c r="C610" s="1149" t="e">
        <f>CONCATENATE("Inne ",IF(#REF!=0,0,ROUND(#REF!/#REF!*100,1))," %")</f>
        <v>#REF!</v>
      </c>
      <c r="D610" s="1125"/>
      <c r="E610" s="1125" t="s">
        <v>18</v>
      </c>
      <c r="F610" s="1130" t="str">
        <f>VLOOKUP(E610,$N$13:$O$17,2,0)</f>
        <v>-</v>
      </c>
      <c r="G610" s="92"/>
      <c r="H610" s="823"/>
      <c r="I610" s="1125"/>
      <c r="J610" s="1133"/>
      <c r="K610" s="1133"/>
      <c r="L610" s="916"/>
    </row>
    <row r="611" spans="1:12" s="103" customFormat="1" ht="15.75" hidden="1" customHeight="1" outlineLevel="1">
      <c r="A611" s="916"/>
      <c r="B611" s="1123"/>
      <c r="C611" s="1150"/>
      <c r="D611" s="1125"/>
      <c r="E611" s="1125"/>
      <c r="F611" s="1130"/>
      <c r="G611" s="95"/>
      <c r="H611" s="823"/>
      <c r="I611" s="1125"/>
      <c r="J611" s="1134"/>
      <c r="K611" s="1134"/>
      <c r="L611" s="916"/>
    </row>
    <row r="612" spans="1:12" s="103" customFormat="1" ht="15.75" hidden="1" customHeight="1" outlineLevel="1" thickBot="1">
      <c r="A612" s="916"/>
      <c r="B612" s="1124"/>
      <c r="C612" s="1151"/>
      <c r="D612" s="1126"/>
      <c r="E612" s="1126"/>
      <c r="F612" s="1132"/>
      <c r="G612" s="100"/>
      <c r="H612" s="824"/>
      <c r="I612" s="1126"/>
      <c r="J612" s="1135"/>
      <c r="K612" s="1135"/>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45"/>
      <c r="G621" s="1146"/>
      <c r="H621" s="1146"/>
      <c r="I621" s="1146"/>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612" xr:uid="{00000000-0002-0000-1800-000000000000}">
      <formula1>$N$13:$N$17</formula1>
    </dataValidation>
  </dataValidations>
  <hyperlinks>
    <hyperlink ref="C1" location="Spis!B49" display="&gt;&gt; powrót do spisu treści" xr:uid="{00000000-0004-0000-18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
    <pageSetUpPr fitToPage="1"/>
  </sheetPr>
  <dimension ref="A1:M249"/>
  <sheetViews>
    <sheetView zoomScaleNormal="10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3" ht="15.75">
      <c r="A1" s="759"/>
      <c r="B1" s="880"/>
      <c r="C1" s="931" t="s">
        <v>9</v>
      </c>
      <c r="D1" s="922"/>
      <c r="E1" s="916"/>
      <c r="F1" s="916"/>
      <c r="G1" s="903"/>
      <c r="H1" s="906"/>
      <c r="I1" s="759"/>
      <c r="J1" s="759"/>
      <c r="K1" s="759"/>
    </row>
    <row r="2" spans="1:13" ht="9.9499999999999993" customHeight="1">
      <c r="A2" s="759"/>
      <c r="B2" s="906"/>
      <c r="C2" s="906"/>
      <c r="D2" s="906"/>
      <c r="E2" s="906"/>
      <c r="F2" s="906"/>
      <c r="G2" s="880"/>
      <c r="H2" s="880"/>
      <c r="I2" s="759"/>
      <c r="J2" s="759"/>
      <c r="K2" s="759"/>
    </row>
    <row r="3" spans="1:13" ht="15" customHeight="1">
      <c r="A3" s="759"/>
      <c r="B3" s="897" t="s">
        <v>13</v>
      </c>
      <c r="C3" s="1156" t="s">
        <v>184</v>
      </c>
      <c r="D3" s="1157"/>
      <c r="E3" s="1157"/>
      <c r="F3" s="1157"/>
      <c r="G3" s="1157"/>
      <c r="H3" s="1157"/>
      <c r="I3" s="759"/>
      <c r="J3" s="759"/>
      <c r="K3" s="759"/>
    </row>
    <row r="4" spans="1:13" ht="15" customHeight="1">
      <c r="A4" s="759"/>
      <c r="B4" s="897" t="s">
        <v>27</v>
      </c>
      <c r="C4" s="935" t="s">
        <v>182</v>
      </c>
      <c r="D4" s="935"/>
      <c r="E4" s="935"/>
      <c r="F4" s="935"/>
      <c r="G4" s="935"/>
      <c r="H4" s="935"/>
      <c r="I4" s="759"/>
      <c r="J4" s="759"/>
      <c r="K4" s="759"/>
    </row>
    <row r="5" spans="1:13" ht="15" customHeight="1">
      <c r="A5" s="759"/>
      <c r="B5" s="897" t="s">
        <v>28</v>
      </c>
      <c r="C5" s="1156" t="s">
        <v>103</v>
      </c>
      <c r="D5" s="1148"/>
      <c r="E5" s="1148"/>
      <c r="F5" s="1148"/>
      <c r="G5" s="1148"/>
      <c r="H5" s="1148"/>
      <c r="I5" s="936"/>
      <c r="J5" s="936"/>
      <c r="K5" s="936"/>
      <c r="L5" s="198"/>
      <c r="M5" s="198"/>
    </row>
    <row r="6" spans="1:13" ht="50.1" customHeight="1">
      <c r="A6" s="759"/>
      <c r="B6" s="897" t="s">
        <v>35</v>
      </c>
      <c r="C6" s="1116" t="s">
        <v>181</v>
      </c>
      <c r="D6" s="1120"/>
      <c r="E6" s="1120"/>
      <c r="F6" s="1120"/>
      <c r="G6" s="1148"/>
      <c r="H6" s="1148"/>
      <c r="I6" s="936"/>
      <c r="J6" s="936"/>
      <c r="K6" s="936"/>
      <c r="L6" s="198"/>
      <c r="M6" s="198"/>
    </row>
    <row r="7" spans="1:13" ht="30" customHeight="1" thickBot="1">
      <c r="A7" s="759"/>
      <c r="B7" s="908" t="s">
        <v>180</v>
      </c>
      <c r="C7" s="907"/>
      <c r="D7" s="909"/>
      <c r="E7" s="907"/>
      <c r="F7" s="910"/>
      <c r="G7" s="912"/>
      <c r="H7" s="913"/>
      <c r="I7" s="759"/>
      <c r="J7" s="759"/>
      <c r="K7" s="759"/>
    </row>
    <row r="8" spans="1:13" ht="20.100000000000001" customHeight="1">
      <c r="A8" s="33"/>
      <c r="B8" s="1160" t="str">
        <f>'Tab.G1.1-4'!$B$8</f>
        <v>LP</v>
      </c>
      <c r="C8" s="1162" t="str">
        <f>"Województwo"</f>
        <v>Województwo</v>
      </c>
      <c r="D8" s="1162" t="str">
        <f>"Gmina"</f>
        <v>Gmina</v>
      </c>
      <c r="E8" s="1163" t="str">
        <f>"Nazwa/rodzaj projektu inwestycyjnego"</f>
        <v>Nazwa/rodzaj projektu inwestycyjnego</v>
      </c>
      <c r="F8" s="1163" t="str">
        <f>Tab.G6!$H$9</f>
        <v>Zakres prac</v>
      </c>
      <c r="G8" s="627" t="str">
        <f>'Tab.G1.1-4'!$E$8</f>
        <v>Wykonanie</v>
      </c>
      <c r="H8" s="1158" t="str">
        <f>Tab.G6!$J$9</f>
        <v>UWAGI</v>
      </c>
      <c r="I8" s="33"/>
      <c r="J8" s="33"/>
      <c r="K8" s="33"/>
    </row>
    <row r="9" spans="1:13" ht="20.100000000000001" customHeight="1">
      <c r="A9" s="33"/>
      <c r="B9" s="1161"/>
      <c r="C9" s="1161"/>
      <c r="D9" s="1161"/>
      <c r="E9" s="1164"/>
      <c r="F9" s="1164"/>
      <c r="G9" s="628">
        <f>Rok_ZPR</f>
        <v>2023</v>
      </c>
      <c r="H9" s="1159"/>
      <c r="I9" s="33"/>
      <c r="J9" s="33"/>
      <c r="K9" s="33"/>
    </row>
    <row r="10" spans="1:13" ht="20.100000000000001" customHeight="1">
      <c r="A10" s="33"/>
      <c r="B10" s="1161"/>
      <c r="C10" s="1161"/>
      <c r="D10" s="1161"/>
      <c r="E10" s="1164"/>
      <c r="F10" s="1164"/>
      <c r="G10" s="628" t="str">
        <f>'Tab.G1.1-4'!$D$11</f>
        <v>[tys. zł]</v>
      </c>
      <c r="H10" s="1159"/>
      <c r="I10" s="33"/>
      <c r="J10" s="33"/>
      <c r="K10" s="33"/>
    </row>
    <row r="11" spans="1:13" ht="13.5" thickBot="1">
      <c r="A11" s="33"/>
      <c r="B11" s="630" t="str">
        <f t="array" ref="B11:H11">TRANSPOSE(Tab.G17!$B$10:$B$16)</f>
        <v>01</v>
      </c>
      <c r="C11" s="630" t="str">
        <v>02</v>
      </c>
      <c r="D11" s="630" t="str">
        <v>03</v>
      </c>
      <c r="E11" s="630" t="str">
        <v>04</v>
      </c>
      <c r="F11" s="630" t="str">
        <v>05</v>
      </c>
      <c r="G11" s="630" t="str">
        <v>06</v>
      </c>
      <c r="H11" s="630" t="str">
        <v>07</v>
      </c>
      <c r="I11" s="33"/>
      <c r="J11" s="33"/>
      <c r="K11" s="33"/>
    </row>
    <row r="12" spans="1:13">
      <c r="A12" s="33"/>
      <c r="B12" s="57"/>
      <c r="C12" s="57"/>
      <c r="D12" s="57"/>
      <c r="E12" s="57"/>
      <c r="F12" s="57"/>
      <c r="G12" s="58"/>
      <c r="H12" s="58"/>
      <c r="I12" s="33"/>
      <c r="J12" s="33"/>
      <c r="K12" s="33"/>
    </row>
    <row r="13" spans="1:13">
      <c r="A13" s="33"/>
      <c r="B13" s="59">
        <v>1</v>
      </c>
      <c r="C13" s="60"/>
      <c r="D13" s="60"/>
      <c r="E13" s="60"/>
      <c r="F13" s="60"/>
      <c r="G13" s="61"/>
      <c r="H13" s="61"/>
      <c r="I13" s="33"/>
      <c r="J13" s="33"/>
      <c r="K13" s="33"/>
    </row>
    <row r="14" spans="1:13">
      <c r="A14" s="33"/>
      <c r="B14" s="62">
        <v>2</v>
      </c>
      <c r="C14" s="63"/>
      <c r="D14" s="63"/>
      <c r="E14" s="63"/>
      <c r="F14" s="63"/>
      <c r="G14" s="61"/>
      <c r="H14" s="61"/>
      <c r="I14" s="33"/>
      <c r="J14" s="33"/>
      <c r="K14" s="33"/>
    </row>
    <row r="15" spans="1:13">
      <c r="A15" s="33"/>
      <c r="B15" s="59">
        <v>3</v>
      </c>
      <c r="C15" s="63"/>
      <c r="D15" s="63"/>
      <c r="E15" s="63"/>
      <c r="F15" s="63"/>
      <c r="G15" s="61"/>
      <c r="H15" s="61"/>
      <c r="I15" s="33"/>
      <c r="J15" s="33"/>
      <c r="K15" s="33"/>
    </row>
    <row r="16" spans="1:13">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18" t="s">
        <v>29</v>
      </c>
      <c r="G216" s="75">
        <f>'Tab.G1.1-4'!E13-G213</f>
        <v>0</v>
      </c>
      <c r="H216"/>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5:H5"/>
    <mergeCell ref="C3:H3"/>
    <mergeCell ref="C6:H6"/>
    <mergeCell ref="H8:H10"/>
    <mergeCell ref="B8:B10"/>
    <mergeCell ref="C8:C10"/>
    <mergeCell ref="D8:D10"/>
    <mergeCell ref="E8:E10"/>
    <mergeCell ref="F8:F10"/>
  </mergeCells>
  <phoneticPr fontId="0" type="noConversion"/>
  <hyperlinks>
    <hyperlink ref="C1" location="Spis!B50" display="&gt;&gt; powrót do spisu treści" xr:uid="{00000000-0004-0000-19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4">
    <pageSetUpPr fitToPage="1"/>
  </sheetPr>
  <dimension ref="A1:M249"/>
  <sheetViews>
    <sheetView zoomScaleNormal="10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3" ht="15.75">
      <c r="A1" s="759"/>
      <c r="B1" s="880"/>
      <c r="C1" s="931" t="s">
        <v>9</v>
      </c>
      <c r="D1" s="922"/>
      <c r="E1" s="916"/>
      <c r="F1" s="916"/>
      <c r="G1" s="903"/>
      <c r="H1" s="906"/>
      <c r="I1" s="759"/>
      <c r="J1" s="759"/>
      <c r="K1" s="759"/>
    </row>
    <row r="2" spans="1:13" ht="9.9499999999999993" customHeight="1">
      <c r="A2" s="759"/>
      <c r="B2" s="906"/>
      <c r="C2" s="906"/>
      <c r="D2" s="906"/>
      <c r="E2" s="906"/>
      <c r="F2" s="906"/>
      <c r="G2" s="880"/>
      <c r="H2" s="880"/>
      <c r="I2" s="759"/>
      <c r="J2" s="759"/>
      <c r="K2" s="759"/>
    </row>
    <row r="3" spans="1:13" ht="15" customHeight="1">
      <c r="A3" s="759"/>
      <c r="B3" s="897" t="s">
        <v>13</v>
      </c>
      <c r="C3" s="1156" t="s">
        <v>184</v>
      </c>
      <c r="D3" s="1157"/>
      <c r="E3" s="1157"/>
      <c r="F3" s="1157"/>
      <c r="G3" s="1157"/>
      <c r="H3" s="1157"/>
      <c r="I3" s="759"/>
      <c r="J3" s="759"/>
      <c r="K3" s="759"/>
    </row>
    <row r="4" spans="1:13" ht="15" customHeight="1">
      <c r="A4" s="759"/>
      <c r="B4" s="897" t="s">
        <v>27</v>
      </c>
      <c r="C4" s="935" t="s">
        <v>182</v>
      </c>
      <c r="D4" s="935"/>
      <c r="E4" s="935"/>
      <c r="F4" s="935"/>
      <c r="G4" s="935"/>
      <c r="H4" s="935"/>
      <c r="I4" s="759"/>
      <c r="J4" s="759"/>
      <c r="K4" s="759"/>
    </row>
    <row r="5" spans="1:13" ht="15" customHeight="1">
      <c r="A5" s="759"/>
      <c r="B5" s="897" t="s">
        <v>28</v>
      </c>
      <c r="C5" s="1156" t="s">
        <v>103</v>
      </c>
      <c r="D5" s="1148"/>
      <c r="E5" s="1148"/>
      <c r="F5" s="1148"/>
      <c r="G5" s="1148"/>
      <c r="H5" s="1148"/>
      <c r="I5" s="936"/>
      <c r="J5" s="936"/>
      <c r="K5" s="936"/>
      <c r="L5" s="827"/>
      <c r="M5" s="827"/>
    </row>
    <row r="6" spans="1:13" ht="50.1" customHeight="1">
      <c r="A6" s="759"/>
      <c r="B6" s="897" t="s">
        <v>35</v>
      </c>
      <c r="C6" s="1116" t="s">
        <v>181</v>
      </c>
      <c r="D6" s="1120"/>
      <c r="E6" s="1120"/>
      <c r="F6" s="1120"/>
      <c r="G6" s="1148"/>
      <c r="H6" s="1148"/>
      <c r="I6" s="936"/>
      <c r="J6" s="936"/>
      <c r="K6" s="936"/>
      <c r="L6" s="827"/>
      <c r="M6" s="827"/>
    </row>
    <row r="7" spans="1:13" ht="30" customHeight="1" thickBot="1">
      <c r="A7" s="759"/>
      <c r="B7" s="908" t="s">
        <v>262</v>
      </c>
      <c r="C7" s="907"/>
      <c r="D7" s="909"/>
      <c r="E7" s="907"/>
      <c r="F7" s="910"/>
      <c r="G7" s="912"/>
      <c r="H7" s="913"/>
      <c r="I7" s="759"/>
      <c r="J7" s="759"/>
      <c r="K7" s="759"/>
    </row>
    <row r="8" spans="1:13" ht="20.100000000000001" customHeight="1">
      <c r="A8" s="33"/>
      <c r="B8" s="1160" t="str">
        <f>'Tab.G1.1-4'!$B$8</f>
        <v>LP</v>
      </c>
      <c r="C8" s="1162" t="str">
        <f>"Województwo"</f>
        <v>Województwo</v>
      </c>
      <c r="D8" s="1162" t="str">
        <f>"Gmina"</f>
        <v>Gmina</v>
      </c>
      <c r="E8" s="1163" t="str">
        <f>"Nazwa/rodzaj projektu inwestycyjnego"</f>
        <v>Nazwa/rodzaj projektu inwestycyjnego</v>
      </c>
      <c r="F8" s="1163" t="str">
        <f>Tab.G6!$H$9</f>
        <v>Zakres prac</v>
      </c>
      <c r="G8" s="627" t="str">
        <f>'Tab.G1.1-4'!$E$8</f>
        <v>Wykonanie</v>
      </c>
      <c r="H8" s="1158" t="str">
        <f>Tab.G6!$J$9</f>
        <v>UWAGI</v>
      </c>
      <c r="I8" s="33"/>
      <c r="J8" s="33"/>
      <c r="K8" s="33"/>
    </row>
    <row r="9" spans="1:13" ht="20.100000000000001" customHeight="1">
      <c r="A9" s="33"/>
      <c r="B9" s="1161"/>
      <c r="C9" s="1161"/>
      <c r="D9" s="1161"/>
      <c r="E9" s="1164"/>
      <c r="F9" s="1164"/>
      <c r="G9" s="628">
        <f>Rok_ZPR</f>
        <v>2023</v>
      </c>
      <c r="H9" s="1159"/>
      <c r="I9" s="33"/>
      <c r="J9" s="33"/>
      <c r="K9" s="33"/>
    </row>
    <row r="10" spans="1:13" ht="20.100000000000001" customHeight="1">
      <c r="A10" s="33"/>
      <c r="B10" s="1161"/>
      <c r="C10" s="1161"/>
      <c r="D10" s="1161"/>
      <c r="E10" s="1164"/>
      <c r="F10" s="1164"/>
      <c r="G10" s="628" t="str">
        <f>'Tab.G1.1-4'!$D$11</f>
        <v>[tys. zł]</v>
      </c>
      <c r="H10" s="1159"/>
      <c r="I10" s="33"/>
      <c r="J10" s="33"/>
      <c r="K10" s="33"/>
    </row>
    <row r="11" spans="1:13" ht="13.5" thickBot="1">
      <c r="A11" s="33"/>
      <c r="B11" s="630" t="str">
        <f t="array" ref="B11:H11">TRANSPOSE(Tab.G17!$B$10:$B$16)</f>
        <v>01</v>
      </c>
      <c r="C11" s="630" t="str">
        <v>02</v>
      </c>
      <c r="D11" s="630" t="str">
        <v>03</v>
      </c>
      <c r="E11" s="630" t="str">
        <v>04</v>
      </c>
      <c r="F11" s="630" t="str">
        <v>05</v>
      </c>
      <c r="G11" s="630" t="str">
        <v>06</v>
      </c>
      <c r="H11" s="630" t="str">
        <v>07</v>
      </c>
      <c r="I11" s="33"/>
      <c r="J11" s="33"/>
      <c r="K11" s="33"/>
    </row>
    <row r="12" spans="1:13">
      <c r="A12" s="33"/>
      <c r="B12" s="57"/>
      <c r="C12" s="57"/>
      <c r="D12" s="57"/>
      <c r="E12" s="57"/>
      <c r="F12" s="57"/>
      <c r="G12" s="58"/>
      <c r="H12" s="58"/>
      <c r="I12" s="33"/>
      <c r="J12" s="33"/>
      <c r="K12" s="33"/>
    </row>
    <row r="13" spans="1:13">
      <c r="A13" s="33"/>
      <c r="B13" s="59">
        <v>1</v>
      </c>
      <c r="C13" s="60"/>
      <c r="D13" s="60"/>
      <c r="E13" s="60"/>
      <c r="F13" s="60"/>
      <c r="G13" s="61"/>
      <c r="H13" s="61"/>
      <c r="I13" s="33"/>
      <c r="J13" s="33"/>
      <c r="K13" s="33"/>
    </row>
    <row r="14" spans="1:13">
      <c r="A14" s="33"/>
      <c r="B14" s="62">
        <v>2</v>
      </c>
      <c r="C14" s="63"/>
      <c r="D14" s="63"/>
      <c r="E14" s="63"/>
      <c r="F14" s="63"/>
      <c r="G14" s="61"/>
      <c r="H14" s="61"/>
      <c r="I14" s="33"/>
      <c r="J14" s="33"/>
      <c r="K14" s="33"/>
    </row>
    <row r="15" spans="1:13">
      <c r="A15" s="33"/>
      <c r="B15" s="59">
        <v>3</v>
      </c>
      <c r="C15" s="63"/>
      <c r="D15" s="63"/>
      <c r="E15" s="63"/>
      <c r="F15" s="63"/>
      <c r="G15" s="61"/>
      <c r="H15" s="61"/>
      <c r="I15" s="33"/>
      <c r="J15" s="33"/>
      <c r="K15" s="33"/>
    </row>
    <row r="16" spans="1:13">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34" t="s">
        <v>29</v>
      </c>
      <c r="G216" s="75">
        <f>SUM('Tab.G1.1-4'!E77,'Tab.G1.1-4'!E80,-G213)</f>
        <v>0</v>
      </c>
      <c r="H216" s="822"/>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3:H3"/>
    <mergeCell ref="C5:H5"/>
    <mergeCell ref="C6:H6"/>
    <mergeCell ref="B8:B10"/>
    <mergeCell ref="C8:C10"/>
    <mergeCell ref="D8:D10"/>
    <mergeCell ref="E8:E10"/>
    <mergeCell ref="F8:F10"/>
    <mergeCell ref="H8:H10"/>
  </mergeCells>
  <hyperlinks>
    <hyperlink ref="C1" location="Spis!B51" display="&gt;&gt; powrót do spisu treści" xr:uid="{00000000-0004-0000-1A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4">
    <pageSetUpPr fitToPage="1"/>
  </sheetPr>
  <dimension ref="A1:K217"/>
  <sheetViews>
    <sheetView zoomScaleNormal="10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759"/>
      <c r="B1" s="880"/>
      <c r="C1" s="931" t="s">
        <v>9</v>
      </c>
      <c r="D1" s="922"/>
      <c r="E1" s="916"/>
      <c r="F1" s="916"/>
      <c r="G1" s="903"/>
      <c r="H1" s="906"/>
      <c r="I1" s="759"/>
      <c r="J1" s="759"/>
      <c r="K1" s="759"/>
    </row>
    <row r="2" spans="1:11" ht="9.9499999999999993" customHeight="1">
      <c r="A2" s="759"/>
      <c r="B2" s="906"/>
      <c r="C2" s="906"/>
      <c r="D2" s="906"/>
      <c r="E2" s="906"/>
      <c r="F2" s="906"/>
      <c r="G2" s="880"/>
      <c r="H2" s="880"/>
      <c r="I2" s="759"/>
      <c r="J2" s="759"/>
      <c r="K2" s="759"/>
    </row>
    <row r="3" spans="1:11" ht="15" customHeight="1">
      <c r="A3" s="759"/>
      <c r="B3" s="897" t="s">
        <v>13</v>
      </c>
      <c r="C3" s="1156" t="s">
        <v>183</v>
      </c>
      <c r="D3" s="1148"/>
      <c r="E3" s="1148"/>
      <c r="F3" s="1148"/>
      <c r="G3" s="1148"/>
      <c r="H3" s="1148"/>
      <c r="I3" s="1148"/>
      <c r="J3" s="1148"/>
      <c r="K3" s="1148"/>
    </row>
    <row r="4" spans="1:11" ht="15" customHeight="1">
      <c r="A4" s="759"/>
      <c r="B4" s="937" t="s">
        <v>27</v>
      </c>
      <c r="C4" s="1156" t="s">
        <v>182</v>
      </c>
      <c r="D4" s="1148"/>
      <c r="E4" s="1148"/>
      <c r="F4" s="1148"/>
      <c r="G4" s="1148"/>
      <c r="H4" s="1148"/>
      <c r="I4" s="934"/>
      <c r="J4" s="934"/>
      <c r="K4" s="934"/>
    </row>
    <row r="5" spans="1:11" ht="15" customHeight="1">
      <c r="A5" s="759"/>
      <c r="B5" s="897" t="s">
        <v>28</v>
      </c>
      <c r="C5" s="1156" t="s">
        <v>103</v>
      </c>
      <c r="D5" s="1148"/>
      <c r="E5" s="1148"/>
      <c r="F5" s="1148"/>
      <c r="G5" s="1148"/>
      <c r="H5" s="1148"/>
      <c r="I5" s="1148"/>
      <c r="J5" s="1148"/>
      <c r="K5" s="1148"/>
    </row>
    <row r="6" spans="1:11" ht="50.1" customHeight="1">
      <c r="A6" s="759"/>
      <c r="B6" s="897" t="s">
        <v>35</v>
      </c>
      <c r="C6" s="1116" t="s">
        <v>181</v>
      </c>
      <c r="D6" s="1120"/>
      <c r="E6" s="1120"/>
      <c r="F6" s="1120"/>
      <c r="G6" s="1148"/>
      <c r="H6" s="1148"/>
      <c r="I6" s="1148"/>
      <c r="J6" s="1148"/>
      <c r="K6" s="1148"/>
    </row>
    <row r="7" spans="1:11" ht="30" customHeight="1" thickBot="1">
      <c r="A7" s="759"/>
      <c r="B7" s="908" t="s">
        <v>185</v>
      </c>
      <c r="C7" s="907"/>
      <c r="D7" s="909"/>
      <c r="E7" s="907"/>
      <c r="F7" s="910"/>
      <c r="G7" s="912"/>
      <c r="H7" s="913"/>
      <c r="I7" s="759"/>
      <c r="J7" s="759"/>
      <c r="K7" s="759"/>
    </row>
    <row r="8" spans="1:11" ht="20.100000000000001" customHeight="1">
      <c r="A8" s="33"/>
      <c r="B8" s="1160" t="str">
        <f>'Tab.G1.1-4'!$B$8</f>
        <v>LP</v>
      </c>
      <c r="C8" s="1162" t="str">
        <f>Tab.G14!$C$8</f>
        <v>Województwo</v>
      </c>
      <c r="D8" s="1162" t="str">
        <f>Tab.G14!$D$8</f>
        <v>Gmina</v>
      </c>
      <c r="E8" s="1163" t="str">
        <f>Tab.G14!$E$8</f>
        <v>Nazwa/rodzaj projektu inwestycyjnego</v>
      </c>
      <c r="F8" s="1163" t="str">
        <f>Tab.G6!$H$9</f>
        <v>Zakres prac</v>
      </c>
      <c r="G8" s="627" t="str">
        <f>'Tab.G1.1-4'!$E$8</f>
        <v>Wykonanie</v>
      </c>
      <c r="H8" s="1158" t="str">
        <f>Tab.G6!$J$9</f>
        <v>UWAGI</v>
      </c>
      <c r="I8" s="33"/>
      <c r="J8" s="33"/>
      <c r="K8" s="33"/>
    </row>
    <row r="9" spans="1:11" ht="20.100000000000001" customHeight="1">
      <c r="A9" s="33"/>
      <c r="B9" s="1161"/>
      <c r="C9" s="1161"/>
      <c r="D9" s="1161"/>
      <c r="E9" s="1164"/>
      <c r="F9" s="1164"/>
      <c r="G9" s="628">
        <f>Rok_ZPR</f>
        <v>2023</v>
      </c>
      <c r="H9" s="1159"/>
      <c r="I9" s="33"/>
      <c r="J9" s="33"/>
      <c r="K9" s="33"/>
    </row>
    <row r="10" spans="1:11" ht="20.100000000000001" customHeight="1">
      <c r="A10" s="33"/>
      <c r="B10" s="1161"/>
      <c r="C10" s="1161"/>
      <c r="D10" s="1161"/>
      <c r="E10" s="1164"/>
      <c r="F10" s="1164"/>
      <c r="G10" s="628" t="str">
        <f>'Tab.G1.1-4'!$D$11</f>
        <v>[tys. zł]</v>
      </c>
      <c r="H10" s="1159"/>
      <c r="I10" s="33"/>
      <c r="J10" s="33"/>
      <c r="K10" s="33"/>
    </row>
    <row r="11" spans="1:11" ht="13.5" thickBot="1">
      <c r="A11" s="33"/>
      <c r="B11" s="630" t="str">
        <f t="array" ref="B11:H11">TRANSPOSE(Tab.G17!$B$10:$B$16)</f>
        <v>01</v>
      </c>
      <c r="C11" s="630" t="str">
        <v>02</v>
      </c>
      <c r="D11" s="630" t="str">
        <v>03</v>
      </c>
      <c r="E11" s="630" t="str">
        <v>04</v>
      </c>
      <c r="F11" s="630" t="str">
        <v>05</v>
      </c>
      <c r="G11" s="630" t="str">
        <v>06</v>
      </c>
      <c r="H11" s="630" t="str">
        <v>07</v>
      </c>
      <c r="I11" s="33"/>
      <c r="J11" s="33"/>
      <c r="K11" s="33"/>
    </row>
    <row r="12" spans="1:11">
      <c r="A12" s="33"/>
      <c r="B12" s="57"/>
      <c r="C12" s="57"/>
      <c r="D12" s="57"/>
      <c r="E12" s="57"/>
      <c r="F12" s="57"/>
      <c r="G12" s="58"/>
      <c r="H12" s="58"/>
      <c r="I12" s="33"/>
      <c r="J12" s="33"/>
      <c r="K12" s="33"/>
    </row>
    <row r="13" spans="1:11">
      <c r="A13" s="33"/>
      <c r="B13" s="59">
        <v>1</v>
      </c>
      <c r="C13" s="60"/>
      <c r="D13" s="60"/>
      <c r="E13" s="60"/>
      <c r="F13" s="60"/>
      <c r="G13" s="61"/>
      <c r="H13" s="61"/>
      <c r="I13" s="33"/>
      <c r="J13" s="33"/>
      <c r="K13" s="33"/>
    </row>
    <row r="14" spans="1:11">
      <c r="A14" s="33"/>
      <c r="B14" s="62">
        <v>2</v>
      </c>
      <c r="C14" s="63"/>
      <c r="D14" s="63"/>
      <c r="E14" s="63"/>
      <c r="F14" s="63"/>
      <c r="G14" s="61"/>
      <c r="H14" s="61"/>
      <c r="I14" s="33"/>
      <c r="J14" s="33"/>
      <c r="K14" s="33"/>
    </row>
    <row r="15" spans="1:11">
      <c r="A15" s="33"/>
      <c r="B15" s="59">
        <v>3</v>
      </c>
      <c r="C15" s="63"/>
      <c r="D15" s="63"/>
      <c r="E15" s="63"/>
      <c r="F15" s="63"/>
      <c r="G15" s="61"/>
      <c r="H15" s="61"/>
      <c r="I15" s="33"/>
      <c r="J15" s="33"/>
      <c r="K15" s="33"/>
    </row>
    <row r="16" spans="1:11">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18" t="s">
        <v>29</v>
      </c>
      <c r="G216" s="75">
        <f>'Tab.G1.1-4'!E14-G213</f>
        <v>0</v>
      </c>
      <c r="H216"/>
      <c r="I216" s="33"/>
      <c r="J216" s="33"/>
      <c r="K216" s="33"/>
    </row>
    <row r="217" spans="1:11">
      <c r="A217" s="33"/>
      <c r="B217" s="33"/>
      <c r="C217" s="33"/>
      <c r="D217" s="33"/>
      <c r="E217" s="33"/>
      <c r="F217" s="33"/>
      <c r="G217" s="33"/>
      <c r="H217" s="33"/>
      <c r="I217" s="33"/>
      <c r="J217" s="33"/>
      <c r="K217" s="33"/>
    </row>
  </sheetData>
  <mergeCells count="10">
    <mergeCell ref="B8:B10"/>
    <mergeCell ref="C8:C10"/>
    <mergeCell ref="D8:D10"/>
    <mergeCell ref="E8:E10"/>
    <mergeCell ref="C5:K5"/>
    <mergeCell ref="C3:K3"/>
    <mergeCell ref="C4:H4"/>
    <mergeCell ref="F8:F10"/>
    <mergeCell ref="C6:K6"/>
    <mergeCell ref="H8:H10"/>
  </mergeCells>
  <phoneticPr fontId="0" type="noConversion"/>
  <hyperlinks>
    <hyperlink ref="C1" location="Spis!B52" display="&gt;&gt; powrót do spisu treści" xr:uid="{00000000-0004-0000-1B00-000000000000}"/>
  </hyperlinks>
  <pageMargins left="0.74803149606299213" right="0.74803149606299213" top="0.98425196850393704" bottom="0.98425196850393704" header="0.51181102362204722" footer="0.51181102362204722"/>
  <pageSetup paperSize="9" scale="73" fitToHeight="0" orientation="landscape" r:id="rId1"/>
  <headerFooter alignWithMargins="0">
    <oddFooter>&amp;LModuł planu inwestycyjnego&amp;C&amp;P/&amp;N&amp;R&amp;A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5">
    <pageSetUpPr fitToPage="1"/>
  </sheetPr>
  <dimension ref="A1:K224"/>
  <sheetViews>
    <sheetView zoomScale="90" zoomScaleNormal="9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33"/>
      <c r="B1" s="47"/>
      <c r="C1" s="930" t="s">
        <v>9</v>
      </c>
      <c r="D1" s="48"/>
      <c r="E1" s="49"/>
      <c r="F1" s="49"/>
      <c r="G1" s="50"/>
      <c r="H1" s="906"/>
      <c r="I1" s="759"/>
      <c r="J1" s="759"/>
      <c r="K1" s="759"/>
    </row>
    <row r="2" spans="1:11" ht="9.9499999999999993" customHeight="1">
      <c r="A2" s="33"/>
      <c r="B2" s="51"/>
      <c r="C2" s="51"/>
      <c r="D2" s="51"/>
      <c r="E2" s="51"/>
      <c r="F2" s="51"/>
      <c r="G2" s="47"/>
      <c r="H2" s="47"/>
      <c r="I2" s="33"/>
      <c r="J2" s="33"/>
      <c r="K2" s="33"/>
    </row>
    <row r="3" spans="1:11" ht="15" customHeight="1">
      <c r="A3" s="33"/>
      <c r="B3" s="939" t="s">
        <v>13</v>
      </c>
      <c r="C3" s="1165" t="s">
        <v>186</v>
      </c>
      <c r="D3" s="1166"/>
      <c r="E3" s="1166"/>
      <c r="F3" s="1166"/>
      <c r="G3" s="1166"/>
      <c r="H3" s="1166"/>
      <c r="I3" s="33"/>
      <c r="J3" s="33"/>
      <c r="K3" s="33"/>
    </row>
    <row r="4" spans="1:11" ht="15" customHeight="1">
      <c r="A4" s="33"/>
      <c r="B4" s="939" t="s">
        <v>27</v>
      </c>
      <c r="C4" s="1165" t="s">
        <v>187</v>
      </c>
      <c r="D4" s="1167"/>
      <c r="E4" s="1167"/>
      <c r="F4" s="1167"/>
      <c r="G4" s="1167"/>
      <c r="H4" s="1167"/>
      <c r="I4" s="33"/>
      <c r="J4" s="33"/>
      <c r="K4" s="33"/>
    </row>
    <row r="5" spans="1:11" ht="15" customHeight="1">
      <c r="A5" s="33"/>
      <c r="B5" s="939" t="s">
        <v>28</v>
      </c>
      <c r="C5" s="1168" t="s">
        <v>182</v>
      </c>
      <c r="D5" s="1169"/>
      <c r="E5" s="1169"/>
      <c r="F5" s="1169"/>
      <c r="G5" s="1169"/>
      <c r="H5" s="1169"/>
      <c r="I5" s="33"/>
      <c r="J5" s="33"/>
      <c r="K5" s="33"/>
    </row>
    <row r="6" spans="1:11" ht="50.1" customHeight="1">
      <c r="A6" s="33"/>
      <c r="B6" s="939" t="s">
        <v>35</v>
      </c>
      <c r="C6" s="1165" t="s">
        <v>181</v>
      </c>
      <c r="D6" s="1170"/>
      <c r="E6" s="1170"/>
      <c r="F6" s="1170"/>
      <c r="G6" s="1170"/>
      <c r="H6" s="1170"/>
      <c r="I6" s="33"/>
      <c r="J6" s="33"/>
      <c r="K6" s="33"/>
    </row>
    <row r="7" spans="1:11" ht="30" customHeight="1" thickBot="1">
      <c r="A7" s="33"/>
      <c r="B7" s="798" t="s">
        <v>259</v>
      </c>
      <c r="C7" s="52"/>
      <c r="D7" s="53"/>
      <c r="E7" s="52"/>
      <c r="F7" s="54"/>
      <c r="G7" s="55"/>
      <c r="H7" s="56"/>
      <c r="I7" s="33"/>
      <c r="J7" s="33"/>
      <c r="K7" s="33"/>
    </row>
    <row r="8" spans="1:11" ht="20.100000000000001" customHeight="1">
      <c r="A8" s="33"/>
      <c r="B8" s="1160" t="str">
        <f>'Tab.G1.1-4'!$B$8</f>
        <v>LP</v>
      </c>
      <c r="C8" s="1162" t="str">
        <f>Tab.G14!$C$8</f>
        <v>Województwo</v>
      </c>
      <c r="D8" s="1162" t="str">
        <f>Tab.G14!$D$8</f>
        <v>Gmina</v>
      </c>
      <c r="E8" s="1163" t="str">
        <f>Tab.G14!$E$8</f>
        <v>Nazwa/rodzaj projektu inwestycyjnego</v>
      </c>
      <c r="F8" s="1163" t="str">
        <f>Tab.G6!$H$9</f>
        <v>Zakres prac</v>
      </c>
      <c r="G8" s="627" t="str">
        <f>'Tab.G1.1-4'!$E$8</f>
        <v>Wykonanie</v>
      </c>
      <c r="H8" s="1158" t="str">
        <f>Tab.G6!$J$9</f>
        <v>UWAGI</v>
      </c>
      <c r="I8" s="33"/>
      <c r="J8" s="33"/>
      <c r="K8" s="33"/>
    </row>
    <row r="9" spans="1:11" ht="20.100000000000001" customHeight="1">
      <c r="A9" s="33"/>
      <c r="B9" s="1161"/>
      <c r="C9" s="1161"/>
      <c r="D9" s="1161"/>
      <c r="E9" s="1164"/>
      <c r="F9" s="1164"/>
      <c r="G9" s="628">
        <f>Rok_ZPR</f>
        <v>2023</v>
      </c>
      <c r="H9" s="1159"/>
      <c r="I9" s="33"/>
      <c r="J9" s="33"/>
      <c r="K9" s="33"/>
    </row>
    <row r="10" spans="1:11" ht="20.100000000000001" customHeight="1">
      <c r="A10" s="33"/>
      <c r="B10" s="1161"/>
      <c r="C10" s="1161"/>
      <c r="D10" s="1161"/>
      <c r="E10" s="1164"/>
      <c r="F10" s="1164"/>
      <c r="G10" s="628" t="str">
        <f>'Tab.G1.1-4'!$D$11</f>
        <v>[tys. zł]</v>
      </c>
      <c r="H10" s="1159"/>
      <c r="I10" s="33"/>
      <c r="J10" s="33"/>
      <c r="K10" s="33"/>
    </row>
    <row r="11" spans="1:11" ht="13.5" thickBot="1">
      <c r="A11" s="33"/>
      <c r="B11" s="629" t="str">
        <f t="array" ref="B11:H11">TRANSPOSE(Tab.G17!$B$10:$B$16)</f>
        <v>01</v>
      </c>
      <c r="C11" s="629" t="str">
        <v>02</v>
      </c>
      <c r="D11" s="629" t="str">
        <v>03</v>
      </c>
      <c r="E11" s="629" t="str">
        <v>04</v>
      </c>
      <c r="F11" s="629" t="str">
        <v>05</v>
      </c>
      <c r="G11" s="629" t="str">
        <v>06</v>
      </c>
      <c r="H11" s="629" t="str">
        <v>07</v>
      </c>
      <c r="I11" s="33"/>
      <c r="J11" s="33"/>
      <c r="K11" s="33"/>
    </row>
    <row r="12" spans="1:11">
      <c r="A12" s="33"/>
      <c r="B12" s="57"/>
      <c r="C12" s="57"/>
      <c r="D12" s="57"/>
      <c r="E12" s="57"/>
      <c r="F12" s="57"/>
      <c r="G12" s="58"/>
      <c r="H12" s="58"/>
      <c r="I12" s="33"/>
      <c r="J12" s="33"/>
      <c r="K12" s="33"/>
    </row>
    <row r="13" spans="1:11">
      <c r="A13" s="33"/>
      <c r="B13" s="59">
        <v>1</v>
      </c>
      <c r="C13" s="60"/>
      <c r="D13" s="60"/>
      <c r="E13" s="60"/>
      <c r="F13" s="60"/>
      <c r="G13" s="61"/>
      <c r="H13" s="61"/>
      <c r="I13" s="33"/>
      <c r="J13" s="33"/>
      <c r="K13" s="33"/>
    </row>
    <row r="14" spans="1:11">
      <c r="A14" s="33"/>
      <c r="B14" s="62">
        <v>2</v>
      </c>
      <c r="C14" s="63"/>
      <c r="D14" s="63"/>
      <c r="E14" s="63"/>
      <c r="F14" s="63"/>
      <c r="G14" s="61"/>
      <c r="H14" s="61"/>
      <c r="I14" s="33"/>
      <c r="J14" s="33"/>
      <c r="K14" s="33"/>
    </row>
    <row r="15" spans="1:11">
      <c r="A15" s="33"/>
      <c r="B15" s="59">
        <v>3</v>
      </c>
      <c r="C15" s="63"/>
      <c r="D15" s="63"/>
      <c r="E15" s="63"/>
      <c r="F15" s="63"/>
      <c r="G15" s="61"/>
      <c r="H15" s="61"/>
      <c r="I15" s="33"/>
      <c r="J15" s="33"/>
      <c r="K15" s="33"/>
    </row>
    <row r="16" spans="1:11">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idden="1" outlineLevel="1">
      <c r="A23" s="33"/>
      <c r="B23" s="59">
        <v>11</v>
      </c>
      <c r="C23" s="66"/>
      <c r="D23" s="66"/>
      <c r="E23" s="66"/>
      <c r="F23" s="66"/>
      <c r="G23" s="61"/>
      <c r="H23" s="61"/>
      <c r="I23" s="33"/>
      <c r="J23" s="33"/>
      <c r="K23" s="33"/>
    </row>
    <row r="24" spans="1:11" hidden="1" outlineLevel="1">
      <c r="A24" s="33"/>
      <c r="B24" s="62">
        <v>12</v>
      </c>
      <c r="C24" s="65"/>
      <c r="D24" s="65"/>
      <c r="E24" s="65"/>
      <c r="F24" s="65"/>
      <c r="G24" s="61"/>
      <c r="H24" s="61"/>
      <c r="I24" s="33"/>
      <c r="J24" s="33"/>
      <c r="K24" s="33"/>
    </row>
    <row r="25" spans="1:11" hidden="1" outlineLevel="1">
      <c r="A25" s="33"/>
      <c r="B25" s="59">
        <v>13</v>
      </c>
      <c r="C25" s="65"/>
      <c r="D25" s="65"/>
      <c r="E25" s="65"/>
      <c r="F25" s="65"/>
      <c r="G25" s="61"/>
      <c r="H25" s="61"/>
      <c r="I25" s="33"/>
      <c r="J25" s="33"/>
      <c r="K25" s="33"/>
    </row>
    <row r="26" spans="1:11" hidden="1" outlineLevel="1">
      <c r="A26" s="33"/>
      <c r="B26" s="62">
        <v>14</v>
      </c>
      <c r="C26" s="65"/>
      <c r="D26" s="65"/>
      <c r="E26" s="65"/>
      <c r="F26" s="65"/>
      <c r="G26" s="61"/>
      <c r="H26" s="61"/>
      <c r="I26" s="33"/>
      <c r="J26" s="33"/>
      <c r="K26" s="33"/>
    </row>
    <row r="27" spans="1:11" hidden="1" outlineLevel="1">
      <c r="A27" s="33"/>
      <c r="B27" s="59">
        <v>15</v>
      </c>
      <c r="C27" s="65"/>
      <c r="D27" s="65"/>
      <c r="E27" s="65"/>
      <c r="F27" s="65"/>
      <c r="G27" s="61"/>
      <c r="H27" s="61"/>
      <c r="I27" s="33"/>
      <c r="J27" s="33"/>
      <c r="K27" s="33"/>
    </row>
    <row r="28" spans="1:11" hidden="1" outlineLevel="1">
      <c r="A28" s="33"/>
      <c r="B28" s="62">
        <v>16</v>
      </c>
      <c r="C28" s="65"/>
      <c r="D28" s="65"/>
      <c r="E28" s="65"/>
      <c r="F28" s="65"/>
      <c r="G28" s="61"/>
      <c r="H28" s="61"/>
      <c r="I28" s="33"/>
      <c r="J28" s="33"/>
      <c r="K28" s="33"/>
    </row>
    <row r="29" spans="1:11" hidden="1" outlineLevel="1">
      <c r="A29" s="33"/>
      <c r="B29" s="59">
        <v>17</v>
      </c>
      <c r="C29" s="65"/>
      <c r="D29" s="65"/>
      <c r="E29" s="65"/>
      <c r="F29" s="65"/>
      <c r="G29" s="61"/>
      <c r="H29" s="61"/>
      <c r="I29" s="33"/>
      <c r="J29" s="33"/>
      <c r="K29" s="33"/>
    </row>
    <row r="30" spans="1:11" hidden="1" outlineLevel="1">
      <c r="A30" s="33"/>
      <c r="B30" s="62">
        <v>18</v>
      </c>
      <c r="C30" s="65"/>
      <c r="D30" s="65"/>
      <c r="E30" s="65"/>
      <c r="F30" s="65"/>
      <c r="G30" s="61"/>
      <c r="H30" s="61"/>
      <c r="I30" s="33"/>
      <c r="J30" s="33"/>
      <c r="K30" s="33"/>
    </row>
    <row r="31" spans="1:11" hidden="1" outlineLevel="1">
      <c r="A31" s="33"/>
      <c r="B31" s="59">
        <v>19</v>
      </c>
      <c r="C31" s="65"/>
      <c r="D31" s="65"/>
      <c r="E31" s="65"/>
      <c r="F31" s="65"/>
      <c r="G31" s="61"/>
      <c r="H31" s="61"/>
      <c r="I31" s="33"/>
      <c r="J31" s="33"/>
      <c r="K31" s="33"/>
    </row>
    <row r="32" spans="1:11" hidden="1" outlineLevel="1">
      <c r="A32" s="33"/>
      <c r="B32" s="62">
        <v>20</v>
      </c>
      <c r="C32" s="65"/>
      <c r="D32" s="65"/>
      <c r="E32" s="65"/>
      <c r="F32" s="65"/>
      <c r="G32" s="61"/>
      <c r="H32" s="61"/>
      <c r="I32" s="33"/>
      <c r="J32" s="33"/>
      <c r="K32" s="33"/>
    </row>
    <row r="33" spans="1:11" hidden="1" outlineLevel="1">
      <c r="A33" s="33"/>
      <c r="B33" s="59">
        <v>21</v>
      </c>
      <c r="C33" s="65"/>
      <c r="D33" s="65"/>
      <c r="E33" s="65"/>
      <c r="F33" s="65"/>
      <c r="G33" s="61"/>
      <c r="H33" s="61"/>
      <c r="I33" s="33"/>
      <c r="J33" s="33"/>
      <c r="K33" s="33"/>
    </row>
    <row r="34" spans="1:11" hidden="1" outlineLevel="1">
      <c r="A34" s="33"/>
      <c r="B34" s="62">
        <v>22</v>
      </c>
      <c r="C34" s="65"/>
      <c r="D34" s="65"/>
      <c r="E34" s="65"/>
      <c r="F34" s="65"/>
      <c r="G34" s="61"/>
      <c r="H34" s="61"/>
      <c r="I34" s="33"/>
      <c r="J34" s="33"/>
      <c r="K34" s="33"/>
    </row>
    <row r="35" spans="1:11" hidden="1" outlineLevel="1">
      <c r="A35" s="33"/>
      <c r="B35" s="59">
        <v>23</v>
      </c>
      <c r="C35" s="65"/>
      <c r="D35" s="65"/>
      <c r="E35" s="65"/>
      <c r="F35" s="65"/>
      <c r="G35" s="61"/>
      <c r="H35" s="61"/>
      <c r="I35" s="33"/>
      <c r="J35" s="33"/>
      <c r="K35" s="33"/>
    </row>
    <row r="36" spans="1:11" hidden="1" outlineLevel="1">
      <c r="A36" s="33"/>
      <c r="B36" s="62">
        <v>24</v>
      </c>
      <c r="C36" s="65"/>
      <c r="D36" s="65"/>
      <c r="E36" s="65"/>
      <c r="F36" s="65"/>
      <c r="G36" s="61"/>
      <c r="H36" s="61"/>
      <c r="I36" s="33"/>
      <c r="J36" s="33"/>
      <c r="K36" s="33"/>
    </row>
    <row r="37" spans="1:11" hidden="1" outlineLevel="1">
      <c r="A37" s="33"/>
      <c r="B37" s="59">
        <v>25</v>
      </c>
      <c r="C37" s="65"/>
      <c r="D37" s="65"/>
      <c r="E37" s="65"/>
      <c r="F37" s="65"/>
      <c r="G37" s="61"/>
      <c r="H37" s="61"/>
      <c r="I37" s="33"/>
      <c r="J37" s="33"/>
      <c r="K37" s="33"/>
    </row>
    <row r="38" spans="1:11" hidden="1" outlineLevel="1">
      <c r="A38" s="33"/>
      <c r="B38" s="62">
        <v>26</v>
      </c>
      <c r="C38" s="65"/>
      <c r="D38" s="65"/>
      <c r="E38" s="65"/>
      <c r="F38" s="65"/>
      <c r="G38" s="61"/>
      <c r="H38" s="61"/>
      <c r="I38" s="33"/>
      <c r="J38" s="33"/>
      <c r="K38" s="33"/>
    </row>
    <row r="39" spans="1:11" hidden="1" outlineLevel="1">
      <c r="A39" s="33"/>
      <c r="B39" s="59">
        <v>27</v>
      </c>
      <c r="C39" s="65"/>
      <c r="D39" s="65"/>
      <c r="E39" s="65"/>
      <c r="F39" s="65"/>
      <c r="G39" s="61"/>
      <c r="H39" s="61"/>
      <c r="I39" s="33"/>
      <c r="J39" s="33"/>
      <c r="K39" s="33"/>
    </row>
    <row r="40" spans="1:11" hidden="1" outlineLevel="1">
      <c r="A40" s="33"/>
      <c r="B40" s="62">
        <v>28</v>
      </c>
      <c r="C40" s="65"/>
      <c r="D40" s="65"/>
      <c r="E40" s="65"/>
      <c r="F40" s="65"/>
      <c r="G40" s="61"/>
      <c r="H40" s="61"/>
      <c r="I40" s="33"/>
      <c r="J40" s="33"/>
      <c r="K40" s="33"/>
    </row>
    <row r="41" spans="1:11" hidden="1" outlineLevel="1">
      <c r="A41" s="33"/>
      <c r="B41" s="59">
        <v>29</v>
      </c>
      <c r="C41" s="65"/>
      <c r="D41" s="65"/>
      <c r="E41" s="65"/>
      <c r="F41" s="65"/>
      <c r="G41" s="61"/>
      <c r="H41" s="61"/>
      <c r="I41" s="33"/>
      <c r="J41" s="33"/>
      <c r="K41" s="33"/>
    </row>
    <row r="42" spans="1:11" hidden="1" outlineLevel="1">
      <c r="A42" s="33"/>
      <c r="B42" s="62">
        <v>30</v>
      </c>
      <c r="C42" s="65"/>
      <c r="D42" s="65"/>
      <c r="E42" s="65"/>
      <c r="F42" s="65"/>
      <c r="G42" s="61"/>
      <c r="H42" s="61"/>
      <c r="I42" s="33"/>
      <c r="J42" s="33"/>
      <c r="K42" s="33"/>
    </row>
    <row r="43" spans="1:11" hidden="1" outlineLevel="1">
      <c r="A43" s="33"/>
      <c r="B43" s="59">
        <v>31</v>
      </c>
      <c r="C43" s="65"/>
      <c r="D43" s="65"/>
      <c r="E43" s="65"/>
      <c r="F43" s="65"/>
      <c r="G43" s="61"/>
      <c r="H43" s="61"/>
      <c r="I43" s="33"/>
      <c r="J43" s="33"/>
      <c r="K43" s="33"/>
    </row>
    <row r="44" spans="1:11" hidden="1" outlineLevel="1">
      <c r="A44" s="33"/>
      <c r="B44" s="62">
        <v>32</v>
      </c>
      <c r="C44" s="65"/>
      <c r="D44" s="65"/>
      <c r="E44" s="65"/>
      <c r="F44" s="65"/>
      <c r="G44" s="61"/>
      <c r="H44" s="61"/>
      <c r="I44" s="33"/>
      <c r="J44" s="33"/>
      <c r="K44" s="33"/>
    </row>
    <row r="45" spans="1:11" hidden="1" outlineLevel="1">
      <c r="A45" s="33"/>
      <c r="B45" s="59">
        <v>33</v>
      </c>
      <c r="C45" s="65"/>
      <c r="D45" s="65"/>
      <c r="E45" s="65"/>
      <c r="F45" s="65"/>
      <c r="G45" s="61"/>
      <c r="H45" s="61"/>
      <c r="I45" s="33"/>
      <c r="J45" s="33"/>
      <c r="K45" s="33"/>
    </row>
    <row r="46" spans="1:11" hidden="1" outlineLevel="1">
      <c r="A46" s="33"/>
      <c r="B46" s="62">
        <v>34</v>
      </c>
      <c r="C46" s="65"/>
      <c r="D46" s="65"/>
      <c r="E46" s="65"/>
      <c r="F46" s="65"/>
      <c r="G46" s="61"/>
      <c r="H46" s="61"/>
      <c r="I46" s="33"/>
      <c r="J46" s="33"/>
      <c r="K46" s="33"/>
    </row>
    <row r="47" spans="1:11" hidden="1" outlineLevel="1">
      <c r="A47" s="33"/>
      <c r="B47" s="59">
        <v>35</v>
      </c>
      <c r="C47" s="65"/>
      <c r="D47" s="65"/>
      <c r="E47" s="65"/>
      <c r="F47" s="65"/>
      <c r="G47" s="61"/>
      <c r="H47" s="61"/>
      <c r="I47" s="33"/>
      <c r="J47" s="33"/>
      <c r="K47" s="33"/>
    </row>
    <row r="48" spans="1:11" hidden="1" outlineLevel="1">
      <c r="A48" s="33"/>
      <c r="B48" s="62">
        <v>36</v>
      </c>
      <c r="C48" s="65"/>
      <c r="D48" s="65"/>
      <c r="E48" s="65"/>
      <c r="F48" s="65"/>
      <c r="G48" s="61"/>
      <c r="H48" s="61"/>
      <c r="I48" s="33"/>
      <c r="J48" s="33"/>
      <c r="K48" s="33"/>
    </row>
    <row r="49" spans="1:11" hidden="1" outlineLevel="1">
      <c r="A49" s="33"/>
      <c r="B49" s="59">
        <v>37</v>
      </c>
      <c r="C49" s="65"/>
      <c r="D49" s="65"/>
      <c r="E49" s="65"/>
      <c r="F49" s="65"/>
      <c r="G49" s="61"/>
      <c r="H49" s="61"/>
      <c r="I49" s="33"/>
      <c r="J49" s="33"/>
      <c r="K49" s="33"/>
    </row>
    <row r="50" spans="1:11" hidden="1" outlineLevel="1">
      <c r="A50" s="33"/>
      <c r="B50" s="62">
        <v>38</v>
      </c>
      <c r="C50" s="65"/>
      <c r="D50" s="65"/>
      <c r="E50" s="65"/>
      <c r="F50" s="65"/>
      <c r="G50" s="61"/>
      <c r="H50" s="61"/>
      <c r="I50" s="33"/>
      <c r="J50" s="33"/>
      <c r="K50" s="33"/>
    </row>
    <row r="51" spans="1:11" hidden="1" outlineLevel="1">
      <c r="A51" s="33"/>
      <c r="B51" s="59">
        <v>39</v>
      </c>
      <c r="C51" s="65"/>
      <c r="D51" s="65"/>
      <c r="E51" s="65"/>
      <c r="F51" s="65"/>
      <c r="G51" s="61"/>
      <c r="H51" s="61"/>
      <c r="I51" s="33"/>
      <c r="J51" s="33"/>
      <c r="K51" s="33"/>
    </row>
    <row r="52" spans="1:11" hidden="1" outlineLevel="1">
      <c r="A52" s="33"/>
      <c r="B52" s="62">
        <v>40</v>
      </c>
      <c r="C52" s="65"/>
      <c r="D52" s="65"/>
      <c r="E52" s="65"/>
      <c r="F52" s="65"/>
      <c r="G52" s="61"/>
      <c r="H52" s="61"/>
      <c r="I52" s="33"/>
      <c r="J52" s="33"/>
      <c r="K52" s="33"/>
    </row>
    <row r="53" spans="1:11" hidden="1" outlineLevel="1">
      <c r="A53" s="33"/>
      <c r="B53" s="59">
        <v>41</v>
      </c>
      <c r="C53" s="65"/>
      <c r="D53" s="65"/>
      <c r="E53" s="65"/>
      <c r="F53" s="65"/>
      <c r="G53" s="61"/>
      <c r="H53" s="61"/>
      <c r="I53" s="33"/>
      <c r="J53" s="33"/>
      <c r="K53" s="33"/>
    </row>
    <row r="54" spans="1:11" hidden="1" outlineLevel="1">
      <c r="A54" s="33"/>
      <c r="B54" s="62">
        <v>42</v>
      </c>
      <c r="C54" s="65"/>
      <c r="D54" s="65"/>
      <c r="E54" s="65"/>
      <c r="F54" s="65"/>
      <c r="G54" s="61"/>
      <c r="H54" s="61"/>
      <c r="I54" s="33"/>
      <c r="J54" s="33"/>
      <c r="K54" s="33"/>
    </row>
    <row r="55" spans="1:11" hidden="1" outlineLevel="1">
      <c r="A55" s="33"/>
      <c r="B55" s="59">
        <v>43</v>
      </c>
      <c r="C55" s="65"/>
      <c r="D55" s="65"/>
      <c r="E55" s="65"/>
      <c r="F55" s="65"/>
      <c r="G55" s="61"/>
      <c r="H55" s="61"/>
      <c r="I55" s="33"/>
      <c r="J55" s="33"/>
      <c r="K55" s="33"/>
    </row>
    <row r="56" spans="1:11" hidden="1" outlineLevel="1">
      <c r="A56" s="33"/>
      <c r="B56" s="62">
        <v>44</v>
      </c>
      <c r="C56" s="65"/>
      <c r="D56" s="65"/>
      <c r="E56" s="65"/>
      <c r="F56" s="65"/>
      <c r="G56" s="61"/>
      <c r="H56" s="61"/>
      <c r="I56" s="33"/>
      <c r="J56" s="33"/>
      <c r="K56" s="33"/>
    </row>
    <row r="57" spans="1:11" hidden="1" outlineLevel="1">
      <c r="A57" s="33"/>
      <c r="B57" s="59">
        <v>45</v>
      </c>
      <c r="C57" s="65"/>
      <c r="D57" s="65"/>
      <c r="E57" s="65"/>
      <c r="F57" s="65"/>
      <c r="G57" s="61"/>
      <c r="H57" s="61"/>
      <c r="I57" s="33"/>
      <c r="J57" s="33"/>
      <c r="K57" s="33"/>
    </row>
    <row r="58" spans="1:11" hidden="1" outlineLevel="1">
      <c r="A58" s="33"/>
      <c r="B58" s="62">
        <v>46</v>
      </c>
      <c r="C58" s="65"/>
      <c r="D58" s="65"/>
      <c r="E58" s="65"/>
      <c r="F58" s="65"/>
      <c r="G58" s="61"/>
      <c r="H58" s="61"/>
      <c r="I58" s="33"/>
      <c r="J58" s="33"/>
      <c r="K58" s="33"/>
    </row>
    <row r="59" spans="1:11" hidden="1" outlineLevel="1">
      <c r="A59" s="33"/>
      <c r="B59" s="59">
        <v>47</v>
      </c>
      <c r="C59" s="65"/>
      <c r="D59" s="65"/>
      <c r="E59" s="65"/>
      <c r="F59" s="65"/>
      <c r="G59" s="61"/>
      <c r="H59" s="61"/>
      <c r="I59" s="33"/>
      <c r="J59" s="33"/>
      <c r="K59" s="33"/>
    </row>
    <row r="60" spans="1:11" hidden="1" outlineLevel="1">
      <c r="A60" s="33"/>
      <c r="B60" s="62">
        <v>48</v>
      </c>
      <c r="C60" s="65"/>
      <c r="D60" s="65"/>
      <c r="E60" s="65"/>
      <c r="F60" s="65"/>
      <c r="G60" s="61"/>
      <c r="H60" s="61"/>
      <c r="I60" s="33"/>
      <c r="J60" s="33"/>
      <c r="K60" s="33"/>
    </row>
    <row r="61" spans="1:11" hidden="1" outlineLevel="1">
      <c r="A61" s="33"/>
      <c r="B61" s="59">
        <v>49</v>
      </c>
      <c r="C61" s="65"/>
      <c r="D61" s="65"/>
      <c r="E61" s="65"/>
      <c r="F61" s="65"/>
      <c r="G61" s="61"/>
      <c r="H61" s="61"/>
      <c r="I61" s="33"/>
      <c r="J61" s="33"/>
      <c r="K61" s="33"/>
    </row>
    <row r="62" spans="1:11" hidden="1" outlineLevel="1">
      <c r="A62" s="33"/>
      <c r="B62" s="62">
        <v>50</v>
      </c>
      <c r="C62" s="65"/>
      <c r="D62" s="65"/>
      <c r="E62" s="65"/>
      <c r="F62" s="65"/>
      <c r="G62" s="61"/>
      <c r="H62" s="61"/>
      <c r="I62" s="33"/>
      <c r="J62" s="33"/>
      <c r="K62" s="33"/>
    </row>
    <row r="63" spans="1:11" hidden="1" outlineLevel="1">
      <c r="A63" s="33"/>
      <c r="B63" s="59">
        <v>51</v>
      </c>
      <c r="C63" s="65"/>
      <c r="D63" s="65"/>
      <c r="E63" s="65"/>
      <c r="F63" s="65"/>
      <c r="G63" s="61"/>
      <c r="H63" s="61"/>
      <c r="I63" s="33"/>
      <c r="J63" s="33"/>
      <c r="K63" s="33"/>
    </row>
    <row r="64" spans="1:11" hidden="1" outlineLevel="1">
      <c r="A64" s="33"/>
      <c r="B64" s="62">
        <v>52</v>
      </c>
      <c r="C64" s="65"/>
      <c r="D64" s="65"/>
      <c r="E64" s="65"/>
      <c r="F64" s="65"/>
      <c r="G64" s="61"/>
      <c r="H64" s="61"/>
      <c r="I64" s="33"/>
      <c r="J64" s="33"/>
      <c r="K64" s="33"/>
    </row>
    <row r="65" spans="1:11" hidden="1" outlineLevel="1">
      <c r="A65" s="33"/>
      <c r="B65" s="59">
        <v>53</v>
      </c>
      <c r="C65" s="65"/>
      <c r="D65" s="65"/>
      <c r="E65" s="65"/>
      <c r="F65" s="65"/>
      <c r="G65" s="61"/>
      <c r="H65" s="61"/>
      <c r="I65" s="33"/>
      <c r="J65" s="33"/>
      <c r="K65" s="33"/>
    </row>
    <row r="66" spans="1:11" hidden="1" outlineLevel="1">
      <c r="A66" s="33"/>
      <c r="B66" s="62">
        <v>54</v>
      </c>
      <c r="C66" s="65"/>
      <c r="D66" s="65"/>
      <c r="E66" s="65"/>
      <c r="F66" s="65"/>
      <c r="G66" s="61"/>
      <c r="H66" s="61"/>
      <c r="I66" s="33"/>
      <c r="J66" s="33"/>
      <c r="K66" s="33"/>
    </row>
    <row r="67" spans="1:11" hidden="1" outlineLevel="1">
      <c r="A67" s="33"/>
      <c r="B67" s="59">
        <v>55</v>
      </c>
      <c r="C67" s="65"/>
      <c r="D67" s="65"/>
      <c r="E67" s="65"/>
      <c r="F67" s="65"/>
      <c r="G67" s="61"/>
      <c r="H67" s="61"/>
      <c r="I67" s="33"/>
      <c r="J67" s="33"/>
      <c r="K67" s="33"/>
    </row>
    <row r="68" spans="1:11" hidden="1" outlineLevel="1">
      <c r="A68" s="33"/>
      <c r="B68" s="62">
        <v>56</v>
      </c>
      <c r="C68" s="65"/>
      <c r="D68" s="65"/>
      <c r="E68" s="65"/>
      <c r="F68" s="65"/>
      <c r="G68" s="61"/>
      <c r="H68" s="61"/>
      <c r="I68" s="33"/>
      <c r="J68" s="33"/>
      <c r="K68" s="33"/>
    </row>
    <row r="69" spans="1:11" hidden="1" outlineLevel="1">
      <c r="A69" s="33"/>
      <c r="B69" s="59">
        <v>57</v>
      </c>
      <c r="C69" s="65"/>
      <c r="D69" s="65"/>
      <c r="E69" s="65"/>
      <c r="F69" s="65"/>
      <c r="G69" s="61"/>
      <c r="H69" s="61"/>
      <c r="I69" s="33"/>
      <c r="J69" s="33"/>
      <c r="K69" s="33"/>
    </row>
    <row r="70" spans="1:11" hidden="1" outlineLevel="1">
      <c r="A70" s="33"/>
      <c r="B70" s="62">
        <v>58</v>
      </c>
      <c r="C70" s="65"/>
      <c r="D70" s="65"/>
      <c r="E70" s="65"/>
      <c r="F70" s="65"/>
      <c r="G70" s="61"/>
      <c r="H70" s="61"/>
      <c r="I70" s="33"/>
      <c r="J70" s="33"/>
      <c r="K70" s="33"/>
    </row>
    <row r="71" spans="1:11" hidden="1" outlineLevel="1">
      <c r="A71" s="33"/>
      <c r="B71" s="59">
        <v>59</v>
      </c>
      <c r="C71" s="65"/>
      <c r="D71" s="65"/>
      <c r="E71" s="65"/>
      <c r="F71" s="65"/>
      <c r="G71" s="61"/>
      <c r="H71" s="61"/>
      <c r="I71" s="33"/>
      <c r="J71" s="33"/>
      <c r="K71" s="33"/>
    </row>
    <row r="72" spans="1:11" hidden="1" outlineLevel="1">
      <c r="A72" s="33"/>
      <c r="B72" s="62">
        <v>60</v>
      </c>
      <c r="C72" s="65"/>
      <c r="D72" s="65"/>
      <c r="E72" s="65"/>
      <c r="F72" s="65"/>
      <c r="G72" s="61"/>
      <c r="H72" s="61"/>
      <c r="I72" s="33"/>
      <c r="J72" s="33"/>
      <c r="K72" s="33"/>
    </row>
    <row r="73" spans="1:11" hidden="1" outlineLevel="1">
      <c r="A73" s="33"/>
      <c r="B73" s="59">
        <v>61</v>
      </c>
      <c r="C73" s="65"/>
      <c r="D73" s="65"/>
      <c r="E73" s="65"/>
      <c r="F73" s="65"/>
      <c r="G73" s="61"/>
      <c r="H73" s="61"/>
      <c r="I73" s="33"/>
      <c r="J73" s="33"/>
      <c r="K73" s="33"/>
    </row>
    <row r="74" spans="1:11" hidden="1" outlineLevel="1">
      <c r="A74" s="33"/>
      <c r="B74" s="62">
        <v>62</v>
      </c>
      <c r="C74" s="65"/>
      <c r="D74" s="65"/>
      <c r="E74" s="65"/>
      <c r="F74" s="65"/>
      <c r="G74" s="61"/>
      <c r="H74" s="61"/>
      <c r="I74" s="33"/>
      <c r="J74" s="33"/>
      <c r="K74" s="33"/>
    </row>
    <row r="75" spans="1:11" hidden="1" outlineLevel="1">
      <c r="A75" s="33"/>
      <c r="B75" s="59">
        <v>63</v>
      </c>
      <c r="C75" s="65"/>
      <c r="D75" s="65"/>
      <c r="E75" s="65"/>
      <c r="F75" s="65"/>
      <c r="G75" s="61"/>
      <c r="H75" s="61"/>
      <c r="I75" s="33"/>
      <c r="J75" s="33"/>
      <c r="K75" s="33"/>
    </row>
    <row r="76" spans="1:11" hidden="1" outlineLevel="1">
      <c r="A76" s="33"/>
      <c r="B76" s="62">
        <v>64</v>
      </c>
      <c r="C76" s="65"/>
      <c r="D76" s="65"/>
      <c r="E76" s="65"/>
      <c r="F76" s="65"/>
      <c r="G76" s="61"/>
      <c r="H76" s="61"/>
      <c r="I76" s="33"/>
      <c r="J76" s="33"/>
      <c r="K76" s="33"/>
    </row>
    <row r="77" spans="1:11" hidden="1" outlineLevel="1">
      <c r="A77" s="33"/>
      <c r="B77" s="59">
        <v>65</v>
      </c>
      <c r="C77" s="65"/>
      <c r="D77" s="65"/>
      <c r="E77" s="65"/>
      <c r="F77" s="65"/>
      <c r="G77" s="61"/>
      <c r="H77" s="61"/>
      <c r="I77" s="33"/>
      <c r="J77" s="33"/>
      <c r="K77" s="33"/>
    </row>
    <row r="78" spans="1:11" hidden="1" outlineLevel="1">
      <c r="A78" s="33"/>
      <c r="B78" s="62">
        <v>66</v>
      </c>
      <c r="C78" s="65"/>
      <c r="D78" s="65"/>
      <c r="E78" s="65"/>
      <c r="F78" s="65"/>
      <c r="G78" s="61"/>
      <c r="H78" s="61"/>
      <c r="I78" s="33"/>
      <c r="J78" s="33"/>
      <c r="K78" s="33"/>
    </row>
    <row r="79" spans="1:11" hidden="1" outlineLevel="1">
      <c r="A79" s="33"/>
      <c r="B79" s="59">
        <v>67</v>
      </c>
      <c r="C79" s="65"/>
      <c r="D79" s="65"/>
      <c r="E79" s="65"/>
      <c r="F79" s="65"/>
      <c r="G79" s="61"/>
      <c r="H79" s="61"/>
      <c r="I79" s="33"/>
      <c r="J79" s="33"/>
      <c r="K79" s="33"/>
    </row>
    <row r="80" spans="1:11" hidden="1" outlineLevel="1">
      <c r="A80" s="33"/>
      <c r="B80" s="62">
        <v>68</v>
      </c>
      <c r="C80" s="65"/>
      <c r="D80" s="65"/>
      <c r="E80" s="65"/>
      <c r="F80" s="65"/>
      <c r="G80" s="61"/>
      <c r="H80" s="61"/>
      <c r="I80" s="33"/>
      <c r="J80" s="33"/>
      <c r="K80" s="33"/>
    </row>
    <row r="81" spans="1:11" hidden="1" outlineLevel="1">
      <c r="A81" s="33"/>
      <c r="B81" s="59">
        <v>69</v>
      </c>
      <c r="C81" s="65"/>
      <c r="D81" s="65"/>
      <c r="E81" s="65"/>
      <c r="F81" s="65"/>
      <c r="G81" s="61"/>
      <c r="H81" s="61"/>
      <c r="I81" s="33"/>
      <c r="J81" s="33"/>
      <c r="K81" s="33"/>
    </row>
    <row r="82" spans="1:11" hidden="1" outlineLevel="1">
      <c r="A82" s="33"/>
      <c r="B82" s="62">
        <v>70</v>
      </c>
      <c r="C82" s="65"/>
      <c r="D82" s="65"/>
      <c r="E82" s="65"/>
      <c r="F82" s="65"/>
      <c r="G82" s="61"/>
      <c r="H82" s="61"/>
      <c r="I82" s="33"/>
      <c r="J82" s="33"/>
      <c r="K82" s="33"/>
    </row>
    <row r="83" spans="1:11" hidden="1" outlineLevel="1">
      <c r="A83" s="33"/>
      <c r="B83" s="59">
        <v>71</v>
      </c>
      <c r="C83" s="65"/>
      <c r="D83" s="65"/>
      <c r="E83" s="65"/>
      <c r="F83" s="65"/>
      <c r="G83" s="61"/>
      <c r="H83" s="61"/>
      <c r="I83" s="33"/>
      <c r="J83" s="33"/>
      <c r="K83" s="33"/>
    </row>
    <row r="84" spans="1:11" hidden="1" outlineLevel="1">
      <c r="A84" s="33"/>
      <c r="B84" s="62">
        <v>72</v>
      </c>
      <c r="C84" s="65"/>
      <c r="D84" s="65"/>
      <c r="E84" s="65"/>
      <c r="F84" s="65"/>
      <c r="G84" s="61"/>
      <c r="H84" s="61"/>
      <c r="I84" s="33"/>
      <c r="J84" s="33"/>
      <c r="K84" s="33"/>
    </row>
    <row r="85" spans="1:11" hidden="1" outlineLevel="1">
      <c r="A85" s="33"/>
      <c r="B85" s="59">
        <v>73</v>
      </c>
      <c r="C85" s="65"/>
      <c r="D85" s="65"/>
      <c r="E85" s="65"/>
      <c r="F85" s="65"/>
      <c r="G85" s="61"/>
      <c r="H85" s="61"/>
      <c r="I85" s="33"/>
      <c r="J85" s="33"/>
      <c r="K85" s="33"/>
    </row>
    <row r="86" spans="1:11" hidden="1" outlineLevel="1">
      <c r="A86" s="33"/>
      <c r="B86" s="62">
        <v>74</v>
      </c>
      <c r="C86" s="65"/>
      <c r="D86" s="65"/>
      <c r="E86" s="65"/>
      <c r="F86" s="65"/>
      <c r="G86" s="61"/>
      <c r="H86" s="61"/>
      <c r="I86" s="33"/>
      <c r="J86" s="33"/>
      <c r="K86" s="33"/>
    </row>
    <row r="87" spans="1:11" hidden="1" outlineLevel="1">
      <c r="A87" s="33"/>
      <c r="B87" s="59">
        <v>75</v>
      </c>
      <c r="C87" s="65"/>
      <c r="D87" s="65"/>
      <c r="E87" s="65"/>
      <c r="F87" s="65"/>
      <c r="G87" s="61"/>
      <c r="H87" s="61"/>
      <c r="I87" s="33"/>
      <c r="J87" s="33"/>
      <c r="K87" s="33"/>
    </row>
    <row r="88" spans="1:11" hidden="1" outlineLevel="1">
      <c r="A88" s="33"/>
      <c r="B88" s="62">
        <v>76</v>
      </c>
      <c r="C88" s="65"/>
      <c r="D88" s="65"/>
      <c r="E88" s="65"/>
      <c r="F88" s="65"/>
      <c r="G88" s="61"/>
      <c r="H88" s="61"/>
      <c r="I88" s="33"/>
      <c r="J88" s="33"/>
      <c r="K88" s="33"/>
    </row>
    <row r="89" spans="1:11" hidden="1" outlineLevel="1">
      <c r="A89" s="33"/>
      <c r="B89" s="59">
        <v>77</v>
      </c>
      <c r="C89" s="65"/>
      <c r="D89" s="65"/>
      <c r="E89" s="65"/>
      <c r="F89" s="65"/>
      <c r="G89" s="61"/>
      <c r="H89" s="61"/>
      <c r="I89" s="33"/>
      <c r="J89" s="33"/>
      <c r="K89" s="33"/>
    </row>
    <row r="90" spans="1:11" hidden="1" outlineLevel="1">
      <c r="A90" s="33"/>
      <c r="B90" s="62">
        <v>78</v>
      </c>
      <c r="C90" s="65"/>
      <c r="D90" s="65"/>
      <c r="E90" s="65"/>
      <c r="F90" s="65"/>
      <c r="G90" s="61"/>
      <c r="H90" s="61"/>
      <c r="I90" s="33"/>
      <c r="J90" s="33"/>
      <c r="K90" s="33"/>
    </row>
    <row r="91" spans="1:11" hidden="1" outlineLevel="1">
      <c r="A91" s="33"/>
      <c r="B91" s="59">
        <v>79</v>
      </c>
      <c r="C91" s="65"/>
      <c r="D91" s="65"/>
      <c r="E91" s="65"/>
      <c r="F91" s="65"/>
      <c r="G91" s="61"/>
      <c r="H91" s="61"/>
      <c r="I91" s="33"/>
      <c r="J91" s="33"/>
      <c r="K91" s="33"/>
    </row>
    <row r="92" spans="1:11" hidden="1" outlineLevel="1">
      <c r="A92" s="33"/>
      <c r="B92" s="62">
        <v>80</v>
      </c>
      <c r="C92" s="65"/>
      <c r="D92" s="65"/>
      <c r="E92" s="65"/>
      <c r="F92" s="65"/>
      <c r="G92" s="61"/>
      <c r="H92" s="61"/>
      <c r="I92" s="33"/>
      <c r="J92" s="33"/>
      <c r="K92" s="33"/>
    </row>
    <row r="93" spans="1:11" hidden="1" outlineLevel="1">
      <c r="A93" s="33"/>
      <c r="B93" s="59">
        <v>81</v>
      </c>
      <c r="C93" s="65"/>
      <c r="D93" s="65"/>
      <c r="E93" s="65"/>
      <c r="F93" s="65"/>
      <c r="G93" s="61"/>
      <c r="H93" s="61"/>
      <c r="I93" s="33"/>
      <c r="J93" s="33"/>
      <c r="K93" s="33"/>
    </row>
    <row r="94" spans="1:11" hidden="1" outlineLevel="1">
      <c r="A94" s="33"/>
      <c r="B94" s="62">
        <v>82</v>
      </c>
      <c r="C94" s="65"/>
      <c r="D94" s="65"/>
      <c r="E94" s="65"/>
      <c r="F94" s="65"/>
      <c r="G94" s="61"/>
      <c r="H94" s="61"/>
      <c r="I94" s="33"/>
      <c r="J94" s="33"/>
      <c r="K94" s="33"/>
    </row>
    <row r="95" spans="1:11" hidden="1" outlineLevel="1">
      <c r="A95" s="33"/>
      <c r="B95" s="59">
        <v>83</v>
      </c>
      <c r="C95" s="65"/>
      <c r="D95" s="65"/>
      <c r="E95" s="65"/>
      <c r="F95" s="65"/>
      <c r="G95" s="61"/>
      <c r="H95" s="61"/>
      <c r="I95" s="33"/>
      <c r="J95" s="33"/>
      <c r="K95" s="33"/>
    </row>
    <row r="96" spans="1:11" hidden="1" outlineLevel="1">
      <c r="A96" s="33"/>
      <c r="B96" s="62">
        <v>84</v>
      </c>
      <c r="C96" s="65"/>
      <c r="D96" s="65"/>
      <c r="E96" s="65"/>
      <c r="F96" s="65"/>
      <c r="G96" s="61"/>
      <c r="H96" s="61"/>
      <c r="I96" s="33"/>
      <c r="J96" s="33"/>
      <c r="K96" s="33"/>
    </row>
    <row r="97" spans="1:11" hidden="1" outlineLevel="1">
      <c r="A97" s="33"/>
      <c r="B97" s="59">
        <v>85</v>
      </c>
      <c r="C97" s="65"/>
      <c r="D97" s="65"/>
      <c r="E97" s="65"/>
      <c r="F97" s="65"/>
      <c r="G97" s="61"/>
      <c r="H97" s="61"/>
      <c r="I97" s="33"/>
      <c r="J97" s="33"/>
      <c r="K97" s="33"/>
    </row>
    <row r="98" spans="1:11" hidden="1" outlineLevel="1">
      <c r="A98" s="33"/>
      <c r="B98" s="62">
        <v>86</v>
      </c>
      <c r="C98" s="65"/>
      <c r="D98" s="65"/>
      <c r="E98" s="65"/>
      <c r="F98" s="65"/>
      <c r="G98" s="61"/>
      <c r="H98" s="61"/>
      <c r="I98" s="33"/>
      <c r="J98" s="33"/>
      <c r="K98" s="33"/>
    </row>
    <row r="99" spans="1:11" hidden="1" outlineLevel="1">
      <c r="A99" s="33"/>
      <c r="B99" s="59">
        <v>87</v>
      </c>
      <c r="C99" s="65"/>
      <c r="D99" s="65"/>
      <c r="E99" s="65"/>
      <c r="F99" s="65"/>
      <c r="G99" s="61"/>
      <c r="H99" s="61"/>
      <c r="I99" s="33"/>
      <c r="J99" s="33"/>
      <c r="K99" s="33"/>
    </row>
    <row r="100" spans="1:11" hidden="1" outlineLevel="1">
      <c r="A100" s="33"/>
      <c r="B100" s="62">
        <v>88</v>
      </c>
      <c r="C100" s="65"/>
      <c r="D100" s="65"/>
      <c r="E100" s="65"/>
      <c r="F100" s="65"/>
      <c r="G100" s="61"/>
      <c r="H100" s="61"/>
      <c r="I100" s="33"/>
      <c r="J100" s="33"/>
      <c r="K100" s="33"/>
    </row>
    <row r="101" spans="1:11" hidden="1" outlineLevel="1">
      <c r="A101" s="33"/>
      <c r="B101" s="59">
        <v>89</v>
      </c>
      <c r="C101" s="65"/>
      <c r="D101" s="65"/>
      <c r="E101" s="65"/>
      <c r="F101" s="65"/>
      <c r="G101" s="61"/>
      <c r="H101" s="61"/>
      <c r="I101" s="33"/>
      <c r="J101" s="33"/>
      <c r="K101" s="33"/>
    </row>
    <row r="102" spans="1:11" hidden="1" outlineLevel="1">
      <c r="A102" s="33"/>
      <c r="B102" s="62">
        <v>90</v>
      </c>
      <c r="C102" s="65"/>
      <c r="D102" s="65"/>
      <c r="E102" s="65"/>
      <c r="F102" s="65"/>
      <c r="G102" s="61"/>
      <c r="H102" s="61"/>
      <c r="I102" s="33"/>
      <c r="J102" s="33"/>
      <c r="K102" s="33"/>
    </row>
    <row r="103" spans="1:11" hidden="1" outlineLevel="1">
      <c r="A103" s="33"/>
      <c r="B103" s="59">
        <v>91</v>
      </c>
      <c r="C103" s="65"/>
      <c r="D103" s="65"/>
      <c r="E103" s="65"/>
      <c r="F103" s="65"/>
      <c r="G103" s="61"/>
      <c r="H103" s="61"/>
      <c r="I103" s="33"/>
      <c r="J103" s="33"/>
      <c r="K103" s="33"/>
    </row>
    <row r="104" spans="1:11" hidden="1" outlineLevel="1">
      <c r="A104" s="33"/>
      <c r="B104" s="62">
        <v>92</v>
      </c>
      <c r="C104" s="65"/>
      <c r="D104" s="65"/>
      <c r="E104" s="65"/>
      <c r="F104" s="65"/>
      <c r="G104" s="61"/>
      <c r="H104" s="61"/>
      <c r="I104" s="33"/>
      <c r="J104" s="33"/>
      <c r="K104" s="33"/>
    </row>
    <row r="105" spans="1:11" hidden="1" outlineLevel="1">
      <c r="A105" s="33"/>
      <c r="B105" s="59">
        <v>93</v>
      </c>
      <c r="C105" s="65"/>
      <c r="D105" s="65"/>
      <c r="E105" s="65"/>
      <c r="F105" s="65"/>
      <c r="G105" s="61"/>
      <c r="H105" s="61"/>
      <c r="I105" s="33"/>
      <c r="J105" s="33"/>
      <c r="K105" s="33"/>
    </row>
    <row r="106" spans="1:11" hidden="1" outlineLevel="1">
      <c r="A106" s="33"/>
      <c r="B106" s="62">
        <v>94</v>
      </c>
      <c r="C106" s="65"/>
      <c r="D106" s="65"/>
      <c r="E106" s="65"/>
      <c r="F106" s="65"/>
      <c r="G106" s="61"/>
      <c r="H106" s="61"/>
      <c r="I106" s="33"/>
      <c r="J106" s="33"/>
      <c r="K106" s="33"/>
    </row>
    <row r="107" spans="1:11" hidden="1" outlineLevel="1">
      <c r="A107" s="33"/>
      <c r="B107" s="59">
        <v>95</v>
      </c>
      <c r="C107" s="65"/>
      <c r="D107" s="65"/>
      <c r="E107" s="65"/>
      <c r="F107" s="65"/>
      <c r="G107" s="61"/>
      <c r="H107" s="61"/>
      <c r="I107" s="33"/>
      <c r="J107" s="33"/>
      <c r="K107" s="33"/>
    </row>
    <row r="108" spans="1:11" hidden="1" outlineLevel="1">
      <c r="A108" s="33"/>
      <c r="B108" s="62">
        <v>96</v>
      </c>
      <c r="C108" s="65"/>
      <c r="D108" s="65"/>
      <c r="E108" s="65"/>
      <c r="F108" s="65"/>
      <c r="G108" s="61"/>
      <c r="H108" s="61"/>
      <c r="I108" s="33"/>
      <c r="J108" s="33"/>
      <c r="K108" s="33"/>
    </row>
    <row r="109" spans="1:11" hidden="1" outlineLevel="1">
      <c r="A109" s="33"/>
      <c r="B109" s="59">
        <v>97</v>
      </c>
      <c r="C109" s="65"/>
      <c r="D109" s="65"/>
      <c r="E109" s="65"/>
      <c r="F109" s="65"/>
      <c r="G109" s="61"/>
      <c r="H109" s="61"/>
      <c r="I109" s="33"/>
      <c r="J109" s="33"/>
      <c r="K109" s="33"/>
    </row>
    <row r="110" spans="1:11" hidden="1" outlineLevel="1">
      <c r="A110" s="33"/>
      <c r="B110" s="62">
        <v>98</v>
      </c>
      <c r="C110" s="65"/>
      <c r="D110" s="65"/>
      <c r="E110" s="65"/>
      <c r="F110" s="65"/>
      <c r="G110" s="61"/>
      <c r="H110" s="61"/>
      <c r="I110" s="33"/>
      <c r="J110" s="33"/>
      <c r="K110" s="33"/>
    </row>
    <row r="111" spans="1:11" hidden="1" outlineLevel="1">
      <c r="A111" s="33"/>
      <c r="B111" s="59">
        <v>99</v>
      </c>
      <c r="C111" s="65"/>
      <c r="D111" s="65"/>
      <c r="E111" s="65"/>
      <c r="F111" s="65"/>
      <c r="G111" s="61"/>
      <c r="H111" s="61"/>
      <c r="I111" s="33"/>
      <c r="J111" s="33"/>
      <c r="K111" s="33"/>
    </row>
    <row r="112" spans="1:11" hidden="1" outlineLevel="1">
      <c r="A112" s="33"/>
      <c r="B112" s="62">
        <v>100</v>
      </c>
      <c r="C112" s="65"/>
      <c r="D112" s="65"/>
      <c r="E112" s="65"/>
      <c r="F112" s="65"/>
      <c r="G112" s="61"/>
      <c r="H112" s="61"/>
      <c r="I112" s="33"/>
      <c r="J112" s="33"/>
      <c r="K112" s="33"/>
    </row>
    <row r="113" spans="1:11" hidden="1" outlineLevel="1">
      <c r="A113" s="33"/>
      <c r="B113" s="59">
        <v>101</v>
      </c>
      <c r="C113" s="65"/>
      <c r="D113" s="65"/>
      <c r="E113" s="65"/>
      <c r="F113" s="65"/>
      <c r="G113" s="61"/>
      <c r="H113" s="61"/>
      <c r="I113" s="33"/>
      <c r="J113" s="33"/>
      <c r="K113" s="33"/>
    </row>
    <row r="114" spans="1:11" hidden="1" outlineLevel="1">
      <c r="A114" s="33"/>
      <c r="B114" s="62">
        <v>102</v>
      </c>
      <c r="C114" s="65"/>
      <c r="D114" s="65"/>
      <c r="E114" s="65"/>
      <c r="F114" s="65"/>
      <c r="G114" s="61"/>
      <c r="H114" s="61"/>
      <c r="I114" s="33"/>
      <c r="J114" s="33"/>
      <c r="K114" s="33"/>
    </row>
    <row r="115" spans="1:11" hidden="1" outlineLevel="1">
      <c r="A115" s="33"/>
      <c r="B115" s="59">
        <v>103</v>
      </c>
      <c r="C115" s="65"/>
      <c r="D115" s="65"/>
      <c r="E115" s="65"/>
      <c r="F115" s="65"/>
      <c r="G115" s="61"/>
      <c r="H115" s="61"/>
      <c r="I115" s="33"/>
      <c r="J115" s="33"/>
      <c r="K115" s="33"/>
    </row>
    <row r="116" spans="1:11" hidden="1" outlineLevel="1">
      <c r="A116" s="33"/>
      <c r="B116" s="62">
        <v>104</v>
      </c>
      <c r="C116" s="65"/>
      <c r="D116" s="65"/>
      <c r="E116" s="65"/>
      <c r="F116" s="65"/>
      <c r="G116" s="61"/>
      <c r="H116" s="61"/>
      <c r="I116" s="33"/>
      <c r="J116" s="33"/>
      <c r="K116" s="33"/>
    </row>
    <row r="117" spans="1:11" hidden="1" outlineLevel="1">
      <c r="A117" s="33"/>
      <c r="B117" s="59">
        <v>105</v>
      </c>
      <c r="C117" s="65"/>
      <c r="D117" s="65"/>
      <c r="E117" s="65"/>
      <c r="F117" s="65"/>
      <c r="G117" s="61"/>
      <c r="H117" s="61"/>
      <c r="I117" s="33"/>
      <c r="J117" s="33"/>
      <c r="K117" s="33"/>
    </row>
    <row r="118" spans="1:11" hidden="1" outlineLevel="1">
      <c r="A118" s="33"/>
      <c r="B118" s="62">
        <v>106</v>
      </c>
      <c r="C118" s="65"/>
      <c r="D118" s="65"/>
      <c r="E118" s="65"/>
      <c r="F118" s="65"/>
      <c r="G118" s="61"/>
      <c r="H118" s="61"/>
      <c r="I118" s="33"/>
      <c r="J118" s="33"/>
      <c r="K118" s="33"/>
    </row>
    <row r="119" spans="1:11" hidden="1" outlineLevel="1">
      <c r="A119" s="33"/>
      <c r="B119" s="59">
        <v>107</v>
      </c>
      <c r="C119" s="65"/>
      <c r="D119" s="65"/>
      <c r="E119" s="65"/>
      <c r="F119" s="65"/>
      <c r="G119" s="61"/>
      <c r="H119" s="61"/>
      <c r="I119" s="33"/>
      <c r="J119" s="33"/>
      <c r="K119" s="33"/>
    </row>
    <row r="120" spans="1:11" hidden="1" outlineLevel="1">
      <c r="A120" s="33"/>
      <c r="B120" s="62">
        <v>108</v>
      </c>
      <c r="C120" s="65"/>
      <c r="D120" s="65"/>
      <c r="E120" s="65"/>
      <c r="F120" s="65"/>
      <c r="G120" s="61"/>
      <c r="H120" s="61"/>
      <c r="I120" s="33"/>
      <c r="J120" s="33"/>
      <c r="K120" s="33"/>
    </row>
    <row r="121" spans="1:11" hidden="1" outlineLevel="1">
      <c r="A121" s="33"/>
      <c r="B121" s="59">
        <v>109</v>
      </c>
      <c r="C121" s="65"/>
      <c r="D121" s="65"/>
      <c r="E121" s="65"/>
      <c r="F121" s="65"/>
      <c r="G121" s="61"/>
      <c r="H121" s="61"/>
      <c r="I121" s="33"/>
      <c r="J121" s="33"/>
      <c r="K121" s="33"/>
    </row>
    <row r="122" spans="1:11" hidden="1" outlineLevel="1">
      <c r="A122" s="33"/>
      <c r="B122" s="62">
        <v>110</v>
      </c>
      <c r="C122" s="65"/>
      <c r="D122" s="65"/>
      <c r="E122" s="65"/>
      <c r="F122" s="65"/>
      <c r="G122" s="61"/>
      <c r="H122" s="61"/>
      <c r="I122" s="33"/>
      <c r="J122" s="33"/>
      <c r="K122" s="33"/>
    </row>
    <row r="123" spans="1:11" hidden="1" outlineLevel="1">
      <c r="A123" s="33"/>
      <c r="B123" s="59">
        <v>111</v>
      </c>
      <c r="C123" s="65"/>
      <c r="D123" s="65"/>
      <c r="E123" s="65"/>
      <c r="F123" s="65"/>
      <c r="G123" s="61"/>
      <c r="H123" s="61"/>
      <c r="I123" s="33"/>
      <c r="J123" s="33"/>
      <c r="K123" s="33"/>
    </row>
    <row r="124" spans="1:11" hidden="1" outlineLevel="1">
      <c r="A124" s="33"/>
      <c r="B124" s="62">
        <v>112</v>
      </c>
      <c r="C124" s="65"/>
      <c r="D124" s="65"/>
      <c r="E124" s="65"/>
      <c r="F124" s="65"/>
      <c r="G124" s="61"/>
      <c r="H124" s="61"/>
      <c r="I124" s="33"/>
      <c r="J124" s="33"/>
      <c r="K124" s="33"/>
    </row>
    <row r="125" spans="1:11" hidden="1" outlineLevel="1">
      <c r="A125" s="33"/>
      <c r="B125" s="59">
        <v>113</v>
      </c>
      <c r="C125" s="65"/>
      <c r="D125" s="65"/>
      <c r="E125" s="65"/>
      <c r="F125" s="65"/>
      <c r="G125" s="61"/>
      <c r="H125" s="61"/>
      <c r="I125" s="33"/>
      <c r="J125" s="33"/>
      <c r="K125" s="33"/>
    </row>
    <row r="126" spans="1:11" hidden="1" outlineLevel="1">
      <c r="A126" s="33"/>
      <c r="B126" s="62">
        <v>114</v>
      </c>
      <c r="C126" s="65"/>
      <c r="D126" s="65"/>
      <c r="E126" s="65"/>
      <c r="F126" s="65"/>
      <c r="G126" s="61"/>
      <c r="H126" s="61"/>
      <c r="I126" s="33"/>
      <c r="J126" s="33"/>
      <c r="K126" s="33"/>
    </row>
    <row r="127" spans="1:11" hidden="1" outlineLevel="1">
      <c r="A127" s="33"/>
      <c r="B127" s="59">
        <v>115</v>
      </c>
      <c r="C127" s="65"/>
      <c r="D127" s="65"/>
      <c r="E127" s="65"/>
      <c r="F127" s="65"/>
      <c r="G127" s="61"/>
      <c r="H127" s="61"/>
      <c r="I127" s="33"/>
      <c r="J127" s="33"/>
      <c r="K127" s="33"/>
    </row>
    <row r="128" spans="1:11" hidden="1" outlineLevel="1">
      <c r="A128" s="33"/>
      <c r="B128" s="62">
        <v>116</v>
      </c>
      <c r="C128" s="65"/>
      <c r="D128" s="65"/>
      <c r="E128" s="65"/>
      <c r="F128" s="65"/>
      <c r="G128" s="61"/>
      <c r="H128" s="61"/>
      <c r="I128" s="33"/>
      <c r="J128" s="33"/>
      <c r="K128" s="33"/>
    </row>
    <row r="129" spans="1:11" hidden="1" outlineLevel="1">
      <c r="A129" s="33"/>
      <c r="B129" s="59">
        <v>117</v>
      </c>
      <c r="C129" s="65"/>
      <c r="D129" s="65"/>
      <c r="E129" s="65"/>
      <c r="F129" s="65"/>
      <c r="G129" s="61"/>
      <c r="H129" s="61"/>
      <c r="I129" s="33"/>
      <c r="J129" s="33"/>
      <c r="K129" s="33"/>
    </row>
    <row r="130" spans="1:11" hidden="1" outlineLevel="1">
      <c r="A130" s="33"/>
      <c r="B130" s="62">
        <v>118</v>
      </c>
      <c r="C130" s="65"/>
      <c r="D130" s="65"/>
      <c r="E130" s="65"/>
      <c r="F130" s="65"/>
      <c r="G130" s="61"/>
      <c r="H130" s="61"/>
      <c r="I130" s="33"/>
      <c r="J130" s="33"/>
      <c r="K130" s="33"/>
    </row>
    <row r="131" spans="1:11" hidden="1" outlineLevel="1">
      <c r="A131" s="33"/>
      <c r="B131" s="59">
        <v>119</v>
      </c>
      <c r="C131" s="65"/>
      <c r="D131" s="65"/>
      <c r="E131" s="65"/>
      <c r="F131" s="65"/>
      <c r="G131" s="61"/>
      <c r="H131" s="61"/>
      <c r="I131" s="33"/>
      <c r="J131" s="33"/>
      <c r="K131" s="33"/>
    </row>
    <row r="132" spans="1:11" hidden="1" outlineLevel="1">
      <c r="A132" s="33"/>
      <c r="B132" s="62">
        <v>120</v>
      </c>
      <c r="C132" s="65"/>
      <c r="D132" s="65"/>
      <c r="E132" s="65"/>
      <c r="F132" s="65"/>
      <c r="G132" s="61"/>
      <c r="H132" s="61"/>
      <c r="I132" s="33"/>
      <c r="J132" s="33"/>
      <c r="K132" s="33"/>
    </row>
    <row r="133" spans="1:11" hidden="1" outlineLevel="1">
      <c r="A133" s="33"/>
      <c r="B133" s="59">
        <v>121</v>
      </c>
      <c r="C133" s="65"/>
      <c r="D133" s="65"/>
      <c r="E133" s="65"/>
      <c r="F133" s="65"/>
      <c r="G133" s="61"/>
      <c r="H133" s="61"/>
      <c r="I133" s="33"/>
      <c r="J133" s="33"/>
      <c r="K133" s="33"/>
    </row>
    <row r="134" spans="1:11" hidden="1" outlineLevel="1">
      <c r="A134" s="33"/>
      <c r="B134" s="62">
        <v>122</v>
      </c>
      <c r="C134" s="65"/>
      <c r="D134" s="65"/>
      <c r="E134" s="65"/>
      <c r="F134" s="65"/>
      <c r="G134" s="61"/>
      <c r="H134" s="61"/>
      <c r="I134" s="33"/>
      <c r="J134" s="33"/>
      <c r="K134" s="33"/>
    </row>
    <row r="135" spans="1:11" hidden="1" outlineLevel="1">
      <c r="A135" s="33"/>
      <c r="B135" s="59">
        <v>123</v>
      </c>
      <c r="C135" s="65"/>
      <c r="D135" s="65"/>
      <c r="E135" s="65"/>
      <c r="F135" s="65"/>
      <c r="G135" s="61"/>
      <c r="H135" s="61"/>
      <c r="I135" s="33"/>
      <c r="J135" s="33"/>
      <c r="K135" s="33"/>
    </row>
    <row r="136" spans="1:11" hidden="1" outlineLevel="1">
      <c r="A136" s="33"/>
      <c r="B136" s="62">
        <v>124</v>
      </c>
      <c r="C136" s="65"/>
      <c r="D136" s="65"/>
      <c r="E136" s="65"/>
      <c r="F136" s="65"/>
      <c r="G136" s="61"/>
      <c r="H136" s="61"/>
      <c r="I136" s="33"/>
      <c r="J136" s="33"/>
      <c r="K136" s="33"/>
    </row>
    <row r="137" spans="1:11" hidden="1" outlineLevel="1">
      <c r="A137" s="33"/>
      <c r="B137" s="59">
        <v>125</v>
      </c>
      <c r="C137" s="65"/>
      <c r="D137" s="65"/>
      <c r="E137" s="65"/>
      <c r="F137" s="65"/>
      <c r="G137" s="61"/>
      <c r="H137" s="61"/>
      <c r="I137" s="33"/>
      <c r="J137" s="33"/>
      <c r="K137" s="33"/>
    </row>
    <row r="138" spans="1:11" hidden="1" outlineLevel="1">
      <c r="A138" s="33"/>
      <c r="B138" s="62">
        <v>126</v>
      </c>
      <c r="C138" s="65"/>
      <c r="D138" s="65"/>
      <c r="E138" s="65"/>
      <c r="F138" s="65"/>
      <c r="G138" s="61"/>
      <c r="H138" s="61"/>
      <c r="I138" s="33"/>
      <c r="J138" s="33"/>
      <c r="K138" s="33"/>
    </row>
    <row r="139" spans="1:11" hidden="1" outlineLevel="1">
      <c r="A139" s="33"/>
      <c r="B139" s="59">
        <v>127</v>
      </c>
      <c r="C139" s="65"/>
      <c r="D139" s="65"/>
      <c r="E139" s="65"/>
      <c r="F139" s="65"/>
      <c r="G139" s="61"/>
      <c r="H139" s="61"/>
      <c r="I139" s="33"/>
      <c r="J139" s="33"/>
      <c r="K139" s="33"/>
    </row>
    <row r="140" spans="1:11" hidden="1" outlineLevel="1">
      <c r="A140" s="33"/>
      <c r="B140" s="62">
        <v>128</v>
      </c>
      <c r="C140" s="65"/>
      <c r="D140" s="65"/>
      <c r="E140" s="65"/>
      <c r="F140" s="65"/>
      <c r="G140" s="61"/>
      <c r="H140" s="61"/>
      <c r="I140" s="33"/>
      <c r="J140" s="33"/>
      <c r="K140" s="33"/>
    </row>
    <row r="141" spans="1:11" hidden="1" outlineLevel="1">
      <c r="A141" s="33"/>
      <c r="B141" s="59">
        <v>129</v>
      </c>
      <c r="C141" s="65"/>
      <c r="D141" s="65"/>
      <c r="E141" s="65"/>
      <c r="F141" s="65"/>
      <c r="G141" s="61"/>
      <c r="H141" s="61"/>
      <c r="I141" s="33"/>
      <c r="J141" s="33"/>
      <c r="K141" s="33"/>
    </row>
    <row r="142" spans="1:11" hidden="1" outlineLevel="1">
      <c r="A142" s="33"/>
      <c r="B142" s="62">
        <v>130</v>
      </c>
      <c r="C142" s="65"/>
      <c r="D142" s="65"/>
      <c r="E142" s="65"/>
      <c r="F142" s="65"/>
      <c r="G142" s="61"/>
      <c r="H142" s="61"/>
      <c r="I142" s="33"/>
      <c r="J142" s="33"/>
      <c r="K142" s="33"/>
    </row>
    <row r="143" spans="1:11" hidden="1" outlineLevel="1">
      <c r="A143" s="33"/>
      <c r="B143" s="59">
        <v>131</v>
      </c>
      <c r="C143" s="65"/>
      <c r="D143" s="65"/>
      <c r="E143" s="65"/>
      <c r="F143" s="65"/>
      <c r="G143" s="61"/>
      <c r="H143" s="61"/>
      <c r="I143" s="33"/>
      <c r="J143" s="33"/>
      <c r="K143" s="33"/>
    </row>
    <row r="144" spans="1:11" hidden="1" outlineLevel="1">
      <c r="A144" s="33"/>
      <c r="B144" s="62">
        <v>132</v>
      </c>
      <c r="C144" s="65"/>
      <c r="D144" s="65"/>
      <c r="E144" s="65"/>
      <c r="F144" s="65"/>
      <c r="G144" s="61"/>
      <c r="H144" s="61"/>
      <c r="I144" s="33"/>
      <c r="J144" s="33"/>
      <c r="K144" s="33"/>
    </row>
    <row r="145" spans="1:11" hidden="1" outlineLevel="1">
      <c r="A145" s="33"/>
      <c r="B145" s="59">
        <v>133</v>
      </c>
      <c r="C145" s="65"/>
      <c r="D145" s="65"/>
      <c r="E145" s="65"/>
      <c r="F145" s="65"/>
      <c r="G145" s="61"/>
      <c r="H145" s="61"/>
      <c r="I145" s="33"/>
      <c r="J145" s="33"/>
      <c r="K145" s="33"/>
    </row>
    <row r="146" spans="1:11" hidden="1" outlineLevel="1">
      <c r="A146" s="33"/>
      <c r="B146" s="62">
        <v>134</v>
      </c>
      <c r="C146" s="65"/>
      <c r="D146" s="65"/>
      <c r="E146" s="65"/>
      <c r="F146" s="65"/>
      <c r="G146" s="61"/>
      <c r="H146" s="61"/>
      <c r="I146" s="33"/>
      <c r="J146" s="33"/>
      <c r="K146" s="33"/>
    </row>
    <row r="147" spans="1:11" hidden="1" outlineLevel="1">
      <c r="A147" s="33"/>
      <c r="B147" s="59">
        <v>135</v>
      </c>
      <c r="C147" s="65"/>
      <c r="D147" s="65"/>
      <c r="E147" s="65"/>
      <c r="F147" s="65"/>
      <c r="G147" s="61"/>
      <c r="H147" s="61"/>
      <c r="I147" s="33"/>
      <c r="J147" s="33"/>
      <c r="K147" s="33"/>
    </row>
    <row r="148" spans="1:11" hidden="1" outlineLevel="1">
      <c r="A148" s="33"/>
      <c r="B148" s="62">
        <v>136</v>
      </c>
      <c r="C148" s="65"/>
      <c r="D148" s="65"/>
      <c r="E148" s="65"/>
      <c r="F148" s="65"/>
      <c r="G148" s="61"/>
      <c r="H148" s="61"/>
      <c r="I148" s="33"/>
      <c r="J148" s="33"/>
      <c r="K148" s="33"/>
    </row>
    <row r="149" spans="1:11" hidden="1" outlineLevel="1">
      <c r="A149" s="33"/>
      <c r="B149" s="59">
        <v>137</v>
      </c>
      <c r="C149" s="65"/>
      <c r="D149" s="65"/>
      <c r="E149" s="65"/>
      <c r="F149" s="65"/>
      <c r="G149" s="61"/>
      <c r="H149" s="61"/>
      <c r="I149" s="33"/>
      <c r="J149" s="33"/>
      <c r="K149" s="33"/>
    </row>
    <row r="150" spans="1:11" hidden="1" outlineLevel="1">
      <c r="A150" s="33"/>
      <c r="B150" s="62">
        <v>138</v>
      </c>
      <c r="C150" s="65"/>
      <c r="D150" s="65"/>
      <c r="E150" s="65"/>
      <c r="F150" s="65"/>
      <c r="G150" s="61"/>
      <c r="H150" s="61"/>
      <c r="I150" s="33"/>
      <c r="J150" s="33"/>
      <c r="K150" s="33"/>
    </row>
    <row r="151" spans="1:11" hidden="1" outlineLevel="1">
      <c r="A151" s="33"/>
      <c r="B151" s="59">
        <v>139</v>
      </c>
      <c r="C151" s="65"/>
      <c r="D151" s="65"/>
      <c r="E151" s="65"/>
      <c r="F151" s="65"/>
      <c r="G151" s="61"/>
      <c r="H151" s="61"/>
      <c r="I151" s="33"/>
      <c r="J151" s="33"/>
      <c r="K151" s="33"/>
    </row>
    <row r="152" spans="1:11" hidden="1" outlineLevel="1">
      <c r="A152" s="33"/>
      <c r="B152" s="62">
        <v>140</v>
      </c>
      <c r="C152" s="65"/>
      <c r="D152" s="65"/>
      <c r="E152" s="65"/>
      <c r="F152" s="65"/>
      <c r="G152" s="61"/>
      <c r="H152" s="61"/>
      <c r="I152" s="33"/>
      <c r="J152" s="33"/>
      <c r="K152" s="33"/>
    </row>
    <row r="153" spans="1:11" hidden="1" outlineLevel="1">
      <c r="A153" s="33"/>
      <c r="B153" s="59">
        <v>141</v>
      </c>
      <c r="C153" s="65"/>
      <c r="D153" s="65"/>
      <c r="E153" s="65"/>
      <c r="F153" s="65"/>
      <c r="G153" s="61"/>
      <c r="H153" s="61"/>
      <c r="I153" s="33"/>
      <c r="J153" s="33"/>
      <c r="K153" s="33"/>
    </row>
    <row r="154" spans="1:11" hidden="1" outlineLevel="1">
      <c r="A154" s="33"/>
      <c r="B154" s="62">
        <v>142</v>
      </c>
      <c r="C154" s="65"/>
      <c r="D154" s="65"/>
      <c r="E154" s="65"/>
      <c r="F154" s="65"/>
      <c r="G154" s="61"/>
      <c r="H154" s="61"/>
      <c r="I154" s="33"/>
      <c r="J154" s="33"/>
      <c r="K154" s="33"/>
    </row>
    <row r="155" spans="1:11" hidden="1" outlineLevel="1">
      <c r="A155" s="33"/>
      <c r="B155" s="59">
        <v>143</v>
      </c>
      <c r="C155" s="65"/>
      <c r="D155" s="65"/>
      <c r="E155" s="65"/>
      <c r="F155" s="65"/>
      <c r="G155" s="61"/>
      <c r="H155" s="61"/>
      <c r="I155" s="33"/>
      <c r="J155" s="33"/>
      <c r="K155" s="33"/>
    </row>
    <row r="156" spans="1:11" hidden="1" outlineLevel="1">
      <c r="A156" s="33"/>
      <c r="B156" s="62">
        <v>144</v>
      </c>
      <c r="C156" s="65"/>
      <c r="D156" s="65"/>
      <c r="E156" s="65"/>
      <c r="F156" s="65"/>
      <c r="G156" s="61"/>
      <c r="H156" s="61"/>
      <c r="I156" s="33"/>
      <c r="J156" s="33"/>
      <c r="K156" s="33"/>
    </row>
    <row r="157" spans="1:11" hidden="1" outlineLevel="1">
      <c r="A157" s="33"/>
      <c r="B157" s="59">
        <v>145</v>
      </c>
      <c r="C157" s="65"/>
      <c r="D157" s="65"/>
      <c r="E157" s="65"/>
      <c r="F157" s="65"/>
      <c r="G157" s="61"/>
      <c r="H157" s="61"/>
      <c r="I157" s="33"/>
      <c r="J157" s="33"/>
      <c r="K157" s="33"/>
    </row>
    <row r="158" spans="1:11" hidden="1" outlineLevel="1">
      <c r="A158" s="33"/>
      <c r="B158" s="62">
        <v>146</v>
      </c>
      <c r="C158" s="65"/>
      <c r="D158" s="65"/>
      <c r="E158" s="65"/>
      <c r="F158" s="65"/>
      <c r="G158" s="61"/>
      <c r="H158" s="61"/>
      <c r="I158" s="33"/>
      <c r="J158" s="33"/>
      <c r="K158" s="33"/>
    </row>
    <row r="159" spans="1:11" hidden="1" outlineLevel="1">
      <c r="A159" s="33"/>
      <c r="B159" s="59">
        <v>147</v>
      </c>
      <c r="C159" s="65"/>
      <c r="D159" s="65"/>
      <c r="E159" s="65"/>
      <c r="F159" s="65"/>
      <c r="G159" s="61"/>
      <c r="H159" s="61"/>
      <c r="I159" s="33"/>
      <c r="J159" s="33"/>
      <c r="K159" s="33"/>
    </row>
    <row r="160" spans="1:11" hidden="1" outlineLevel="1">
      <c r="A160" s="33"/>
      <c r="B160" s="62">
        <v>148</v>
      </c>
      <c r="C160" s="65"/>
      <c r="D160" s="65"/>
      <c r="E160" s="65"/>
      <c r="F160" s="65"/>
      <c r="G160" s="61"/>
      <c r="H160" s="61"/>
      <c r="I160" s="33"/>
      <c r="J160" s="33"/>
      <c r="K160" s="33"/>
    </row>
    <row r="161" spans="1:11" hidden="1" outlineLevel="1">
      <c r="A161" s="33"/>
      <c r="B161" s="59">
        <v>149</v>
      </c>
      <c r="C161" s="65"/>
      <c r="D161" s="65"/>
      <c r="E161" s="65"/>
      <c r="F161" s="65"/>
      <c r="G161" s="61"/>
      <c r="H161" s="61"/>
      <c r="I161" s="33"/>
      <c r="J161" s="33"/>
      <c r="K161" s="33"/>
    </row>
    <row r="162" spans="1:11" hidden="1" outlineLevel="1">
      <c r="A162" s="33"/>
      <c r="B162" s="62">
        <v>150</v>
      </c>
      <c r="C162" s="65"/>
      <c r="D162" s="65"/>
      <c r="E162" s="65"/>
      <c r="F162" s="65"/>
      <c r="G162" s="61"/>
      <c r="H162" s="61"/>
      <c r="I162" s="33"/>
      <c r="J162" s="33"/>
      <c r="K162" s="33"/>
    </row>
    <row r="163" spans="1:11" hidden="1" outlineLevel="1">
      <c r="A163" s="33"/>
      <c r="B163" s="59">
        <v>151</v>
      </c>
      <c r="C163" s="65"/>
      <c r="D163" s="65"/>
      <c r="E163" s="65"/>
      <c r="F163" s="65"/>
      <c r="G163" s="61"/>
      <c r="H163" s="61"/>
      <c r="I163" s="33"/>
      <c r="J163" s="33"/>
      <c r="K163" s="33"/>
    </row>
    <row r="164" spans="1:11" hidden="1" outlineLevel="1">
      <c r="A164" s="33"/>
      <c r="B164" s="62">
        <v>152</v>
      </c>
      <c r="C164" s="65"/>
      <c r="D164" s="65"/>
      <c r="E164" s="65"/>
      <c r="F164" s="65"/>
      <c r="G164" s="61"/>
      <c r="H164" s="61"/>
      <c r="I164" s="33"/>
      <c r="J164" s="33"/>
      <c r="K164" s="33"/>
    </row>
    <row r="165" spans="1:11" hidden="1" outlineLevel="1">
      <c r="A165" s="33"/>
      <c r="B165" s="59">
        <v>153</v>
      </c>
      <c r="C165" s="65"/>
      <c r="D165" s="65"/>
      <c r="E165" s="65"/>
      <c r="F165" s="65"/>
      <c r="G165" s="61"/>
      <c r="H165" s="61"/>
      <c r="I165" s="33"/>
      <c r="J165" s="33"/>
      <c r="K165" s="33"/>
    </row>
    <row r="166" spans="1:11" hidden="1" outlineLevel="1">
      <c r="A166" s="33"/>
      <c r="B166" s="62">
        <v>154</v>
      </c>
      <c r="C166" s="65"/>
      <c r="D166" s="65"/>
      <c r="E166" s="65"/>
      <c r="F166" s="65"/>
      <c r="G166" s="61"/>
      <c r="H166" s="61"/>
      <c r="I166" s="33"/>
      <c r="J166" s="33"/>
      <c r="K166" s="33"/>
    </row>
    <row r="167" spans="1:11" hidden="1" outlineLevel="1">
      <c r="A167" s="33"/>
      <c r="B167" s="59">
        <v>155</v>
      </c>
      <c r="C167" s="65"/>
      <c r="D167" s="65"/>
      <c r="E167" s="65"/>
      <c r="F167" s="65"/>
      <c r="G167" s="61"/>
      <c r="H167" s="61"/>
      <c r="I167" s="33"/>
      <c r="J167" s="33"/>
      <c r="K167" s="33"/>
    </row>
    <row r="168" spans="1:11" hidden="1" outlineLevel="1">
      <c r="A168" s="33"/>
      <c r="B168" s="62">
        <v>156</v>
      </c>
      <c r="C168" s="65"/>
      <c r="D168" s="65"/>
      <c r="E168" s="65"/>
      <c r="F168" s="65"/>
      <c r="G168" s="61"/>
      <c r="H168" s="61"/>
      <c r="I168" s="33"/>
      <c r="J168" s="33"/>
      <c r="K168" s="33"/>
    </row>
    <row r="169" spans="1:11" hidden="1" outlineLevel="1">
      <c r="A169" s="33"/>
      <c r="B169" s="59">
        <v>157</v>
      </c>
      <c r="C169" s="65"/>
      <c r="D169" s="65"/>
      <c r="E169" s="65"/>
      <c r="F169" s="65"/>
      <c r="G169" s="61"/>
      <c r="H169" s="61"/>
      <c r="I169" s="33"/>
      <c r="J169" s="33"/>
      <c r="K169" s="33"/>
    </row>
    <row r="170" spans="1:11" hidden="1" outlineLevel="1">
      <c r="A170" s="33"/>
      <c r="B170" s="62">
        <v>158</v>
      </c>
      <c r="C170" s="65"/>
      <c r="D170" s="65"/>
      <c r="E170" s="65"/>
      <c r="F170" s="65"/>
      <c r="G170" s="61"/>
      <c r="H170" s="61"/>
      <c r="I170" s="33"/>
      <c r="J170" s="33"/>
      <c r="K170" s="33"/>
    </row>
    <row r="171" spans="1:11" hidden="1" outlineLevel="1">
      <c r="A171" s="33"/>
      <c r="B171" s="59">
        <v>159</v>
      </c>
      <c r="C171" s="65"/>
      <c r="D171" s="65"/>
      <c r="E171" s="65"/>
      <c r="F171" s="65"/>
      <c r="G171" s="61"/>
      <c r="H171" s="61"/>
      <c r="I171" s="33"/>
      <c r="J171" s="33"/>
      <c r="K171" s="33"/>
    </row>
    <row r="172" spans="1:11" hidden="1" outlineLevel="1">
      <c r="A172" s="33"/>
      <c r="B172" s="62">
        <v>160</v>
      </c>
      <c r="C172" s="65"/>
      <c r="D172" s="65"/>
      <c r="E172" s="65"/>
      <c r="F172" s="65"/>
      <c r="G172" s="61"/>
      <c r="H172" s="61"/>
      <c r="I172" s="33"/>
      <c r="J172" s="33"/>
      <c r="K172" s="33"/>
    </row>
    <row r="173" spans="1:11" hidden="1" outlineLevel="1">
      <c r="A173" s="33"/>
      <c r="B173" s="59">
        <v>161</v>
      </c>
      <c r="C173" s="65"/>
      <c r="D173" s="65"/>
      <c r="E173" s="65"/>
      <c r="F173" s="65"/>
      <c r="G173" s="61"/>
      <c r="H173" s="61"/>
      <c r="I173" s="33"/>
      <c r="J173" s="33"/>
      <c r="K173" s="33"/>
    </row>
    <row r="174" spans="1:11" hidden="1" outlineLevel="1">
      <c r="A174" s="33"/>
      <c r="B174" s="62">
        <v>162</v>
      </c>
      <c r="C174" s="65"/>
      <c r="D174" s="65"/>
      <c r="E174" s="65"/>
      <c r="F174" s="65"/>
      <c r="G174" s="61"/>
      <c r="H174" s="61"/>
      <c r="I174" s="33"/>
      <c r="J174" s="33"/>
      <c r="K174" s="33"/>
    </row>
    <row r="175" spans="1:11" hidden="1" outlineLevel="1">
      <c r="A175" s="33"/>
      <c r="B175" s="59">
        <v>163</v>
      </c>
      <c r="C175" s="65"/>
      <c r="D175" s="65"/>
      <c r="E175" s="65"/>
      <c r="F175" s="65"/>
      <c r="G175" s="61"/>
      <c r="H175" s="61"/>
      <c r="I175" s="33"/>
      <c r="J175" s="33"/>
      <c r="K175" s="33"/>
    </row>
    <row r="176" spans="1:11" hidden="1" outlineLevel="1">
      <c r="A176" s="33"/>
      <c r="B176" s="62">
        <v>164</v>
      </c>
      <c r="C176" s="65"/>
      <c r="D176" s="65"/>
      <c r="E176" s="65"/>
      <c r="F176" s="65"/>
      <c r="G176" s="61"/>
      <c r="H176" s="61"/>
      <c r="I176" s="33"/>
      <c r="J176" s="33"/>
      <c r="K176" s="33"/>
    </row>
    <row r="177" spans="1:11" hidden="1" outlineLevel="1">
      <c r="A177" s="33"/>
      <c r="B177" s="59">
        <v>165</v>
      </c>
      <c r="C177" s="65"/>
      <c r="D177" s="65"/>
      <c r="E177" s="65"/>
      <c r="F177" s="65"/>
      <c r="G177" s="61"/>
      <c r="H177" s="61"/>
      <c r="I177" s="33"/>
      <c r="J177" s="33"/>
      <c r="K177" s="33"/>
    </row>
    <row r="178" spans="1:11" hidden="1" outlineLevel="1">
      <c r="A178" s="33"/>
      <c r="B178" s="62">
        <v>166</v>
      </c>
      <c r="C178" s="65"/>
      <c r="D178" s="65"/>
      <c r="E178" s="65"/>
      <c r="F178" s="65"/>
      <c r="G178" s="61"/>
      <c r="H178" s="61"/>
      <c r="I178" s="33"/>
      <c r="J178" s="33"/>
      <c r="K178" s="33"/>
    </row>
    <row r="179" spans="1:11" hidden="1" outlineLevel="1">
      <c r="A179" s="33"/>
      <c r="B179" s="59">
        <v>167</v>
      </c>
      <c r="C179" s="65"/>
      <c r="D179" s="65"/>
      <c r="E179" s="65"/>
      <c r="F179" s="65"/>
      <c r="G179" s="61"/>
      <c r="H179" s="61"/>
      <c r="I179" s="33"/>
      <c r="J179" s="33"/>
      <c r="K179" s="33"/>
    </row>
    <row r="180" spans="1:11" hidden="1" outlineLevel="1">
      <c r="A180" s="33"/>
      <c r="B180" s="62">
        <v>168</v>
      </c>
      <c r="C180" s="65"/>
      <c r="D180" s="65"/>
      <c r="E180" s="65"/>
      <c r="F180" s="65"/>
      <c r="G180" s="61"/>
      <c r="H180" s="61"/>
      <c r="I180" s="33"/>
      <c r="J180" s="33"/>
      <c r="K180" s="33"/>
    </row>
    <row r="181" spans="1:11" hidden="1" outlineLevel="1">
      <c r="A181" s="33"/>
      <c r="B181" s="59">
        <v>169</v>
      </c>
      <c r="C181" s="65"/>
      <c r="D181" s="65"/>
      <c r="E181" s="65"/>
      <c r="F181" s="65"/>
      <c r="G181" s="61"/>
      <c r="H181" s="61"/>
      <c r="I181" s="33"/>
      <c r="J181" s="33"/>
      <c r="K181" s="33"/>
    </row>
    <row r="182" spans="1:11" hidden="1" outlineLevel="1">
      <c r="A182" s="33"/>
      <c r="B182" s="62">
        <v>170</v>
      </c>
      <c r="C182" s="65"/>
      <c r="D182" s="65"/>
      <c r="E182" s="65"/>
      <c r="F182" s="65"/>
      <c r="G182" s="61"/>
      <c r="H182" s="61"/>
      <c r="I182" s="33"/>
      <c r="J182" s="33"/>
      <c r="K182" s="33"/>
    </row>
    <row r="183" spans="1:11" hidden="1" outlineLevel="1">
      <c r="A183" s="33"/>
      <c r="B183" s="59">
        <v>171</v>
      </c>
      <c r="C183" s="65"/>
      <c r="D183" s="65"/>
      <c r="E183" s="65"/>
      <c r="F183" s="65"/>
      <c r="G183" s="61"/>
      <c r="H183" s="61"/>
      <c r="I183" s="33"/>
      <c r="J183" s="33"/>
      <c r="K183" s="33"/>
    </row>
    <row r="184" spans="1:11" hidden="1" outlineLevel="1">
      <c r="A184" s="33"/>
      <c r="B184" s="62">
        <v>172</v>
      </c>
      <c r="C184" s="65"/>
      <c r="D184" s="65"/>
      <c r="E184" s="65"/>
      <c r="F184" s="65"/>
      <c r="G184" s="61"/>
      <c r="H184" s="61"/>
      <c r="I184" s="33"/>
      <c r="J184" s="33"/>
      <c r="K184" s="33"/>
    </row>
    <row r="185" spans="1:11" hidden="1" outlineLevel="1">
      <c r="A185" s="33"/>
      <c r="B185" s="59">
        <v>173</v>
      </c>
      <c r="C185" s="65"/>
      <c r="D185" s="65"/>
      <c r="E185" s="65"/>
      <c r="F185" s="65"/>
      <c r="G185" s="61"/>
      <c r="H185" s="61"/>
      <c r="I185" s="33"/>
      <c r="J185" s="33"/>
      <c r="K185" s="33"/>
    </row>
    <row r="186" spans="1:11" hidden="1" outlineLevel="1">
      <c r="A186" s="33"/>
      <c r="B186" s="62">
        <v>174</v>
      </c>
      <c r="C186" s="65"/>
      <c r="D186" s="65"/>
      <c r="E186" s="65"/>
      <c r="F186" s="65"/>
      <c r="G186" s="61"/>
      <c r="H186" s="61"/>
      <c r="I186" s="33"/>
      <c r="J186" s="33"/>
      <c r="K186" s="33"/>
    </row>
    <row r="187" spans="1:11" hidden="1" outlineLevel="1">
      <c r="A187" s="33"/>
      <c r="B187" s="59">
        <v>175</v>
      </c>
      <c r="C187" s="65"/>
      <c r="D187" s="65"/>
      <c r="E187" s="65"/>
      <c r="F187" s="65"/>
      <c r="G187" s="61"/>
      <c r="H187" s="61"/>
      <c r="I187" s="33"/>
      <c r="J187" s="33"/>
      <c r="K187" s="33"/>
    </row>
    <row r="188" spans="1:11" hidden="1" outlineLevel="1">
      <c r="A188" s="33"/>
      <c r="B188" s="62">
        <v>176</v>
      </c>
      <c r="C188" s="65"/>
      <c r="D188" s="65"/>
      <c r="E188" s="65"/>
      <c r="F188" s="65"/>
      <c r="G188" s="61"/>
      <c r="H188" s="61"/>
      <c r="I188" s="33"/>
      <c r="J188" s="33"/>
      <c r="K188" s="33"/>
    </row>
    <row r="189" spans="1:11" hidden="1" outlineLevel="1">
      <c r="A189" s="33"/>
      <c r="B189" s="59">
        <v>177</v>
      </c>
      <c r="C189" s="65"/>
      <c r="D189" s="65"/>
      <c r="E189" s="65"/>
      <c r="F189" s="65"/>
      <c r="G189" s="61"/>
      <c r="H189" s="61"/>
      <c r="I189" s="33"/>
      <c r="J189" s="33"/>
      <c r="K189" s="33"/>
    </row>
    <row r="190" spans="1:11" hidden="1" outlineLevel="1">
      <c r="A190" s="33"/>
      <c r="B190" s="62">
        <v>178</v>
      </c>
      <c r="C190" s="65"/>
      <c r="D190" s="65"/>
      <c r="E190" s="65"/>
      <c r="F190" s="65"/>
      <c r="G190" s="61"/>
      <c r="H190" s="61"/>
      <c r="I190" s="33"/>
      <c r="J190" s="33"/>
      <c r="K190" s="33"/>
    </row>
    <row r="191" spans="1:11" hidden="1" outlineLevel="1">
      <c r="A191" s="33"/>
      <c r="B191" s="59">
        <v>179</v>
      </c>
      <c r="C191" s="65"/>
      <c r="D191" s="65"/>
      <c r="E191" s="65"/>
      <c r="F191" s="65"/>
      <c r="G191" s="61"/>
      <c r="H191" s="61"/>
      <c r="I191" s="33"/>
      <c r="J191" s="33"/>
      <c r="K191" s="33"/>
    </row>
    <row r="192" spans="1:11" hidden="1" outlineLevel="1">
      <c r="A192" s="33"/>
      <c r="B192" s="62">
        <v>180</v>
      </c>
      <c r="C192" s="65"/>
      <c r="D192" s="65"/>
      <c r="E192" s="65"/>
      <c r="F192" s="65"/>
      <c r="G192" s="61"/>
      <c r="H192" s="61"/>
      <c r="I192" s="33"/>
      <c r="J192" s="33"/>
      <c r="K192" s="33"/>
    </row>
    <row r="193" spans="1:11" hidden="1" outlineLevel="1">
      <c r="A193" s="33"/>
      <c r="B193" s="59">
        <v>181</v>
      </c>
      <c r="C193" s="65"/>
      <c r="D193" s="65"/>
      <c r="E193" s="65"/>
      <c r="F193" s="65"/>
      <c r="G193" s="61"/>
      <c r="H193" s="61"/>
      <c r="I193" s="33"/>
      <c r="J193" s="33"/>
      <c r="K193" s="33"/>
    </row>
    <row r="194" spans="1:11" hidden="1" outlineLevel="1">
      <c r="A194" s="33"/>
      <c r="B194" s="62">
        <v>182</v>
      </c>
      <c r="C194" s="65"/>
      <c r="D194" s="65"/>
      <c r="E194" s="65"/>
      <c r="F194" s="65"/>
      <c r="G194" s="61"/>
      <c r="H194" s="61"/>
      <c r="I194" s="33"/>
      <c r="J194" s="33"/>
      <c r="K194" s="33"/>
    </row>
    <row r="195" spans="1:11" hidden="1" outlineLevel="1">
      <c r="A195" s="33"/>
      <c r="B195" s="59">
        <v>183</v>
      </c>
      <c r="C195" s="65"/>
      <c r="D195" s="65"/>
      <c r="E195" s="65"/>
      <c r="F195" s="65"/>
      <c r="G195" s="61"/>
      <c r="H195" s="61"/>
      <c r="I195" s="33"/>
      <c r="J195" s="33"/>
      <c r="K195" s="33"/>
    </row>
    <row r="196" spans="1:11" hidden="1" outlineLevel="1">
      <c r="A196" s="33"/>
      <c r="B196" s="62">
        <v>184</v>
      </c>
      <c r="C196" s="65"/>
      <c r="D196" s="65"/>
      <c r="E196" s="65"/>
      <c r="F196" s="65"/>
      <c r="G196" s="61"/>
      <c r="H196" s="61"/>
      <c r="I196" s="33"/>
      <c r="J196" s="33"/>
      <c r="K196" s="33"/>
    </row>
    <row r="197" spans="1:11" hidden="1" outlineLevel="1">
      <c r="A197" s="33"/>
      <c r="B197" s="59">
        <v>185</v>
      </c>
      <c r="C197" s="65"/>
      <c r="D197" s="65"/>
      <c r="E197" s="65"/>
      <c r="F197" s="65"/>
      <c r="G197" s="61"/>
      <c r="H197" s="61"/>
      <c r="I197" s="33"/>
      <c r="J197" s="33"/>
      <c r="K197" s="33"/>
    </row>
    <row r="198" spans="1:11" hidden="1" outlineLevel="1">
      <c r="A198" s="33"/>
      <c r="B198" s="62">
        <v>186</v>
      </c>
      <c r="C198" s="65"/>
      <c r="D198" s="65"/>
      <c r="E198" s="65"/>
      <c r="F198" s="65"/>
      <c r="G198" s="61"/>
      <c r="H198" s="61"/>
      <c r="I198" s="33"/>
      <c r="J198" s="33"/>
      <c r="K198" s="33"/>
    </row>
    <row r="199" spans="1:11" hidden="1" outlineLevel="1">
      <c r="A199" s="33"/>
      <c r="B199" s="59">
        <v>187</v>
      </c>
      <c r="C199" s="65"/>
      <c r="D199" s="65"/>
      <c r="E199" s="65"/>
      <c r="F199" s="65"/>
      <c r="G199" s="61"/>
      <c r="H199" s="61"/>
      <c r="I199" s="33"/>
      <c r="J199" s="33"/>
      <c r="K199" s="33"/>
    </row>
    <row r="200" spans="1:11" hidden="1" outlineLevel="1">
      <c r="A200" s="33"/>
      <c r="B200" s="62">
        <v>188</v>
      </c>
      <c r="C200" s="65"/>
      <c r="D200" s="65"/>
      <c r="E200" s="65"/>
      <c r="F200" s="65"/>
      <c r="G200" s="61"/>
      <c r="H200" s="61"/>
      <c r="I200" s="33"/>
      <c r="J200" s="33"/>
      <c r="K200" s="33"/>
    </row>
    <row r="201" spans="1:11" hidden="1" outlineLevel="1">
      <c r="A201" s="33"/>
      <c r="B201" s="59">
        <v>189</v>
      </c>
      <c r="C201" s="65"/>
      <c r="D201" s="65"/>
      <c r="E201" s="65"/>
      <c r="F201" s="65"/>
      <c r="G201" s="61"/>
      <c r="H201" s="61"/>
      <c r="I201" s="33"/>
      <c r="J201" s="33"/>
      <c r="K201" s="33"/>
    </row>
    <row r="202" spans="1:11" hidden="1" outlineLevel="1">
      <c r="A202" s="33"/>
      <c r="B202" s="59">
        <v>190</v>
      </c>
      <c r="C202" s="65"/>
      <c r="D202" s="65"/>
      <c r="E202" s="65"/>
      <c r="F202" s="65"/>
      <c r="G202" s="61"/>
      <c r="H202" s="61"/>
      <c r="I202" s="33"/>
      <c r="J202" s="33"/>
      <c r="K202" s="33"/>
    </row>
    <row r="203" spans="1:11" hidden="1" outlineLevel="1">
      <c r="A203" s="33"/>
      <c r="B203" s="59">
        <v>191</v>
      </c>
      <c r="C203" s="65"/>
      <c r="D203" s="65"/>
      <c r="E203" s="65"/>
      <c r="F203" s="65"/>
      <c r="G203" s="61"/>
      <c r="H203" s="61"/>
      <c r="I203" s="33"/>
      <c r="J203" s="33"/>
      <c r="K203" s="33"/>
    </row>
    <row r="204" spans="1:11" hidden="1" outlineLevel="1">
      <c r="A204" s="33"/>
      <c r="B204" s="59">
        <v>192</v>
      </c>
      <c r="C204" s="65"/>
      <c r="D204" s="65"/>
      <c r="E204" s="65"/>
      <c r="F204" s="65"/>
      <c r="G204" s="61"/>
      <c r="H204" s="61"/>
      <c r="I204" s="33"/>
      <c r="J204" s="33"/>
      <c r="K204" s="33"/>
    </row>
    <row r="205" spans="1:11" hidden="1" outlineLevel="1">
      <c r="A205" s="33"/>
      <c r="B205" s="59">
        <v>193</v>
      </c>
      <c r="C205" s="65"/>
      <c r="D205" s="65"/>
      <c r="E205" s="65"/>
      <c r="F205" s="65"/>
      <c r="G205" s="61"/>
      <c r="H205" s="61"/>
      <c r="I205" s="33"/>
      <c r="J205" s="33"/>
      <c r="K205" s="33"/>
    </row>
    <row r="206" spans="1:11" hidden="1" outlineLevel="1">
      <c r="A206" s="33"/>
      <c r="B206" s="59">
        <v>194</v>
      </c>
      <c r="C206" s="65"/>
      <c r="D206" s="65"/>
      <c r="E206" s="65"/>
      <c r="F206" s="65"/>
      <c r="G206" s="61"/>
      <c r="H206" s="61"/>
      <c r="I206" s="33"/>
      <c r="J206" s="33"/>
      <c r="K206" s="33"/>
    </row>
    <row r="207" spans="1:11" hidden="1" outlineLevel="1">
      <c r="A207" s="33"/>
      <c r="B207" s="59">
        <v>195</v>
      </c>
      <c r="C207" s="65"/>
      <c r="D207" s="65"/>
      <c r="E207" s="65"/>
      <c r="F207" s="65"/>
      <c r="G207" s="61"/>
      <c r="H207" s="61"/>
      <c r="I207" s="33"/>
      <c r="J207" s="33"/>
      <c r="K207" s="33"/>
    </row>
    <row r="208" spans="1:11" hidden="1" outlineLevel="1">
      <c r="A208" s="33"/>
      <c r="B208" s="59">
        <v>196</v>
      </c>
      <c r="C208" s="65"/>
      <c r="D208" s="65"/>
      <c r="E208" s="65"/>
      <c r="F208" s="65"/>
      <c r="G208" s="61"/>
      <c r="H208" s="61"/>
      <c r="I208" s="33"/>
      <c r="J208" s="33"/>
      <c r="K208" s="33"/>
    </row>
    <row r="209" spans="1:11" hidden="1" outlineLevel="1">
      <c r="A209" s="33"/>
      <c r="B209" s="59">
        <v>197</v>
      </c>
      <c r="C209" s="65"/>
      <c r="D209" s="65"/>
      <c r="E209" s="65"/>
      <c r="F209" s="65"/>
      <c r="G209" s="61"/>
      <c r="H209" s="61"/>
      <c r="I209" s="33"/>
      <c r="J209" s="33"/>
      <c r="K209" s="33"/>
    </row>
    <row r="210" spans="1:11" hidden="1" outlineLevel="1">
      <c r="A210" s="33"/>
      <c r="B210" s="59">
        <v>198</v>
      </c>
      <c r="C210" s="65"/>
      <c r="D210" s="65"/>
      <c r="E210" s="65"/>
      <c r="F210" s="65"/>
      <c r="G210" s="61"/>
      <c r="H210" s="61"/>
      <c r="I210" s="33"/>
      <c r="J210" s="33"/>
      <c r="K210" s="33"/>
    </row>
    <row r="211" spans="1:11" hidden="1" outlineLevel="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34" t="s">
        <v>29</v>
      </c>
      <c r="G216" s="75">
        <f>'Tab.G1.1-4'!E16-G213</f>
        <v>0</v>
      </c>
      <c r="H216"/>
      <c r="I216" s="33"/>
      <c r="J216" s="33"/>
      <c r="K216" s="33"/>
    </row>
    <row r="217" spans="1:11">
      <c r="A217" s="33"/>
      <c r="B217" s="33"/>
      <c r="C217" s="33"/>
      <c r="D217" s="33"/>
      <c r="E217" s="33"/>
      <c r="F217" s="33"/>
      <c r="G217" s="33"/>
      <c r="H217" s="33"/>
      <c r="I217" s="33"/>
      <c r="J217" s="33"/>
      <c r="K217" s="33"/>
    </row>
    <row r="218" spans="1:11" ht="15.75">
      <c r="A218"/>
      <c r="B218"/>
      <c r="C218"/>
      <c r="D218"/>
      <c r="E218"/>
      <c r="F218"/>
      <c r="G218"/>
      <c r="H218"/>
      <c r="I218"/>
      <c r="J218"/>
      <c r="K218"/>
    </row>
    <row r="219" spans="1:11" ht="15.75">
      <c r="A219"/>
      <c r="B219"/>
      <c r="C219"/>
      <c r="D219"/>
      <c r="E219"/>
      <c r="F219"/>
      <c r="G219"/>
      <c r="H219"/>
      <c r="I219"/>
      <c r="J219"/>
      <c r="K219"/>
    </row>
    <row r="220" spans="1:11" ht="15.75">
      <c r="A220"/>
      <c r="B220"/>
      <c r="C220"/>
      <c r="D220"/>
      <c r="E220"/>
      <c r="F220"/>
      <c r="G220"/>
      <c r="H220"/>
      <c r="I220"/>
      <c r="J220"/>
      <c r="K220"/>
    </row>
    <row r="221" spans="1:11" ht="15.75">
      <c r="A221"/>
      <c r="B221"/>
      <c r="C221"/>
      <c r="D221"/>
      <c r="E221"/>
      <c r="F221"/>
      <c r="G221"/>
      <c r="H221"/>
      <c r="I221"/>
      <c r="J221"/>
      <c r="K221"/>
    </row>
    <row r="222" spans="1:11" ht="15.75">
      <c r="A222"/>
      <c r="B222"/>
      <c r="C222"/>
      <c r="D222"/>
      <c r="E222"/>
      <c r="F222"/>
      <c r="G222"/>
      <c r="H222"/>
      <c r="I222"/>
      <c r="J222"/>
      <c r="K222"/>
    </row>
    <row r="223" spans="1:11" ht="15.75">
      <c r="A223"/>
      <c r="B223"/>
      <c r="C223"/>
      <c r="D223"/>
      <c r="E223"/>
      <c r="F223"/>
      <c r="G223"/>
      <c r="H223"/>
      <c r="I223"/>
      <c r="J223"/>
      <c r="K223"/>
    </row>
    <row r="224" spans="1:11" ht="15.75">
      <c r="A224"/>
      <c r="B224"/>
      <c r="C224"/>
      <c r="D224"/>
      <c r="E224"/>
      <c r="F224"/>
      <c r="G224"/>
      <c r="H224"/>
      <c r="I224"/>
      <c r="J224"/>
      <c r="K224"/>
    </row>
  </sheetData>
  <mergeCells count="10">
    <mergeCell ref="B8:B10"/>
    <mergeCell ref="C8:C10"/>
    <mergeCell ref="D8:D10"/>
    <mergeCell ref="E8:E10"/>
    <mergeCell ref="C6:H6"/>
    <mergeCell ref="C3:H3"/>
    <mergeCell ref="C4:H4"/>
    <mergeCell ref="F8:F10"/>
    <mergeCell ref="H8:H10"/>
    <mergeCell ref="C5:H5"/>
  </mergeCells>
  <phoneticPr fontId="0" type="noConversion"/>
  <hyperlinks>
    <hyperlink ref="C1" location="Spis!B53" display="&gt;&gt; powrót do spisu treści" xr:uid="{00000000-0004-0000-1C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11"/>
  <dimension ref="A1:M666"/>
  <sheetViews>
    <sheetView tabSelected="1" zoomScale="90" zoomScaleNormal="90" zoomScaleSheetLayoutView="75" workbookViewId="0">
      <pane ySplit="6" topLeftCell="A7" activePane="bottomLeft" state="frozen"/>
      <selection pane="bottomLeft" activeCell="C81" sqref="C81"/>
    </sheetView>
  </sheetViews>
  <sheetFormatPr defaultColWidth="8.88671875" defaultRowHeight="15.75"/>
  <cols>
    <col min="1" max="1" width="3.77734375" style="156" customWidth="1"/>
    <col min="2" max="2" width="4.77734375" style="156" customWidth="1"/>
    <col min="3" max="3" width="77.77734375" style="156" customWidth="1"/>
    <col min="4" max="4" width="12.77734375" style="156" customWidth="1"/>
    <col min="5" max="5" width="15.77734375" style="156" customWidth="1"/>
    <col min="6" max="7" width="14.77734375" style="156" customWidth="1"/>
    <col min="8" max="8" width="16.77734375" style="217" customWidth="1"/>
    <col min="9" max="9" width="16.77734375" style="155" customWidth="1"/>
    <col min="10" max="16384" width="8.88671875" style="156"/>
  </cols>
  <sheetData>
    <row r="1" spans="1:13" ht="23.25" customHeight="1">
      <c r="A1" s="158"/>
      <c r="B1" s="205"/>
      <c r="C1" s="926" t="s">
        <v>9</v>
      </c>
      <c r="D1" s="158"/>
      <c r="E1" s="158"/>
      <c r="F1" s="158"/>
      <c r="G1" s="158"/>
      <c r="H1" s="155"/>
    </row>
    <row r="2" spans="1:13" ht="15.75" customHeight="1">
      <c r="A2" s="158"/>
      <c r="B2" s="205"/>
      <c r="C2" s="200"/>
      <c r="D2" s="158"/>
      <c r="E2" s="158"/>
      <c r="F2" s="158"/>
      <c r="G2" s="158"/>
      <c r="H2" s="155"/>
    </row>
    <row r="3" spans="1:13" ht="30" customHeight="1">
      <c r="A3" s="155"/>
      <c r="B3" s="206" t="s">
        <v>41</v>
      </c>
      <c r="C3" s="207"/>
      <c r="D3" s="208"/>
      <c r="E3" s="208"/>
      <c r="F3" s="208"/>
      <c r="G3" s="208"/>
      <c r="H3" s="209"/>
      <c r="I3" s="208"/>
      <c r="J3" s="158"/>
      <c r="K3" s="158"/>
      <c r="L3" s="155"/>
      <c r="M3" s="158"/>
    </row>
    <row r="4" spans="1:13" ht="16.5" customHeight="1">
      <c r="A4" s="144"/>
      <c r="B4" s="210"/>
      <c r="C4" s="210"/>
      <c r="D4" s="210"/>
      <c r="E4" s="210"/>
      <c r="F4" s="210"/>
      <c r="G4" s="210"/>
      <c r="H4" s="211"/>
    </row>
    <row r="5" spans="1:13" ht="15" customHeight="1">
      <c r="A5" s="155"/>
      <c r="B5" s="835" t="s">
        <v>3</v>
      </c>
      <c r="C5" s="1041" t="s">
        <v>213</v>
      </c>
      <c r="D5" s="1041"/>
      <c r="E5" s="1041"/>
      <c r="F5" s="1041"/>
      <c r="G5" s="1041"/>
      <c r="H5" s="1041"/>
      <c r="I5" s="1041"/>
    </row>
    <row r="6" spans="1:13" ht="15" customHeight="1">
      <c r="A6" s="144"/>
      <c r="B6" s="835" t="s">
        <v>4</v>
      </c>
      <c r="C6" s="1042" t="s">
        <v>102</v>
      </c>
      <c r="D6" s="1042"/>
      <c r="E6" s="1042"/>
      <c r="F6" s="1042"/>
      <c r="G6" s="1042"/>
      <c r="H6" s="1042"/>
      <c r="I6" s="1042"/>
    </row>
    <row r="7" spans="1:13" ht="30" customHeight="1" thickBot="1">
      <c r="A7" s="144"/>
      <c r="B7" s="144" t="s">
        <v>123</v>
      </c>
      <c r="C7" s="144"/>
      <c r="D7" s="212"/>
      <c r="E7" s="144"/>
      <c r="F7" s="695"/>
      <c r="G7" s="695"/>
      <c r="H7" s="725"/>
      <c r="I7" s="213"/>
    </row>
    <row r="8" spans="1:13" s="160" customFormat="1" ht="18.95" customHeight="1">
      <c r="A8" s="158"/>
      <c r="B8" s="1035" t="str">
        <f>"LP"</f>
        <v>LP</v>
      </c>
      <c r="C8" s="1037" t="str">
        <f>"Wyszczególnienie"</f>
        <v>Wyszczególnienie</v>
      </c>
      <c r="D8" s="1038"/>
      <c r="E8" s="627" t="str">
        <f>"Wykonanie"</f>
        <v>Wykonanie</v>
      </c>
      <c r="F8" s="704"/>
      <c r="G8" s="704"/>
      <c r="H8" s="724"/>
      <c r="I8" s="157"/>
    </row>
    <row r="9" spans="1:13" s="160" customFormat="1" ht="18.95" customHeight="1">
      <c r="A9" s="158"/>
      <c r="B9" s="1036"/>
      <c r="C9" s="1039"/>
      <c r="D9" s="1040"/>
      <c r="E9" s="712">
        <f>Rok_ZPR</f>
        <v>2023</v>
      </c>
      <c r="F9" s="704"/>
      <c r="G9" s="704"/>
      <c r="H9" s="724"/>
      <c r="I9" s="157"/>
    </row>
    <row r="10" spans="1:13" s="216" customFormat="1" ht="14.1" customHeight="1" thickBot="1">
      <c r="A10" s="214"/>
      <c r="B10" s="644" t="str">
        <f t="array" ref="B10:B30">Tab.G17!$B$10:$B$30</f>
        <v>01</v>
      </c>
      <c r="C10" s="1044" t="str">
        <f>Tab.G17!$B$11</f>
        <v>02</v>
      </c>
      <c r="D10" s="1034"/>
      <c r="E10" s="645" t="str">
        <f>Tab.G17!$B$12</f>
        <v>03</v>
      </c>
      <c r="F10" s="704"/>
      <c r="G10" s="704"/>
      <c r="H10" s="726"/>
      <c r="I10" s="215"/>
    </row>
    <row r="11" spans="1:13" s="160" customFormat="1" ht="18.95" customHeight="1" thickBot="1">
      <c r="A11" s="158"/>
      <c r="B11" s="721" t="str">
        <v>02</v>
      </c>
      <c r="C11" s="709" t="s">
        <v>10</v>
      </c>
      <c r="D11" s="710" t="str">
        <f>"[tys. zł]"</f>
        <v>[tys. zł]</v>
      </c>
      <c r="E11" s="711">
        <f>SUM(E12,E15,E23)</f>
        <v>0</v>
      </c>
      <c r="F11" s="704"/>
      <c r="G11" s="704"/>
      <c r="H11" s="727"/>
      <c r="I11" s="159"/>
    </row>
    <row r="12" spans="1:13" s="160" customFormat="1" ht="18.95" customHeight="1">
      <c r="A12" s="158"/>
      <c r="B12" s="713" t="str">
        <v>03</v>
      </c>
      <c r="C12" s="161" t="s">
        <v>110</v>
      </c>
      <c r="D12" s="238" t="str">
        <f t="shared" ref="D12:D30" si="0">$D$11</f>
        <v>[tys. zł]</v>
      </c>
      <c r="E12" s="162">
        <f>SUM(E13:E14)</f>
        <v>0</v>
      </c>
      <c r="F12" s="704"/>
      <c r="G12" s="704"/>
      <c r="H12" s="728"/>
      <c r="I12" s="163"/>
      <c r="J12" s="217"/>
      <c r="K12" s="217"/>
      <c r="L12" s="217"/>
      <c r="M12" s="217"/>
    </row>
    <row r="13" spans="1:13" s="160" customFormat="1" ht="18.95" customHeight="1">
      <c r="A13" s="158"/>
      <c r="B13" s="714" t="str">
        <v>04</v>
      </c>
      <c r="C13" s="164" t="s">
        <v>99</v>
      </c>
      <c r="D13" s="239" t="str">
        <f t="shared" si="0"/>
        <v>[tys. zł]</v>
      </c>
      <c r="E13" s="237">
        <f>SUM('Tab.G2.1-3'!E10,'Tab.G2.1-3'!E44,'Tab.G2.1-3'!E59)</f>
        <v>0</v>
      </c>
      <c r="F13" s="704"/>
      <c r="G13" s="704"/>
      <c r="H13" s="729"/>
      <c r="I13" s="166"/>
    </row>
    <row r="14" spans="1:13" s="219" customFormat="1" ht="18.95" customHeight="1">
      <c r="A14" s="218"/>
      <c r="B14" s="714" t="str">
        <v>05</v>
      </c>
      <c r="C14" s="164" t="s">
        <v>100</v>
      </c>
      <c r="D14" s="240" t="str">
        <f t="shared" si="0"/>
        <v>[tys. zł]</v>
      </c>
      <c r="E14" s="237">
        <f>'Tab.G4.1-3'!E9</f>
        <v>0</v>
      </c>
      <c r="F14" s="704"/>
      <c r="G14" s="704"/>
      <c r="H14" s="729"/>
      <c r="I14" s="166"/>
    </row>
    <row r="15" spans="1:13" s="222" customFormat="1" ht="36.950000000000003" customHeight="1">
      <c r="A15" s="220"/>
      <c r="B15" s="713" t="str">
        <v>06</v>
      </c>
      <c r="C15" s="161" t="str">
        <f>"B. Nakłady na modernizację i wymianę elementów składowych sieci dystrybucyjnej oraz gazyfikacjię terenów niezgazyfikowanych"</f>
        <v>B. Nakłady na modernizację i wymianę elementów składowych sieci dystrybucyjnej oraz gazyfikacjię terenów niezgazyfikowanych</v>
      </c>
      <c r="D15" s="241" t="str">
        <f t="shared" si="0"/>
        <v>[tys. zł]</v>
      </c>
      <c r="E15" s="162">
        <f>SUM(E16,E22)</f>
        <v>0</v>
      </c>
      <c r="F15" s="704"/>
      <c r="G15" s="704"/>
      <c r="H15" s="728"/>
      <c r="I15" s="163"/>
      <c r="J15" s="221"/>
      <c r="K15" s="221"/>
      <c r="L15" s="221"/>
      <c r="M15" s="221"/>
    </row>
    <row r="16" spans="1:13" s="160" customFormat="1" ht="36.950000000000003" customHeight="1">
      <c r="A16" s="158"/>
      <c r="B16" s="715" t="str">
        <v>07</v>
      </c>
      <c r="C16" s="184" t="s">
        <v>62</v>
      </c>
      <c r="D16" s="242" t="str">
        <f t="shared" si="0"/>
        <v>[tys. zł]</v>
      </c>
      <c r="E16" s="165">
        <f>SUM(E17,E20:E21)</f>
        <v>0</v>
      </c>
      <c r="F16" s="704"/>
      <c r="G16" s="704"/>
      <c r="H16" s="729"/>
      <c r="I16" s="166"/>
    </row>
    <row r="17" spans="1:9" s="160" customFormat="1" ht="18.95" customHeight="1">
      <c r="A17" s="158"/>
      <c r="B17" s="715" t="str">
        <v>08</v>
      </c>
      <c r="C17" s="167" t="s">
        <v>11</v>
      </c>
      <c r="D17" s="243" t="str">
        <f t="shared" si="0"/>
        <v>[tys. zł]</v>
      </c>
      <c r="E17" s="165">
        <f>SUM(E18:E19)</f>
        <v>0</v>
      </c>
      <c r="F17" s="704"/>
      <c r="G17" s="704"/>
      <c r="H17" s="729"/>
      <c r="I17" s="166"/>
    </row>
    <row r="18" spans="1:9" s="222" customFormat="1" ht="18.95" customHeight="1">
      <c r="A18" s="220"/>
      <c r="B18" s="715" t="str">
        <v>09</v>
      </c>
      <c r="C18" s="168" t="s">
        <v>32</v>
      </c>
      <c r="D18" s="244" t="str">
        <f t="shared" si="0"/>
        <v>[tys. zł]</v>
      </c>
      <c r="E18" s="169">
        <f>'Tab.G5.1-3'!E11</f>
        <v>0</v>
      </c>
      <c r="F18" s="704"/>
      <c r="G18" s="704"/>
      <c r="H18" s="730"/>
      <c r="I18" s="170"/>
    </row>
    <row r="19" spans="1:9" s="222" customFormat="1" ht="18.95" customHeight="1">
      <c r="A19" s="220"/>
      <c r="B19" s="716" t="str">
        <v>10</v>
      </c>
      <c r="C19" s="168" t="s">
        <v>12</v>
      </c>
      <c r="D19" s="245" t="str">
        <f t="shared" si="0"/>
        <v>[tys. zł]</v>
      </c>
      <c r="E19" s="169">
        <f>SUM('Tab.G5.1-3'!E22,'Tab.G5.1-3'!E38)</f>
        <v>0</v>
      </c>
      <c r="F19" s="704"/>
      <c r="G19" s="704"/>
      <c r="H19" s="730"/>
      <c r="I19" s="170"/>
    </row>
    <row r="20" spans="1:9" s="222" customFormat="1" ht="36.950000000000003" customHeight="1">
      <c r="A20" s="220"/>
      <c r="B20" s="715" t="str">
        <v>11</v>
      </c>
      <c r="C20" s="223" t="s">
        <v>94</v>
      </c>
      <c r="D20" s="246" t="str">
        <f t="shared" si="0"/>
        <v>[tys. zł]</v>
      </c>
      <c r="E20" s="165">
        <f>'Tab.G5.1-3'!E39</f>
        <v>0</v>
      </c>
      <c r="F20" s="704"/>
      <c r="G20" s="704"/>
      <c r="H20" s="729"/>
      <c r="I20" s="166"/>
    </row>
    <row r="21" spans="1:9" s="160" customFormat="1" ht="18.95" customHeight="1">
      <c r="A21" s="158"/>
      <c r="B21" s="716" t="str">
        <v>12</v>
      </c>
      <c r="C21" s="171" t="s">
        <v>6</v>
      </c>
      <c r="D21" s="244" t="str">
        <f t="shared" si="0"/>
        <v>[tys. zł]</v>
      </c>
      <c r="E21" s="165">
        <f>'Tab.G5.1-3'!E54</f>
        <v>0</v>
      </c>
      <c r="F21" s="704"/>
      <c r="G21" s="704"/>
      <c r="H21" s="729"/>
      <c r="I21" s="166"/>
    </row>
    <row r="22" spans="1:9" s="160" customFormat="1" ht="33.75" customHeight="1" thickBot="1">
      <c r="A22" s="158"/>
      <c r="B22" s="717" t="str">
        <v>13</v>
      </c>
      <c r="C22" s="172" t="s">
        <v>101</v>
      </c>
      <c r="D22" s="247" t="str">
        <f t="shared" si="0"/>
        <v>[tys. zł]</v>
      </c>
      <c r="E22" s="173">
        <f>Tab.G6!I613</f>
        <v>0</v>
      </c>
      <c r="F22" s="704"/>
      <c r="G22" s="704"/>
      <c r="H22" s="729"/>
      <c r="I22" s="166"/>
    </row>
    <row r="23" spans="1:9" s="160" customFormat="1" ht="18.95" customHeight="1">
      <c r="A23" s="158"/>
      <c r="B23" s="718" t="str">
        <v>14</v>
      </c>
      <c r="C23" s="174" t="str">
        <f>"C. Nakłady inwestycyjne pozostałe, nie ujęte w pkt. A i B:"</f>
        <v>C. Nakłady inwestycyjne pozostałe, nie ujęte w pkt. A i B:</v>
      </c>
      <c r="D23" s="248" t="str">
        <f t="shared" si="0"/>
        <v>[tys. zł]</v>
      </c>
      <c r="E23" s="175">
        <f>E24+E25+E26+E27+E28+E29+E30</f>
        <v>0</v>
      </c>
      <c r="F23" s="704"/>
      <c r="G23" s="704"/>
      <c r="H23" s="731"/>
      <c r="I23" s="163"/>
    </row>
    <row r="24" spans="1:9" s="160" customFormat="1" ht="48" customHeight="1">
      <c r="A24" s="158"/>
      <c r="B24" s="716" t="str">
        <v>15</v>
      </c>
      <c r="C24" s="176" t="s">
        <v>95</v>
      </c>
      <c r="D24" s="249" t="str">
        <f t="shared" si="0"/>
        <v>[tys. zł]</v>
      </c>
      <c r="E24" s="165">
        <f>Tab.G7!J613</f>
        <v>0</v>
      </c>
      <c r="F24" s="704"/>
      <c r="G24" s="704"/>
      <c r="H24" s="729"/>
      <c r="I24" s="166"/>
    </row>
    <row r="25" spans="1:9" s="160" customFormat="1" ht="41.25" customHeight="1">
      <c r="A25" s="158"/>
      <c r="B25" s="715" t="str">
        <v>16</v>
      </c>
      <c r="C25" s="224" t="s">
        <v>96</v>
      </c>
      <c r="D25" s="249" t="str">
        <f t="shared" si="0"/>
        <v>[tys. zł]</v>
      </c>
      <c r="E25" s="165">
        <f>Tab.G8!J613</f>
        <v>0</v>
      </c>
      <c r="F25" s="704"/>
      <c r="G25" s="704"/>
      <c r="H25" s="729"/>
      <c r="I25" s="166"/>
    </row>
    <row r="26" spans="1:9" s="160" customFormat="1" ht="30" customHeight="1">
      <c r="A26" s="158"/>
      <c r="B26" s="715" t="str">
        <v>17</v>
      </c>
      <c r="C26" s="225" t="s">
        <v>97</v>
      </c>
      <c r="D26" s="249" t="str">
        <f t="shared" si="0"/>
        <v>[tys. zł]</v>
      </c>
      <c r="E26" s="165">
        <f>Tab.G9!J613</f>
        <v>0</v>
      </c>
      <c r="F26" s="704"/>
      <c r="G26" s="704"/>
      <c r="H26" s="729"/>
      <c r="I26" s="166"/>
    </row>
    <row r="27" spans="1:9" s="160" customFormat="1" ht="25.5" customHeight="1">
      <c r="A27" s="158"/>
      <c r="B27" s="719" t="str">
        <v>18</v>
      </c>
      <c r="C27" s="177" t="s">
        <v>98</v>
      </c>
      <c r="D27" s="249" t="str">
        <f t="shared" si="0"/>
        <v>[tys. zł]</v>
      </c>
      <c r="E27" s="165">
        <f>Tab.G10!J613</f>
        <v>0</v>
      </c>
      <c r="F27" s="704"/>
      <c r="G27" s="704"/>
      <c r="H27" s="729"/>
      <c r="I27" s="166"/>
    </row>
    <row r="28" spans="1:9" s="160" customFormat="1">
      <c r="A28" s="158"/>
      <c r="B28" s="715" t="str">
        <v>19</v>
      </c>
      <c r="C28" s="178" t="s">
        <v>7</v>
      </c>
      <c r="D28" s="249" t="str">
        <f t="shared" si="0"/>
        <v>[tys. zł]</v>
      </c>
      <c r="E28" s="165">
        <f>Tab.G11!J613</f>
        <v>0</v>
      </c>
      <c r="F28" s="704"/>
      <c r="G28" s="704"/>
      <c r="H28" s="729"/>
      <c r="I28" s="166"/>
    </row>
    <row r="29" spans="1:9" s="160" customFormat="1" ht="26.25" customHeight="1">
      <c r="A29" s="158"/>
      <c r="B29" s="716" t="str">
        <v>20</v>
      </c>
      <c r="C29" s="179" t="s">
        <v>36</v>
      </c>
      <c r="D29" s="249" t="str">
        <f t="shared" si="0"/>
        <v>[tys. zł]</v>
      </c>
      <c r="E29" s="165">
        <f>Tab.G12!J613</f>
        <v>0</v>
      </c>
      <c r="F29" s="704"/>
      <c r="G29" s="704"/>
      <c r="H29" s="729"/>
      <c r="I29" s="166"/>
    </row>
    <row r="30" spans="1:9" s="160" customFormat="1" ht="45" customHeight="1" thickBot="1">
      <c r="A30" s="158"/>
      <c r="B30" s="720" t="str">
        <v>21</v>
      </c>
      <c r="C30" s="226" t="s">
        <v>108</v>
      </c>
      <c r="D30" s="250" t="str">
        <f t="shared" si="0"/>
        <v>[tys. zł]</v>
      </c>
      <c r="E30" s="180">
        <f>Tab.G13!J613</f>
        <v>0</v>
      </c>
      <c r="F30" s="704"/>
      <c r="G30" s="704"/>
      <c r="H30" s="729"/>
      <c r="I30" s="166"/>
    </row>
    <row r="31" spans="1:9" s="160" customFormat="1" ht="18.95" customHeight="1">
      <c r="A31" s="158"/>
      <c r="B31" s="227" t="s">
        <v>1</v>
      </c>
      <c r="C31" s="228" t="s">
        <v>2</v>
      </c>
      <c r="D31" s="229"/>
      <c r="E31" s="230"/>
      <c r="F31" s="230"/>
      <c r="G31" s="230"/>
      <c r="H31" s="155"/>
      <c r="I31" s="155"/>
    </row>
    <row r="32" spans="1:9" s="160" customFormat="1" ht="18.95" customHeight="1">
      <c r="A32" s="158"/>
      <c r="B32" s="158"/>
      <c r="C32" s="158"/>
      <c r="D32" s="158"/>
      <c r="E32" s="158"/>
      <c r="F32" s="158"/>
      <c r="G32" s="158"/>
      <c r="H32" s="155"/>
      <c r="I32" s="155"/>
    </row>
    <row r="33" spans="1:9" s="160" customFormat="1" ht="30" customHeight="1" thickBot="1">
      <c r="A33" s="158"/>
      <c r="B33" s="144" t="s">
        <v>124</v>
      </c>
      <c r="C33" s="231"/>
      <c r="D33" s="155"/>
      <c r="E33" s="155"/>
      <c r="F33" s="724"/>
      <c r="G33" s="724"/>
      <c r="H33" s="155"/>
      <c r="I33" s="155"/>
    </row>
    <row r="34" spans="1:9" s="160" customFormat="1" ht="18.95" customHeight="1">
      <c r="A34" s="144"/>
      <c r="B34" s="1035" t="str">
        <f>$B$8</f>
        <v>LP</v>
      </c>
      <c r="C34" s="1037" t="str">
        <f>$C$8</f>
        <v>Wyszczególnienie</v>
      </c>
      <c r="D34" s="1038"/>
      <c r="E34" s="627" t="str">
        <f>$E$8</f>
        <v>Wykonanie</v>
      </c>
      <c r="F34" s="704"/>
      <c r="G34" s="704"/>
      <c r="H34" s="181"/>
      <c r="I34" s="1043"/>
    </row>
    <row r="35" spans="1:9" s="160" customFormat="1" ht="18.95" customHeight="1">
      <c r="A35" s="144"/>
      <c r="B35" s="1036"/>
      <c r="C35" s="1039"/>
      <c r="D35" s="1040"/>
      <c r="E35" s="712">
        <f>Rok_ZPR</f>
        <v>2023</v>
      </c>
      <c r="F35" s="704"/>
      <c r="G35" s="704"/>
      <c r="H35" s="181"/>
      <c r="I35" s="1043"/>
    </row>
    <row r="36" spans="1:9" s="160" customFormat="1" ht="14.1" customHeight="1" thickBot="1">
      <c r="A36" s="158"/>
      <c r="B36" s="644" t="str">
        <f t="array" ref="B36:B56">Tab.G17!$B$10:$B$30</f>
        <v>01</v>
      </c>
      <c r="C36" s="1044" t="str">
        <f>Tab.G17!$B$11</f>
        <v>02</v>
      </c>
      <c r="D36" s="1034"/>
      <c r="E36" s="645" t="str">
        <f>Tab.G17!$B$12</f>
        <v>03</v>
      </c>
      <c r="F36" s="704"/>
      <c r="G36" s="704"/>
      <c r="H36" s="215"/>
      <c r="I36" s="215"/>
    </row>
    <row r="37" spans="1:9" s="160" customFormat="1" ht="18.95" customHeight="1" thickBot="1">
      <c r="A37" s="158"/>
      <c r="B37" s="721" t="str">
        <v>02</v>
      </c>
      <c r="C37" s="722" t="s">
        <v>10</v>
      </c>
      <c r="D37" s="710" t="s">
        <v>107</v>
      </c>
      <c r="E37" s="723">
        <f>E38+E41+E49</f>
        <v>0</v>
      </c>
      <c r="F37" s="704"/>
      <c r="G37" s="704"/>
      <c r="H37" s="159"/>
      <c r="I37" s="159"/>
    </row>
    <row r="38" spans="1:9" s="160" customFormat="1" ht="18.95" customHeight="1">
      <c r="A38" s="158"/>
      <c r="B38" s="713" t="str">
        <v>03</v>
      </c>
      <c r="C38" s="161" t="str">
        <f>C12</f>
        <v xml:space="preserve">A. Przyłączenia nowych odbiorców i nowych źródeł </v>
      </c>
      <c r="D38" s="251" t="str">
        <f t="shared" ref="D38:D56" si="1">$D$37</f>
        <v>[%]</v>
      </c>
      <c r="E38" s="182">
        <f>IF(E11=0,0,E12/E11)</f>
        <v>0</v>
      </c>
      <c r="F38" s="704"/>
      <c r="G38" s="704"/>
      <c r="H38" s="163"/>
      <c r="I38" s="163"/>
    </row>
    <row r="39" spans="1:9" s="160" customFormat="1" ht="18.95" customHeight="1">
      <c r="A39" s="158"/>
      <c r="B39" s="714" t="str">
        <v>04</v>
      </c>
      <c r="C39" s="164" t="str">
        <f>C13</f>
        <v>Przyłączenia nowych odbiorców</v>
      </c>
      <c r="D39" s="239" t="str">
        <f t="shared" si="1"/>
        <v>[%]</v>
      </c>
      <c r="E39" s="183">
        <f t="shared" ref="E39:E40" si="2">IF(E$12=0,0,E13/E$12)</f>
        <v>0</v>
      </c>
      <c r="F39" s="704"/>
      <c r="G39" s="704"/>
      <c r="H39" s="166"/>
      <c r="I39" s="163"/>
    </row>
    <row r="40" spans="1:9" s="160" customFormat="1" ht="18.95" customHeight="1">
      <c r="A40" s="158"/>
      <c r="B40" s="714" t="str">
        <v>05</v>
      </c>
      <c r="C40" s="164" t="str">
        <f>C14</f>
        <v>Przyłączenia nowych źródeł</v>
      </c>
      <c r="D40" s="240" t="str">
        <f t="shared" si="1"/>
        <v>[%]</v>
      </c>
      <c r="E40" s="183">
        <f t="shared" si="2"/>
        <v>0</v>
      </c>
      <c r="F40" s="704"/>
      <c r="G40" s="704"/>
      <c r="H40" s="166"/>
      <c r="I40" s="163"/>
    </row>
    <row r="41" spans="1:9" s="160" customFormat="1" ht="36.950000000000003" customHeight="1">
      <c r="A41" s="158"/>
      <c r="B41" s="713" t="str">
        <v>06</v>
      </c>
      <c r="C41" s="161" t="str">
        <f>C15</f>
        <v>B. Nakłady na modernizację i wymianę elementów składowych sieci dystrybucyjnej oraz gazyfikacjię terenów niezgazyfikowanych</v>
      </c>
      <c r="D41" s="241" t="str">
        <f t="shared" si="1"/>
        <v>[%]</v>
      </c>
      <c r="E41" s="182">
        <f>IF(E11=0,0,E15/E11)</f>
        <v>0</v>
      </c>
      <c r="F41" s="704"/>
      <c r="G41" s="704"/>
      <c r="H41" s="163"/>
      <c r="I41" s="163"/>
    </row>
    <row r="42" spans="1:9" s="233" customFormat="1" ht="36.950000000000003" customHeight="1">
      <c r="A42" s="232"/>
      <c r="B42" s="715" t="str">
        <v>07</v>
      </c>
      <c r="C42" s="184" t="s">
        <v>14</v>
      </c>
      <c r="D42" s="242" t="str">
        <f t="shared" si="1"/>
        <v>[%]</v>
      </c>
      <c r="E42" s="185">
        <f>IF(E$15=0,0,E16/E$15)</f>
        <v>0</v>
      </c>
      <c r="F42" s="704"/>
      <c r="G42" s="704"/>
      <c r="H42" s="186"/>
      <c r="I42" s="187"/>
    </row>
    <row r="43" spans="1:9" s="160" customFormat="1" ht="18.95" customHeight="1">
      <c r="A43" s="158"/>
      <c r="B43" s="715" t="str">
        <v>08</v>
      </c>
      <c r="C43" s="167" t="s">
        <v>11</v>
      </c>
      <c r="D43" s="243" t="str">
        <f t="shared" si="1"/>
        <v>[%]</v>
      </c>
      <c r="E43" s="183">
        <f>IF(E$16=0,0,E17/E$16)</f>
        <v>0</v>
      </c>
      <c r="F43" s="704"/>
      <c r="G43" s="704"/>
      <c r="H43" s="166"/>
      <c r="I43" s="166"/>
    </row>
    <row r="44" spans="1:9" s="160" customFormat="1" ht="18.95" customHeight="1">
      <c r="A44" s="158"/>
      <c r="B44" s="715" t="str">
        <v>09</v>
      </c>
      <c r="C44" s="168" t="s">
        <v>32</v>
      </c>
      <c r="D44" s="244" t="str">
        <f t="shared" si="1"/>
        <v>[%]</v>
      </c>
      <c r="E44" s="183">
        <f t="shared" ref="E44:E45" si="3">IF(E$17=0,0,E18/E$17)</f>
        <v>0</v>
      </c>
      <c r="F44" s="704"/>
      <c r="G44" s="704"/>
      <c r="H44" s="166"/>
      <c r="I44" s="166"/>
    </row>
    <row r="45" spans="1:9" s="160" customFormat="1" ht="18.95" customHeight="1">
      <c r="A45" s="158"/>
      <c r="B45" s="716" t="str">
        <v>10</v>
      </c>
      <c r="C45" s="168" t="s">
        <v>12</v>
      </c>
      <c r="D45" s="245" t="str">
        <f t="shared" si="1"/>
        <v>[%]</v>
      </c>
      <c r="E45" s="183">
        <f t="shared" si="3"/>
        <v>0</v>
      </c>
      <c r="F45" s="704"/>
      <c r="G45" s="704"/>
      <c r="H45" s="166"/>
      <c r="I45" s="166"/>
    </row>
    <row r="46" spans="1:9" s="160" customFormat="1" ht="27.75" customHeight="1">
      <c r="A46" s="158"/>
      <c r="B46" s="715" t="str">
        <v>11</v>
      </c>
      <c r="C46" s="223" t="s">
        <v>94</v>
      </c>
      <c r="D46" s="246" t="str">
        <f t="shared" si="1"/>
        <v>[%]</v>
      </c>
      <c r="E46" s="183">
        <f t="shared" ref="E46:E47" si="4">IF(E$16=0,0,E20/E$16)</f>
        <v>0</v>
      </c>
      <c r="F46" s="704"/>
      <c r="G46" s="704"/>
      <c r="H46" s="166"/>
      <c r="I46" s="166"/>
    </row>
    <row r="47" spans="1:9" s="160" customFormat="1" ht="30" customHeight="1">
      <c r="A47" s="158"/>
      <c r="B47" s="716" t="str">
        <v>12</v>
      </c>
      <c r="C47" s="171" t="s">
        <v>6</v>
      </c>
      <c r="D47" s="244" t="str">
        <f t="shared" si="1"/>
        <v>[%]</v>
      </c>
      <c r="E47" s="183">
        <f t="shared" si="4"/>
        <v>0</v>
      </c>
      <c r="F47" s="704"/>
      <c r="G47" s="704"/>
      <c r="H47" s="166"/>
      <c r="I47" s="166"/>
    </row>
    <row r="48" spans="1:9" s="233" customFormat="1" ht="30.75" customHeight="1" thickBot="1">
      <c r="A48" s="232"/>
      <c r="B48" s="717" t="str">
        <v>13</v>
      </c>
      <c r="C48" s="172" t="str">
        <f>C22</f>
        <v>Budowa sieci na terenach niezgazyfikowanych (ekspansja na nowe tereny - sieci i przyłącza)</v>
      </c>
      <c r="D48" s="247" t="str">
        <f t="shared" si="1"/>
        <v>[%]</v>
      </c>
      <c r="E48" s="185">
        <f>IF(E$15=0,0,E22/E$15)</f>
        <v>0</v>
      </c>
      <c r="F48" s="704"/>
      <c r="G48" s="704"/>
      <c r="H48" s="186"/>
      <c r="I48" s="186"/>
    </row>
    <row r="49" spans="1:9" s="160" customFormat="1" ht="18.95" customHeight="1">
      <c r="A49" s="158"/>
      <c r="B49" s="718" t="str">
        <v>14</v>
      </c>
      <c r="C49" s="188" t="s">
        <v>111</v>
      </c>
      <c r="D49" s="248" t="str">
        <f t="shared" si="1"/>
        <v>[%]</v>
      </c>
      <c r="E49" s="189">
        <f>IF(E11=0,0,E23/E11)</f>
        <v>0</v>
      </c>
      <c r="F49" s="704"/>
      <c r="G49" s="704"/>
      <c r="H49" s="163"/>
      <c r="I49" s="163"/>
    </row>
    <row r="50" spans="1:9" s="160" customFormat="1" ht="39.75">
      <c r="A50" s="158"/>
      <c r="B50" s="716" t="str">
        <v>15</v>
      </c>
      <c r="C50" s="190" t="s">
        <v>95</v>
      </c>
      <c r="D50" s="249" t="str">
        <f t="shared" si="1"/>
        <v>[%]</v>
      </c>
      <c r="E50" s="183">
        <f t="shared" ref="E50:E56" si="5">IF(E$23=0,0,E24/E$23)</f>
        <v>0</v>
      </c>
      <c r="F50" s="704"/>
      <c r="G50" s="704"/>
      <c r="H50" s="166"/>
      <c r="I50" s="166"/>
    </row>
    <row r="51" spans="1:9" s="160" customFormat="1" ht="27">
      <c r="A51" s="158"/>
      <c r="B51" s="715" t="str">
        <v>16</v>
      </c>
      <c r="C51" s="224" t="s">
        <v>96</v>
      </c>
      <c r="D51" s="249" t="str">
        <f t="shared" si="1"/>
        <v>[%]</v>
      </c>
      <c r="E51" s="183">
        <f t="shared" si="5"/>
        <v>0</v>
      </c>
      <c r="F51" s="704"/>
      <c r="G51" s="704"/>
      <c r="H51" s="166"/>
      <c r="I51" s="166"/>
    </row>
    <row r="52" spans="1:9" s="160" customFormat="1" ht="33.75" customHeight="1">
      <c r="A52" s="158"/>
      <c r="B52" s="715" t="str">
        <v>17</v>
      </c>
      <c r="C52" s="225" t="s">
        <v>97</v>
      </c>
      <c r="D52" s="249" t="str">
        <f t="shared" si="1"/>
        <v>[%]</v>
      </c>
      <c r="E52" s="183">
        <f t="shared" si="5"/>
        <v>0</v>
      </c>
      <c r="F52" s="704"/>
      <c r="G52" s="704"/>
      <c r="H52" s="166"/>
      <c r="I52" s="166"/>
    </row>
    <row r="53" spans="1:9" s="160" customFormat="1">
      <c r="A53" s="158"/>
      <c r="B53" s="719" t="str">
        <v>18</v>
      </c>
      <c r="C53" s="177" t="s">
        <v>98</v>
      </c>
      <c r="D53" s="249" t="str">
        <f t="shared" si="1"/>
        <v>[%]</v>
      </c>
      <c r="E53" s="183">
        <f t="shared" si="5"/>
        <v>0</v>
      </c>
      <c r="F53" s="704"/>
      <c r="G53" s="704"/>
      <c r="H53" s="166"/>
      <c r="I53" s="166"/>
    </row>
    <row r="54" spans="1:9" s="160" customFormat="1">
      <c r="A54" s="158"/>
      <c r="B54" s="715" t="str">
        <v>19</v>
      </c>
      <c r="C54" s="191" t="s">
        <v>7</v>
      </c>
      <c r="D54" s="249" t="str">
        <f t="shared" si="1"/>
        <v>[%]</v>
      </c>
      <c r="E54" s="183">
        <f t="shared" si="5"/>
        <v>0</v>
      </c>
      <c r="F54" s="704"/>
      <c r="G54" s="704"/>
      <c r="H54" s="166"/>
      <c r="I54" s="166"/>
    </row>
    <row r="55" spans="1:9" s="160" customFormat="1">
      <c r="A55" s="158"/>
      <c r="B55" s="716" t="str">
        <v>20</v>
      </c>
      <c r="C55" s="192" t="str">
        <f>C29</f>
        <v>Zakup środków transportu</v>
      </c>
      <c r="D55" s="249" t="str">
        <f t="shared" si="1"/>
        <v>[%]</v>
      </c>
      <c r="E55" s="183">
        <f t="shared" si="5"/>
        <v>0</v>
      </c>
      <c r="F55" s="704"/>
      <c r="G55" s="704"/>
      <c r="H55" s="166"/>
      <c r="I55" s="166"/>
    </row>
    <row r="56" spans="1:9" s="160" customFormat="1" ht="52.5" customHeight="1" thickBot="1">
      <c r="A56" s="158"/>
      <c r="B56" s="720" t="str">
        <v>21</v>
      </c>
      <c r="C56" s="234" t="str">
        <f>C30</f>
        <v>Inne  
(opłaty za przyłączenie do sieci innych operatorów, kontrola nawaniania gazu, ochrona środowiska)*</v>
      </c>
      <c r="D56" s="250" t="str">
        <f t="shared" si="1"/>
        <v>[%]</v>
      </c>
      <c r="E56" s="193">
        <f t="shared" si="5"/>
        <v>0</v>
      </c>
      <c r="F56" s="704"/>
      <c r="G56" s="704"/>
      <c r="H56" s="166"/>
      <c r="I56" s="166"/>
    </row>
    <row r="57" spans="1:9" s="160" customFormat="1" ht="18.95" customHeight="1">
      <c r="A57" s="158"/>
      <c r="B57" s="227" t="s">
        <v>1</v>
      </c>
      <c r="C57" s="228" t="s">
        <v>2</v>
      </c>
      <c r="D57" s="229"/>
      <c r="E57" s="230"/>
      <c r="F57" s="230"/>
      <c r="G57" s="230"/>
      <c r="H57" s="155"/>
      <c r="I57" s="155"/>
    </row>
    <row r="58" spans="1:9" s="160" customFormat="1" ht="18.95" customHeight="1">
      <c r="A58" s="158"/>
      <c r="B58" s="158"/>
      <c r="C58" s="158"/>
      <c r="D58" s="155"/>
      <c r="E58" s="158"/>
      <c r="F58" s="158"/>
      <c r="G58" s="158"/>
      <c r="H58" s="155"/>
      <c r="I58" s="155"/>
    </row>
    <row r="59" spans="1:9" s="160" customFormat="1" ht="30" customHeight="1" thickBot="1">
      <c r="A59" s="732"/>
      <c r="B59" s="733" t="s">
        <v>125</v>
      </c>
      <c r="C59" s="732"/>
      <c r="D59" s="724"/>
      <c r="E59" s="732"/>
      <c r="F59" s="732"/>
      <c r="G59" s="732"/>
      <c r="H59" s="724"/>
      <c r="I59" s="155"/>
    </row>
    <row r="60" spans="1:9" s="160" customFormat="1" ht="18.95" customHeight="1">
      <c r="A60" s="732"/>
      <c r="B60" s="1035" t="str">
        <f>$B$8</f>
        <v>LP</v>
      </c>
      <c r="C60" s="1045" t="str">
        <f>$C$8</f>
        <v>Wyszczególnienie</v>
      </c>
      <c r="D60" s="1038"/>
      <c r="E60" s="627" t="str">
        <f>$E$8</f>
        <v>Wykonanie</v>
      </c>
      <c r="F60" s="704"/>
      <c r="G60" s="704"/>
      <c r="H60" s="724"/>
      <c r="I60" s="155"/>
    </row>
    <row r="61" spans="1:9" s="160" customFormat="1" ht="18.95" customHeight="1">
      <c r="A61" s="732"/>
      <c r="B61" s="1036"/>
      <c r="C61" s="1046"/>
      <c r="D61" s="1040"/>
      <c r="E61" s="712">
        <f>Rok_ZPR</f>
        <v>2023</v>
      </c>
      <c r="F61" s="704"/>
      <c r="G61" s="704"/>
      <c r="H61" s="724"/>
      <c r="I61" s="155"/>
    </row>
    <row r="62" spans="1:9" s="160" customFormat="1" ht="14.1" customHeight="1" thickBot="1">
      <c r="A62" s="732"/>
      <c r="B62" s="644" t="str">
        <f t="array" ref="B62:B68">Tab.G17!$B$10:$B$16</f>
        <v>01</v>
      </c>
      <c r="C62" s="1033" t="str">
        <f>Tab.G17!$B$11</f>
        <v>02</v>
      </c>
      <c r="D62" s="1034"/>
      <c r="E62" s="645" t="str">
        <f>Tab.G17!$B$12</f>
        <v>03</v>
      </c>
      <c r="F62" s="704"/>
      <c r="G62" s="704"/>
      <c r="H62" s="724"/>
      <c r="I62" s="155"/>
    </row>
    <row r="63" spans="1:9" s="160" customFormat="1" ht="18.95" customHeight="1" thickBot="1">
      <c r="A63" s="732"/>
      <c r="B63" s="721" t="str">
        <v>02</v>
      </c>
      <c r="C63" s="734" t="s">
        <v>63</v>
      </c>
      <c r="D63" s="735" t="str">
        <f t="shared" ref="D63:D68" si="6">$D$11</f>
        <v>[tys. zł]</v>
      </c>
      <c r="E63" s="736">
        <f>SUM(E64:E68)</f>
        <v>0</v>
      </c>
      <c r="F63" s="704"/>
      <c r="G63" s="704"/>
      <c r="H63" s="724"/>
      <c r="I63" s="155"/>
    </row>
    <row r="64" spans="1:9" ht="18.95" customHeight="1">
      <c r="A64" s="732"/>
      <c r="B64" s="737" t="str">
        <v>03</v>
      </c>
      <c r="C64" s="256" t="s">
        <v>64</v>
      </c>
      <c r="D64" s="257" t="str">
        <f t="shared" si="6"/>
        <v>[tys. zł]</v>
      </c>
      <c r="E64" s="202"/>
      <c r="F64" s="704"/>
      <c r="G64" s="704"/>
      <c r="H64" s="724"/>
    </row>
    <row r="65" spans="1:8" ht="18.95" customHeight="1">
      <c r="A65" s="732"/>
      <c r="B65" s="738" t="str">
        <v>04</v>
      </c>
      <c r="C65" s="254" t="s">
        <v>65</v>
      </c>
      <c r="D65" s="252" t="str">
        <f t="shared" si="6"/>
        <v>[tys. zł]</v>
      </c>
      <c r="E65" s="235"/>
      <c r="F65" s="704"/>
      <c r="G65" s="704"/>
      <c r="H65" s="724"/>
    </row>
    <row r="66" spans="1:8" ht="18.95" customHeight="1">
      <c r="A66" s="732"/>
      <c r="B66" s="738" t="str">
        <v>05</v>
      </c>
      <c r="C66" s="254" t="s">
        <v>66</v>
      </c>
      <c r="D66" s="252" t="str">
        <f t="shared" si="6"/>
        <v>[tys. zł]</v>
      </c>
      <c r="E66" s="235"/>
      <c r="F66" s="704"/>
      <c r="G66" s="704"/>
      <c r="H66" s="724"/>
    </row>
    <row r="67" spans="1:8" ht="18.95" customHeight="1">
      <c r="A67" s="732"/>
      <c r="B67" s="738" t="str">
        <v>06</v>
      </c>
      <c r="C67" s="254" t="s">
        <v>67</v>
      </c>
      <c r="D67" s="252" t="str">
        <f t="shared" si="6"/>
        <v>[tys. zł]</v>
      </c>
      <c r="E67" s="235"/>
      <c r="F67" s="704"/>
      <c r="G67" s="704"/>
      <c r="H67" s="724"/>
    </row>
    <row r="68" spans="1:8" ht="18.95" customHeight="1" thickBot="1">
      <c r="A68" s="732"/>
      <c r="B68" s="739" t="str">
        <v>07</v>
      </c>
      <c r="C68" s="255" t="s">
        <v>68</v>
      </c>
      <c r="D68" s="253" t="str">
        <f t="shared" si="6"/>
        <v>[tys. zł]</v>
      </c>
      <c r="E68" s="236"/>
      <c r="F68" s="704"/>
      <c r="G68" s="704"/>
      <c r="H68" s="724"/>
    </row>
    <row r="69" spans="1:8" ht="18.95" customHeight="1">
      <c r="A69" s="732"/>
      <c r="B69" s="732"/>
      <c r="C69" s="732"/>
      <c r="D69" s="724"/>
      <c r="E69" s="732"/>
      <c r="F69" s="732"/>
      <c r="G69" s="732"/>
      <c r="H69" s="724"/>
    </row>
    <row r="70" spans="1:8" ht="18.95" customHeight="1">
      <c r="A70" s="732"/>
      <c r="B70" s="732"/>
      <c r="C70" s="732"/>
      <c r="D70" s="724"/>
      <c r="E70" s="732"/>
      <c r="F70" s="732"/>
      <c r="G70" s="732"/>
      <c r="H70" s="724"/>
    </row>
    <row r="71" spans="1:8" ht="30" customHeight="1" thickBot="1">
      <c r="A71" s="704"/>
      <c r="B71" s="733" t="str">
        <f>"Tabela G1.4. Poniesione nakłady inwestycyjne na Program, o którym mowa w ustawie o elektromobilności"</f>
        <v>Tabela G1.4. Poniesione nakłady inwestycyjne na Program, o którym mowa w ustawie o elektromobilności</v>
      </c>
      <c r="C71" s="732"/>
      <c r="D71" s="704"/>
      <c r="E71" s="704"/>
      <c r="F71" s="704"/>
      <c r="G71" s="732"/>
      <c r="H71" s="724"/>
    </row>
    <row r="72" spans="1:8" ht="18.95" customHeight="1">
      <c r="A72" s="704"/>
      <c r="B72" s="1035" t="str">
        <f>$B$8</f>
        <v>LP</v>
      </c>
      <c r="C72" s="1045" t="str">
        <f>$C$8</f>
        <v>Wyszczególnienie</v>
      </c>
      <c r="D72" s="1038"/>
      <c r="E72" s="627" t="str">
        <f>$E$8</f>
        <v>Wykonanie</v>
      </c>
      <c r="F72" s="704"/>
      <c r="G72" s="732"/>
      <c r="H72" s="724"/>
    </row>
    <row r="73" spans="1:8" ht="18.95" customHeight="1">
      <c r="A73" s="704"/>
      <c r="B73" s="1036"/>
      <c r="C73" s="1046"/>
      <c r="D73" s="1040"/>
      <c r="E73" s="712">
        <f>Rok_ZPR</f>
        <v>2023</v>
      </c>
      <c r="F73" s="704"/>
      <c r="G73" s="704"/>
      <c r="H73" s="724"/>
    </row>
    <row r="74" spans="1:8" ht="18.95" customHeight="1" thickBot="1">
      <c r="A74" s="704"/>
      <c r="B74" s="644" t="str">
        <f t="array" ref="B74:B80">Tab.G17!$B$10:$B$16</f>
        <v>01</v>
      </c>
      <c r="C74" s="1033" t="str">
        <f>Tab.G17!$B$11</f>
        <v>02</v>
      </c>
      <c r="D74" s="1034"/>
      <c r="E74" s="645" t="str">
        <f>Tab.G17!$B$12</f>
        <v>03</v>
      </c>
      <c r="F74" s="704"/>
      <c r="G74" s="704"/>
      <c r="H74" s="724"/>
    </row>
    <row r="75" spans="1:8" ht="18.95" customHeight="1" thickBot="1">
      <c r="A75" s="704"/>
      <c r="B75" s="721" t="str">
        <v>02</v>
      </c>
      <c r="C75" s="961" t="str">
        <f>"Nakłady na Program ogółem, z tego:"</f>
        <v>Nakłady na Program ogółem, z tego:</v>
      </c>
      <c r="D75" s="735" t="str">
        <f t="shared" ref="D75:D80" si="7">$D$11</f>
        <v>[tys. zł]</v>
      </c>
      <c r="E75" s="736">
        <f>SUM(E76,E80)</f>
        <v>0</v>
      </c>
      <c r="F75" s="704"/>
      <c r="G75" s="704"/>
      <c r="H75" s="724"/>
    </row>
    <row r="76" spans="1:8" ht="18.95" customHeight="1">
      <c r="A76" s="704"/>
      <c r="B76" s="806" t="str">
        <v>03</v>
      </c>
      <c r="C76" s="807" t="str">
        <f>"I. Nakłady na majątek sieciowy/dystrybucyjny paliw gazowych"</f>
        <v>I. Nakłady na majątek sieciowy/dystrybucyjny paliw gazowych</v>
      </c>
      <c r="D76" s="808" t="str">
        <f t="shared" si="7"/>
        <v>[tys. zł]</v>
      </c>
      <c r="E76" s="809">
        <f>SUM(E77:E79)</f>
        <v>0</v>
      </c>
      <c r="F76" s="704"/>
      <c r="G76" s="704"/>
      <c r="H76" s="724"/>
    </row>
    <row r="77" spans="1:8" ht="18.95" customHeight="1">
      <c r="A77" s="704"/>
      <c r="B77" s="810" t="str">
        <v>04</v>
      </c>
      <c r="C77" s="811" t="str">
        <f>"A1. Przyłączenia nowych stacji CNG do sieci dystrybucyjnej"</f>
        <v>A1. Przyłączenia nowych stacji CNG do sieci dystrybucyjnej</v>
      </c>
      <c r="D77" s="812" t="str">
        <f t="shared" si="7"/>
        <v>[tys. zł]</v>
      </c>
      <c r="E77" s="813">
        <f>SUM('Tab.G2.1E-6E'!E12,'Tab.G2.1E-6E'!E46,'Tab.G2.1E-6E'!E61)</f>
        <v>0</v>
      </c>
      <c r="F77" s="704"/>
      <c r="G77" s="704"/>
      <c r="H77" s="724"/>
    </row>
    <row r="78" spans="1:8" ht="35.1" customHeight="1">
      <c r="A78" s="704"/>
      <c r="B78" s="810" t="str">
        <v>05</v>
      </c>
      <c r="C78" s="814" t="str">
        <f>"B1. Modernizacja i wymiana elementów składowych sieci dystrybucyjnej związana z przyłączaniem nowych stacji CNG"</f>
        <v>B1. Modernizacja i wymiana elementów składowych sieci dystrybucyjnej związana z przyłączaniem nowych stacji CNG</v>
      </c>
      <c r="D78" s="812" t="str">
        <f t="shared" si="7"/>
        <v>[tys. zł]</v>
      </c>
      <c r="E78" s="813">
        <f>SUM('Tab.G5.1E-3E'!E11,'Tab.G5.1E-3E'!E40,'Tab.G5.1E-3E'!E55)</f>
        <v>0</v>
      </c>
      <c r="F78" s="704"/>
      <c r="G78" s="704"/>
      <c r="H78" s="724"/>
    </row>
    <row r="79" spans="1:8" ht="35.1" customHeight="1">
      <c r="A79" s="704"/>
      <c r="B79" s="810" t="str">
        <v>06</v>
      </c>
      <c r="C79" s="814" t="str">
        <f>"C1. Nakłady inwestycyjne pozostałe związane z przyłączaniem nowych stacji CNG, nie ujęte w pkt A1 i B1"</f>
        <v>C1. Nakłady inwestycyjne pozostałe związane z przyłączaniem nowych stacji CNG, nie ujęte w pkt A1 i B1</v>
      </c>
      <c r="D79" s="812" t="str">
        <f t="shared" si="7"/>
        <v>[tys. zł]</v>
      </c>
      <c r="E79" s="813">
        <f>SUM(Tab.G7E!J613,Tab.G8E!J613,Tab.G9E!J613,Tab.G10E!J613,Tab.G11E!J613,Tab.G13E!J613)</f>
        <v>0</v>
      </c>
      <c r="F79" s="704"/>
      <c r="G79" s="704"/>
      <c r="H79" s="724"/>
    </row>
    <row r="80" spans="1:8" ht="35.1" customHeight="1" thickBot="1">
      <c r="A80" s="704"/>
      <c r="B80" s="815" t="str">
        <v>07</v>
      </c>
      <c r="C80" s="816" t="str">
        <f>"II. Nakłady na majątek niesieciowy (budowa infrastruktury wewnętrznej stacji CNG i LNG)"</f>
        <v>II. Nakłady na majątek niesieciowy (budowa infrastruktury wewnętrznej stacji CNG i LNG)</v>
      </c>
      <c r="D80" s="817" t="str">
        <f t="shared" si="7"/>
        <v>[tys. zł]</v>
      </c>
      <c r="E80" s="818">
        <f>'Tab.G2.1E-6E'!$E$198</f>
        <v>0</v>
      </c>
      <c r="F80" s="704"/>
      <c r="G80" s="704"/>
      <c r="H80" s="724"/>
    </row>
    <row r="81" spans="1:8" ht="18.95" customHeight="1">
      <c r="A81" s="704"/>
      <c r="B81" s="704"/>
      <c r="C81" s="704"/>
      <c r="D81" s="704"/>
      <c r="E81" s="704"/>
      <c r="F81" s="704"/>
      <c r="G81" s="704"/>
      <c r="H81" s="724"/>
    </row>
    <row r="82" spans="1:8" ht="18.95" customHeight="1">
      <c r="A82" s="704"/>
      <c r="B82" s="704"/>
      <c r="C82" s="704"/>
      <c r="D82" s="704"/>
      <c r="E82" s="704"/>
      <c r="F82" s="704"/>
      <c r="G82" s="704"/>
      <c r="H82" s="724"/>
    </row>
    <row r="83" spans="1:8" ht="18.95" customHeight="1">
      <c r="A83" s="704"/>
      <c r="B83" s="704"/>
      <c r="C83" s="704"/>
      <c r="D83" s="704"/>
      <c r="E83" s="704"/>
      <c r="F83" s="704"/>
      <c r="G83" s="704"/>
      <c r="H83" s="724"/>
    </row>
    <row r="84" spans="1:8" ht="18.95" customHeight="1">
      <c r="A84" s="704"/>
      <c r="B84" s="704"/>
      <c r="C84" s="704"/>
      <c r="D84" s="704"/>
      <c r="E84" s="704"/>
      <c r="F84" s="704"/>
      <c r="G84" s="732"/>
      <c r="H84" s="724"/>
    </row>
    <row r="85" spans="1:8" ht="18.95" customHeight="1">
      <c r="A85" s="732"/>
      <c r="B85" s="732"/>
      <c r="C85" s="732"/>
      <c r="D85" s="724"/>
      <c r="E85" s="732"/>
      <c r="F85" s="732"/>
      <c r="G85" s="732"/>
      <c r="H85" s="724"/>
    </row>
    <row r="86" spans="1:8" ht="18.95" customHeight="1">
      <c r="A86" s="732"/>
      <c r="B86" s="732"/>
      <c r="C86" s="732"/>
      <c r="D86" s="724"/>
      <c r="E86" s="732"/>
      <c r="F86" s="732"/>
      <c r="G86" s="732"/>
      <c r="H86" s="724"/>
    </row>
    <row r="87" spans="1:8" ht="18.95" customHeight="1">
      <c r="A87" s="732"/>
      <c r="B87" s="732"/>
      <c r="C87" s="732"/>
      <c r="D87" s="724"/>
      <c r="E87" s="732"/>
      <c r="F87" s="732"/>
      <c r="G87" s="732"/>
      <c r="H87" s="724"/>
    </row>
    <row r="88" spans="1:8" ht="18.95" customHeight="1">
      <c r="D88" s="160"/>
    </row>
    <row r="89" spans="1:8" ht="18.95" customHeight="1">
      <c r="D89" s="160"/>
    </row>
    <row r="90" spans="1:8" ht="18.95" customHeight="1">
      <c r="D90" s="160"/>
    </row>
    <row r="91" spans="1:8" ht="18.95" customHeight="1">
      <c r="D91" s="160"/>
    </row>
    <row r="92" spans="1:8" ht="18.95" customHeight="1">
      <c r="D92" s="160"/>
    </row>
    <row r="93" spans="1:8" ht="18.95" customHeight="1">
      <c r="D93" s="160"/>
    </row>
    <row r="94" spans="1:8" ht="18.95" customHeight="1">
      <c r="D94" s="160"/>
    </row>
    <row r="95" spans="1:8" ht="18.95" customHeight="1">
      <c r="D95" s="160"/>
    </row>
    <row r="96" spans="1:8" ht="18.95" customHeight="1">
      <c r="D96" s="160"/>
    </row>
    <row r="97" spans="4:4">
      <c r="D97" s="160"/>
    </row>
    <row r="98" spans="4:4">
      <c r="D98" s="160"/>
    </row>
    <row r="99" spans="4:4">
      <c r="D99" s="160"/>
    </row>
    <row r="100" spans="4:4">
      <c r="D100" s="160"/>
    </row>
    <row r="101" spans="4:4">
      <c r="D101" s="160"/>
    </row>
    <row r="102" spans="4:4">
      <c r="D102" s="160"/>
    </row>
    <row r="103" spans="4:4">
      <c r="D103" s="160"/>
    </row>
    <row r="104" spans="4:4">
      <c r="D104" s="160"/>
    </row>
    <row r="105" spans="4:4">
      <c r="D105" s="160"/>
    </row>
    <row r="106" spans="4:4">
      <c r="D106" s="160"/>
    </row>
    <row r="107" spans="4:4">
      <c r="D107" s="160"/>
    </row>
    <row r="108" spans="4:4">
      <c r="D108" s="160"/>
    </row>
    <row r="109" spans="4:4">
      <c r="D109" s="160"/>
    </row>
    <row r="110" spans="4:4">
      <c r="D110" s="160"/>
    </row>
    <row r="111" spans="4:4">
      <c r="D111" s="160"/>
    </row>
    <row r="112" spans="4:4">
      <c r="D112" s="160"/>
    </row>
    <row r="113" spans="4:4">
      <c r="D113" s="160"/>
    </row>
    <row r="114" spans="4:4">
      <c r="D114" s="160"/>
    </row>
    <row r="115" spans="4:4">
      <c r="D115" s="160"/>
    </row>
    <row r="116" spans="4:4">
      <c r="D116" s="160"/>
    </row>
    <row r="117" spans="4:4">
      <c r="D117" s="160"/>
    </row>
    <row r="118" spans="4:4">
      <c r="D118" s="160"/>
    </row>
    <row r="119" spans="4:4">
      <c r="D119" s="160"/>
    </row>
    <row r="120" spans="4:4">
      <c r="D120" s="160"/>
    </row>
    <row r="121" spans="4:4">
      <c r="D121" s="160"/>
    </row>
    <row r="122" spans="4:4">
      <c r="D122" s="160"/>
    </row>
    <row r="123" spans="4:4">
      <c r="D123" s="160"/>
    </row>
    <row r="124" spans="4:4">
      <c r="D124" s="160"/>
    </row>
    <row r="125" spans="4:4">
      <c r="D125" s="160"/>
    </row>
    <row r="126" spans="4:4">
      <c r="D126" s="160"/>
    </row>
    <row r="127" spans="4:4">
      <c r="D127" s="160"/>
    </row>
    <row r="128" spans="4:4">
      <c r="D128" s="160"/>
    </row>
    <row r="129" spans="4:4">
      <c r="D129" s="160"/>
    </row>
    <row r="130" spans="4:4">
      <c r="D130" s="160"/>
    </row>
    <row r="131" spans="4:4">
      <c r="D131" s="160"/>
    </row>
    <row r="132" spans="4:4">
      <c r="D132" s="160"/>
    </row>
    <row r="133" spans="4:4">
      <c r="D133" s="160"/>
    </row>
    <row r="134" spans="4:4">
      <c r="D134" s="160"/>
    </row>
    <row r="135" spans="4:4">
      <c r="D135" s="160"/>
    </row>
    <row r="136" spans="4:4">
      <c r="D136" s="160"/>
    </row>
    <row r="137" spans="4:4">
      <c r="D137" s="160"/>
    </row>
    <row r="138" spans="4:4">
      <c r="D138" s="160"/>
    </row>
    <row r="139" spans="4:4">
      <c r="D139" s="160"/>
    </row>
    <row r="140" spans="4:4">
      <c r="D140" s="160"/>
    </row>
    <row r="141" spans="4:4">
      <c r="D141" s="160"/>
    </row>
    <row r="142" spans="4:4">
      <c r="D142" s="160"/>
    </row>
    <row r="143" spans="4:4">
      <c r="D143" s="160"/>
    </row>
    <row r="144" spans="4:4">
      <c r="D144" s="160"/>
    </row>
    <row r="145" spans="4:4">
      <c r="D145" s="160"/>
    </row>
    <row r="146" spans="4:4">
      <c r="D146" s="160"/>
    </row>
    <row r="147" spans="4:4">
      <c r="D147" s="160"/>
    </row>
    <row r="148" spans="4:4">
      <c r="D148" s="160"/>
    </row>
    <row r="149" spans="4:4">
      <c r="D149" s="160"/>
    </row>
    <row r="150" spans="4:4">
      <c r="D150" s="160"/>
    </row>
    <row r="151" spans="4:4">
      <c r="D151" s="160"/>
    </row>
    <row r="152" spans="4:4">
      <c r="D152" s="160"/>
    </row>
    <row r="153" spans="4:4">
      <c r="D153" s="160"/>
    </row>
    <row r="154" spans="4:4">
      <c r="D154" s="160"/>
    </row>
    <row r="155" spans="4:4">
      <c r="D155" s="160"/>
    </row>
    <row r="156" spans="4:4">
      <c r="D156" s="160"/>
    </row>
    <row r="157" spans="4:4">
      <c r="D157" s="160"/>
    </row>
    <row r="158" spans="4:4">
      <c r="D158" s="160"/>
    </row>
    <row r="159" spans="4:4">
      <c r="D159" s="160"/>
    </row>
    <row r="160" spans="4:4">
      <c r="D160" s="160"/>
    </row>
    <row r="161" spans="4:4">
      <c r="D161" s="160"/>
    </row>
    <row r="162" spans="4:4">
      <c r="D162" s="160"/>
    </row>
    <row r="163" spans="4:4">
      <c r="D163" s="160"/>
    </row>
    <row r="164" spans="4:4">
      <c r="D164" s="160"/>
    </row>
    <row r="165" spans="4:4">
      <c r="D165" s="160"/>
    </row>
    <row r="166" spans="4:4">
      <c r="D166" s="160"/>
    </row>
    <row r="167" spans="4:4">
      <c r="D167" s="160"/>
    </row>
    <row r="168" spans="4:4">
      <c r="D168" s="160"/>
    </row>
    <row r="169" spans="4:4">
      <c r="D169" s="160"/>
    </row>
    <row r="170" spans="4:4">
      <c r="D170" s="160"/>
    </row>
    <row r="171" spans="4:4">
      <c r="D171" s="160"/>
    </row>
    <row r="172" spans="4:4">
      <c r="D172" s="160"/>
    </row>
    <row r="173" spans="4:4">
      <c r="D173" s="160"/>
    </row>
    <row r="174" spans="4:4">
      <c r="D174" s="160"/>
    </row>
    <row r="175" spans="4:4">
      <c r="D175" s="160"/>
    </row>
    <row r="176" spans="4:4">
      <c r="D176" s="160"/>
    </row>
    <row r="177" spans="4:4">
      <c r="D177" s="160"/>
    </row>
    <row r="178" spans="4:4">
      <c r="D178" s="160"/>
    </row>
    <row r="179" spans="4:4">
      <c r="D179" s="160"/>
    </row>
    <row r="180" spans="4:4">
      <c r="D180" s="160"/>
    </row>
    <row r="181" spans="4:4">
      <c r="D181" s="160"/>
    </row>
    <row r="182" spans="4:4">
      <c r="D182" s="160"/>
    </row>
    <row r="183" spans="4:4">
      <c r="D183" s="160"/>
    </row>
    <row r="184" spans="4:4">
      <c r="D184" s="160"/>
    </row>
    <row r="185" spans="4:4">
      <c r="D185" s="160"/>
    </row>
    <row r="186" spans="4:4">
      <c r="D186" s="160"/>
    </row>
    <row r="187" spans="4:4">
      <c r="D187" s="160"/>
    </row>
    <row r="188" spans="4:4">
      <c r="D188" s="160"/>
    </row>
    <row r="189" spans="4:4">
      <c r="D189" s="160"/>
    </row>
    <row r="190" spans="4:4">
      <c r="D190" s="160"/>
    </row>
    <row r="191" spans="4:4">
      <c r="D191" s="160"/>
    </row>
    <row r="192" spans="4:4">
      <c r="D192" s="160"/>
    </row>
    <row r="193" spans="4:4">
      <c r="D193" s="160"/>
    </row>
    <row r="194" spans="4:4">
      <c r="D194" s="160"/>
    </row>
    <row r="195" spans="4:4">
      <c r="D195" s="160"/>
    </row>
    <row r="196" spans="4:4">
      <c r="D196" s="160"/>
    </row>
    <row r="197" spans="4:4">
      <c r="D197" s="160"/>
    </row>
    <row r="198" spans="4:4">
      <c r="D198" s="160"/>
    </row>
    <row r="199" spans="4:4">
      <c r="D199" s="160"/>
    </row>
    <row r="200" spans="4:4">
      <c r="D200" s="160"/>
    </row>
    <row r="201" spans="4:4">
      <c r="D201" s="160"/>
    </row>
    <row r="202" spans="4:4">
      <c r="D202" s="160"/>
    </row>
    <row r="203" spans="4:4">
      <c r="D203" s="160"/>
    </row>
    <row r="204" spans="4:4">
      <c r="D204" s="160"/>
    </row>
    <row r="205" spans="4:4">
      <c r="D205" s="160"/>
    </row>
    <row r="206" spans="4:4">
      <c r="D206" s="160"/>
    </row>
    <row r="207" spans="4:4">
      <c r="D207" s="160"/>
    </row>
    <row r="208" spans="4:4">
      <c r="D208" s="160"/>
    </row>
    <row r="209" spans="4:4">
      <c r="D209" s="160"/>
    </row>
    <row r="210" spans="4:4">
      <c r="D210" s="160"/>
    </row>
    <row r="211" spans="4:4">
      <c r="D211" s="160"/>
    </row>
    <row r="212" spans="4:4">
      <c r="D212" s="160"/>
    </row>
    <row r="213" spans="4:4">
      <c r="D213" s="160"/>
    </row>
    <row r="214" spans="4:4">
      <c r="D214" s="160"/>
    </row>
    <row r="215" spans="4:4">
      <c r="D215" s="160"/>
    </row>
    <row r="216" spans="4:4">
      <c r="D216" s="160"/>
    </row>
    <row r="217" spans="4:4">
      <c r="D217" s="160"/>
    </row>
    <row r="218" spans="4:4">
      <c r="D218" s="160"/>
    </row>
    <row r="219" spans="4:4">
      <c r="D219" s="160"/>
    </row>
    <row r="220" spans="4:4">
      <c r="D220" s="160"/>
    </row>
    <row r="221" spans="4:4">
      <c r="D221" s="160"/>
    </row>
    <row r="222" spans="4:4">
      <c r="D222" s="160"/>
    </row>
    <row r="223" spans="4:4">
      <c r="D223" s="160"/>
    </row>
    <row r="224" spans="4:4">
      <c r="D224" s="160"/>
    </row>
    <row r="225" spans="4:4">
      <c r="D225" s="160"/>
    </row>
    <row r="226" spans="4:4">
      <c r="D226" s="160"/>
    </row>
    <row r="227" spans="4:4">
      <c r="D227" s="160"/>
    </row>
    <row r="228" spans="4:4">
      <c r="D228" s="160"/>
    </row>
    <row r="229" spans="4:4">
      <c r="D229" s="160"/>
    </row>
    <row r="230" spans="4:4">
      <c r="D230" s="160"/>
    </row>
    <row r="231" spans="4:4">
      <c r="D231" s="160"/>
    </row>
    <row r="232" spans="4:4">
      <c r="D232" s="160"/>
    </row>
    <row r="233" spans="4:4">
      <c r="D233" s="160"/>
    </row>
    <row r="234" spans="4:4">
      <c r="D234" s="160"/>
    </row>
    <row r="235" spans="4:4">
      <c r="D235" s="160"/>
    </row>
    <row r="236" spans="4:4">
      <c r="D236" s="160"/>
    </row>
    <row r="237" spans="4:4">
      <c r="D237" s="160"/>
    </row>
    <row r="238" spans="4:4">
      <c r="D238" s="160"/>
    </row>
    <row r="239" spans="4:4">
      <c r="D239" s="160"/>
    </row>
    <row r="240" spans="4:4">
      <c r="D240" s="160"/>
    </row>
    <row r="241" spans="4:4">
      <c r="D241" s="160"/>
    </row>
    <row r="242" spans="4:4">
      <c r="D242" s="160"/>
    </row>
    <row r="243" spans="4:4">
      <c r="D243" s="160"/>
    </row>
    <row r="244" spans="4:4">
      <c r="D244" s="160"/>
    </row>
    <row r="245" spans="4:4">
      <c r="D245" s="160"/>
    </row>
    <row r="246" spans="4:4">
      <c r="D246" s="160"/>
    </row>
    <row r="247" spans="4:4">
      <c r="D247" s="160"/>
    </row>
    <row r="248" spans="4:4">
      <c r="D248" s="160"/>
    </row>
    <row r="249" spans="4:4">
      <c r="D249" s="160"/>
    </row>
    <row r="250" spans="4:4">
      <c r="D250" s="160"/>
    </row>
    <row r="251" spans="4:4">
      <c r="D251" s="160"/>
    </row>
    <row r="252" spans="4:4">
      <c r="D252" s="160"/>
    </row>
    <row r="253" spans="4:4">
      <c r="D253" s="160"/>
    </row>
    <row r="254" spans="4:4">
      <c r="D254" s="160"/>
    </row>
    <row r="255" spans="4:4">
      <c r="D255" s="160"/>
    </row>
    <row r="256" spans="4:4">
      <c r="D256" s="160"/>
    </row>
    <row r="257" spans="4:4">
      <c r="D257" s="160"/>
    </row>
    <row r="258" spans="4:4">
      <c r="D258" s="160"/>
    </row>
    <row r="259" spans="4:4">
      <c r="D259" s="160"/>
    </row>
    <row r="260" spans="4:4">
      <c r="D260" s="160"/>
    </row>
    <row r="261" spans="4:4">
      <c r="D261" s="160"/>
    </row>
    <row r="262" spans="4:4">
      <c r="D262" s="160"/>
    </row>
    <row r="263" spans="4:4">
      <c r="D263" s="160"/>
    </row>
    <row r="264" spans="4:4">
      <c r="D264" s="160"/>
    </row>
    <row r="265" spans="4:4">
      <c r="D265" s="160"/>
    </row>
    <row r="266" spans="4:4">
      <c r="D266" s="160"/>
    </row>
    <row r="267" spans="4:4">
      <c r="D267" s="160"/>
    </row>
    <row r="268" spans="4:4">
      <c r="D268" s="160"/>
    </row>
    <row r="269" spans="4:4">
      <c r="D269" s="160"/>
    </row>
    <row r="270" spans="4:4">
      <c r="D270" s="160"/>
    </row>
    <row r="271" spans="4:4">
      <c r="D271" s="160"/>
    </row>
    <row r="272" spans="4:4">
      <c r="D272" s="160"/>
    </row>
    <row r="273" spans="4:4">
      <c r="D273" s="160"/>
    </row>
    <row r="274" spans="4:4">
      <c r="D274" s="160"/>
    </row>
    <row r="275" spans="4:4">
      <c r="D275" s="160"/>
    </row>
    <row r="276" spans="4:4">
      <c r="D276" s="160"/>
    </row>
    <row r="277" spans="4:4">
      <c r="D277" s="160"/>
    </row>
    <row r="278" spans="4:4">
      <c r="D278" s="160"/>
    </row>
    <row r="279" spans="4:4">
      <c r="D279" s="160"/>
    </row>
    <row r="280" spans="4:4">
      <c r="D280" s="160"/>
    </row>
    <row r="281" spans="4:4">
      <c r="D281" s="160"/>
    </row>
    <row r="282" spans="4:4">
      <c r="D282" s="160"/>
    </row>
    <row r="283" spans="4:4">
      <c r="D283" s="160"/>
    </row>
    <row r="284" spans="4:4">
      <c r="D284" s="160"/>
    </row>
    <row r="285" spans="4:4">
      <c r="D285" s="160"/>
    </row>
    <row r="286" spans="4:4">
      <c r="D286" s="160"/>
    </row>
    <row r="287" spans="4:4">
      <c r="D287" s="160"/>
    </row>
    <row r="288" spans="4:4">
      <c r="D288" s="160"/>
    </row>
    <row r="289" spans="4:4">
      <c r="D289" s="160"/>
    </row>
    <row r="290" spans="4:4">
      <c r="D290" s="160"/>
    </row>
    <row r="291" spans="4:4">
      <c r="D291" s="160"/>
    </row>
    <row r="292" spans="4:4">
      <c r="D292" s="160"/>
    </row>
    <row r="293" spans="4:4">
      <c r="D293" s="160"/>
    </row>
    <row r="294" spans="4:4">
      <c r="D294" s="160"/>
    </row>
    <row r="295" spans="4:4">
      <c r="D295" s="160"/>
    </row>
    <row r="296" spans="4:4">
      <c r="D296" s="160"/>
    </row>
    <row r="297" spans="4:4">
      <c r="D297" s="160"/>
    </row>
    <row r="298" spans="4:4">
      <c r="D298" s="160"/>
    </row>
    <row r="299" spans="4:4">
      <c r="D299" s="160"/>
    </row>
    <row r="300" spans="4:4">
      <c r="D300" s="160"/>
    </row>
    <row r="301" spans="4:4">
      <c r="D301" s="160"/>
    </row>
    <row r="302" spans="4:4">
      <c r="D302" s="160"/>
    </row>
    <row r="303" spans="4:4">
      <c r="D303" s="160"/>
    </row>
    <row r="304" spans="4:4">
      <c r="D304" s="160"/>
    </row>
    <row r="305" spans="4:4">
      <c r="D305" s="160"/>
    </row>
    <row r="306" spans="4:4">
      <c r="D306" s="160"/>
    </row>
    <row r="307" spans="4:4">
      <c r="D307" s="160"/>
    </row>
    <row r="308" spans="4:4">
      <c r="D308" s="160"/>
    </row>
    <row r="309" spans="4:4">
      <c r="D309" s="160"/>
    </row>
    <row r="310" spans="4:4">
      <c r="D310" s="160"/>
    </row>
    <row r="311" spans="4:4">
      <c r="D311" s="160"/>
    </row>
    <row r="312" spans="4:4">
      <c r="D312" s="160"/>
    </row>
    <row r="313" spans="4:4">
      <c r="D313" s="160"/>
    </row>
    <row r="314" spans="4:4">
      <c r="D314" s="160"/>
    </row>
    <row r="315" spans="4:4">
      <c r="D315" s="160"/>
    </row>
    <row r="316" spans="4:4">
      <c r="D316" s="160"/>
    </row>
    <row r="317" spans="4:4">
      <c r="D317" s="160"/>
    </row>
    <row r="318" spans="4:4">
      <c r="D318" s="160"/>
    </row>
    <row r="319" spans="4:4">
      <c r="D319" s="160"/>
    </row>
    <row r="320" spans="4:4">
      <c r="D320" s="160"/>
    </row>
    <row r="321" spans="4:4">
      <c r="D321" s="160"/>
    </row>
    <row r="322" spans="4:4">
      <c r="D322" s="160"/>
    </row>
    <row r="323" spans="4:4">
      <c r="D323" s="160"/>
    </row>
    <row r="324" spans="4:4">
      <c r="D324" s="160"/>
    </row>
    <row r="325" spans="4:4">
      <c r="D325" s="160"/>
    </row>
    <row r="326" spans="4:4">
      <c r="D326" s="160"/>
    </row>
    <row r="327" spans="4:4">
      <c r="D327" s="160"/>
    </row>
    <row r="328" spans="4:4">
      <c r="D328" s="160"/>
    </row>
    <row r="329" spans="4:4">
      <c r="D329" s="160"/>
    </row>
    <row r="330" spans="4:4">
      <c r="D330" s="160"/>
    </row>
    <row r="331" spans="4:4">
      <c r="D331" s="160"/>
    </row>
    <row r="332" spans="4:4">
      <c r="D332" s="160"/>
    </row>
    <row r="333" spans="4:4">
      <c r="D333" s="160"/>
    </row>
    <row r="334" spans="4:4">
      <c r="D334" s="160"/>
    </row>
    <row r="335" spans="4:4">
      <c r="D335" s="160"/>
    </row>
    <row r="336" spans="4:4">
      <c r="D336" s="160"/>
    </row>
    <row r="337" spans="4:4">
      <c r="D337" s="160"/>
    </row>
    <row r="338" spans="4:4">
      <c r="D338" s="160"/>
    </row>
    <row r="339" spans="4:4">
      <c r="D339" s="160"/>
    </row>
    <row r="340" spans="4:4">
      <c r="D340" s="160"/>
    </row>
    <row r="341" spans="4:4">
      <c r="D341" s="160"/>
    </row>
    <row r="342" spans="4:4">
      <c r="D342" s="160"/>
    </row>
    <row r="343" spans="4:4">
      <c r="D343" s="160"/>
    </row>
    <row r="344" spans="4:4">
      <c r="D344" s="160"/>
    </row>
    <row r="345" spans="4:4">
      <c r="D345" s="160"/>
    </row>
    <row r="346" spans="4:4">
      <c r="D346" s="160"/>
    </row>
    <row r="347" spans="4:4">
      <c r="D347" s="160"/>
    </row>
    <row r="348" spans="4:4">
      <c r="D348" s="160"/>
    </row>
    <row r="349" spans="4:4">
      <c r="D349" s="160"/>
    </row>
    <row r="350" spans="4:4">
      <c r="D350" s="160"/>
    </row>
    <row r="351" spans="4:4">
      <c r="D351" s="160"/>
    </row>
    <row r="352" spans="4:4">
      <c r="D352" s="160"/>
    </row>
    <row r="353" spans="4:4">
      <c r="D353" s="160"/>
    </row>
    <row r="354" spans="4:4">
      <c r="D354" s="160"/>
    </row>
    <row r="355" spans="4:4">
      <c r="D355" s="160"/>
    </row>
    <row r="356" spans="4:4">
      <c r="D356" s="160"/>
    </row>
    <row r="357" spans="4:4">
      <c r="D357" s="160"/>
    </row>
    <row r="358" spans="4:4">
      <c r="D358" s="160"/>
    </row>
    <row r="359" spans="4:4">
      <c r="D359" s="160"/>
    </row>
    <row r="360" spans="4:4">
      <c r="D360" s="160"/>
    </row>
    <row r="361" spans="4:4">
      <c r="D361" s="160"/>
    </row>
    <row r="362" spans="4:4">
      <c r="D362" s="160"/>
    </row>
    <row r="363" spans="4:4">
      <c r="D363" s="160"/>
    </row>
    <row r="364" spans="4:4">
      <c r="D364" s="160"/>
    </row>
    <row r="365" spans="4:4">
      <c r="D365" s="160"/>
    </row>
    <row r="366" spans="4:4">
      <c r="D366" s="160"/>
    </row>
    <row r="367" spans="4:4">
      <c r="D367" s="160"/>
    </row>
    <row r="368" spans="4:4">
      <c r="D368" s="160"/>
    </row>
    <row r="369" spans="4:4">
      <c r="D369" s="160"/>
    </row>
    <row r="370" spans="4:4">
      <c r="D370" s="160"/>
    </row>
    <row r="371" spans="4:4">
      <c r="D371" s="160"/>
    </row>
    <row r="372" spans="4:4">
      <c r="D372" s="160"/>
    </row>
    <row r="373" spans="4:4">
      <c r="D373" s="160"/>
    </row>
    <row r="374" spans="4:4">
      <c r="D374" s="160"/>
    </row>
    <row r="375" spans="4:4">
      <c r="D375" s="160"/>
    </row>
    <row r="376" spans="4:4">
      <c r="D376" s="160"/>
    </row>
    <row r="377" spans="4:4">
      <c r="D377" s="160"/>
    </row>
    <row r="378" spans="4:4">
      <c r="D378" s="160"/>
    </row>
    <row r="379" spans="4:4">
      <c r="D379" s="160"/>
    </row>
    <row r="380" spans="4:4">
      <c r="D380" s="160"/>
    </row>
    <row r="381" spans="4:4">
      <c r="D381" s="160"/>
    </row>
    <row r="382" spans="4:4">
      <c r="D382" s="160"/>
    </row>
    <row r="383" spans="4:4">
      <c r="D383" s="160"/>
    </row>
    <row r="384" spans="4:4">
      <c r="D384" s="160"/>
    </row>
    <row r="385" spans="4:4">
      <c r="D385" s="160"/>
    </row>
    <row r="386" spans="4:4">
      <c r="D386" s="160"/>
    </row>
    <row r="387" spans="4:4">
      <c r="D387" s="160"/>
    </row>
    <row r="388" spans="4:4">
      <c r="D388" s="160"/>
    </row>
    <row r="389" spans="4:4">
      <c r="D389" s="160"/>
    </row>
    <row r="390" spans="4:4">
      <c r="D390" s="160"/>
    </row>
    <row r="391" spans="4:4">
      <c r="D391" s="160"/>
    </row>
    <row r="392" spans="4:4">
      <c r="D392" s="160"/>
    </row>
    <row r="393" spans="4:4">
      <c r="D393" s="160"/>
    </row>
    <row r="394" spans="4:4">
      <c r="D394" s="160"/>
    </row>
    <row r="395" spans="4:4">
      <c r="D395" s="160"/>
    </row>
    <row r="396" spans="4:4">
      <c r="D396" s="160"/>
    </row>
    <row r="397" spans="4:4">
      <c r="D397" s="160"/>
    </row>
    <row r="398" spans="4:4">
      <c r="D398" s="160"/>
    </row>
    <row r="399" spans="4:4">
      <c r="D399" s="160"/>
    </row>
    <row r="400" spans="4:4">
      <c r="D400" s="160"/>
    </row>
    <row r="401" spans="4:4">
      <c r="D401" s="160"/>
    </row>
    <row r="402" spans="4:4">
      <c r="D402" s="160"/>
    </row>
    <row r="403" spans="4:4">
      <c r="D403" s="160"/>
    </row>
    <row r="404" spans="4:4">
      <c r="D404" s="160"/>
    </row>
    <row r="405" spans="4:4">
      <c r="D405" s="160"/>
    </row>
    <row r="406" spans="4:4">
      <c r="D406" s="160"/>
    </row>
    <row r="407" spans="4:4">
      <c r="D407" s="160"/>
    </row>
    <row r="408" spans="4:4">
      <c r="D408" s="160"/>
    </row>
    <row r="409" spans="4:4">
      <c r="D409" s="160"/>
    </row>
    <row r="410" spans="4:4">
      <c r="D410" s="160"/>
    </row>
    <row r="411" spans="4:4">
      <c r="D411" s="160"/>
    </row>
    <row r="412" spans="4:4">
      <c r="D412" s="160"/>
    </row>
    <row r="413" spans="4:4">
      <c r="D413" s="160"/>
    </row>
    <row r="414" spans="4:4">
      <c r="D414" s="160"/>
    </row>
    <row r="415" spans="4:4">
      <c r="D415" s="160"/>
    </row>
    <row r="416" spans="4:4">
      <c r="D416" s="160"/>
    </row>
    <row r="417" spans="4:4">
      <c r="D417" s="160"/>
    </row>
    <row r="418" spans="4:4">
      <c r="D418" s="160"/>
    </row>
    <row r="419" spans="4:4">
      <c r="D419" s="160"/>
    </row>
    <row r="420" spans="4:4">
      <c r="D420" s="160"/>
    </row>
    <row r="421" spans="4:4">
      <c r="D421" s="160"/>
    </row>
    <row r="422" spans="4:4">
      <c r="D422" s="160"/>
    </row>
    <row r="423" spans="4:4">
      <c r="D423" s="160"/>
    </row>
    <row r="424" spans="4:4">
      <c r="D424" s="160"/>
    </row>
    <row r="425" spans="4:4">
      <c r="D425" s="160"/>
    </row>
    <row r="426" spans="4:4">
      <c r="D426" s="160"/>
    </row>
    <row r="427" spans="4:4">
      <c r="D427" s="160"/>
    </row>
    <row r="428" spans="4:4">
      <c r="D428" s="160"/>
    </row>
    <row r="429" spans="4:4">
      <c r="D429" s="160"/>
    </row>
    <row r="430" spans="4:4">
      <c r="D430" s="160"/>
    </row>
    <row r="431" spans="4:4">
      <c r="D431" s="160"/>
    </row>
    <row r="432" spans="4:4">
      <c r="D432" s="160"/>
    </row>
    <row r="433" spans="4:4">
      <c r="D433" s="160"/>
    </row>
    <row r="434" spans="4:4">
      <c r="D434" s="160"/>
    </row>
    <row r="435" spans="4:4">
      <c r="D435" s="160"/>
    </row>
    <row r="436" spans="4:4">
      <c r="D436" s="160"/>
    </row>
    <row r="437" spans="4:4">
      <c r="D437" s="160"/>
    </row>
    <row r="438" spans="4:4">
      <c r="D438" s="160"/>
    </row>
    <row r="439" spans="4:4">
      <c r="D439" s="160"/>
    </row>
    <row r="440" spans="4:4">
      <c r="D440" s="160"/>
    </row>
    <row r="441" spans="4:4">
      <c r="D441" s="160"/>
    </row>
    <row r="442" spans="4:4">
      <c r="D442" s="160"/>
    </row>
    <row r="443" spans="4:4">
      <c r="D443" s="160"/>
    </row>
    <row r="444" spans="4:4">
      <c r="D444" s="160"/>
    </row>
    <row r="445" spans="4:4">
      <c r="D445" s="160"/>
    </row>
    <row r="446" spans="4:4">
      <c r="D446" s="160"/>
    </row>
    <row r="447" spans="4:4">
      <c r="D447" s="160"/>
    </row>
    <row r="448" spans="4:4">
      <c r="D448" s="160"/>
    </row>
    <row r="449" spans="4:4">
      <c r="D449" s="160"/>
    </row>
    <row r="450" spans="4:4">
      <c r="D450" s="160"/>
    </row>
    <row r="451" spans="4:4">
      <c r="D451" s="160"/>
    </row>
    <row r="452" spans="4:4">
      <c r="D452" s="160"/>
    </row>
    <row r="453" spans="4:4">
      <c r="D453" s="160"/>
    </row>
    <row r="454" spans="4:4">
      <c r="D454" s="160"/>
    </row>
    <row r="455" spans="4:4">
      <c r="D455" s="160"/>
    </row>
    <row r="456" spans="4:4">
      <c r="D456" s="160"/>
    </row>
    <row r="457" spans="4:4">
      <c r="D457" s="160"/>
    </row>
    <row r="458" spans="4:4">
      <c r="D458" s="160"/>
    </row>
    <row r="459" spans="4:4">
      <c r="D459" s="160"/>
    </row>
    <row r="460" spans="4:4">
      <c r="D460" s="160"/>
    </row>
    <row r="461" spans="4:4">
      <c r="D461" s="160"/>
    </row>
    <row r="462" spans="4:4">
      <c r="D462" s="160"/>
    </row>
    <row r="463" spans="4:4">
      <c r="D463" s="160"/>
    </row>
    <row r="464" spans="4:4">
      <c r="D464" s="160"/>
    </row>
    <row r="465" spans="4:4">
      <c r="D465" s="160"/>
    </row>
    <row r="466" spans="4:4">
      <c r="D466" s="160"/>
    </row>
    <row r="467" spans="4:4">
      <c r="D467" s="160"/>
    </row>
    <row r="468" spans="4:4">
      <c r="D468" s="160"/>
    </row>
    <row r="469" spans="4:4">
      <c r="D469" s="160"/>
    </row>
    <row r="470" spans="4:4">
      <c r="D470" s="160"/>
    </row>
    <row r="471" spans="4:4">
      <c r="D471" s="160"/>
    </row>
    <row r="472" spans="4:4">
      <c r="D472" s="160"/>
    </row>
    <row r="473" spans="4:4">
      <c r="D473" s="160"/>
    </row>
    <row r="474" spans="4:4">
      <c r="D474" s="160"/>
    </row>
    <row r="475" spans="4:4">
      <c r="D475" s="160"/>
    </row>
    <row r="476" spans="4:4">
      <c r="D476" s="160"/>
    </row>
    <row r="477" spans="4:4">
      <c r="D477" s="160"/>
    </row>
    <row r="478" spans="4:4">
      <c r="D478" s="160"/>
    </row>
    <row r="479" spans="4:4">
      <c r="D479" s="160"/>
    </row>
    <row r="480" spans="4:4">
      <c r="D480" s="160"/>
    </row>
    <row r="481" spans="4:4">
      <c r="D481" s="160"/>
    </row>
    <row r="482" spans="4:4">
      <c r="D482" s="160"/>
    </row>
    <row r="483" spans="4:4">
      <c r="D483" s="160"/>
    </row>
    <row r="484" spans="4:4">
      <c r="D484" s="160"/>
    </row>
    <row r="485" spans="4:4">
      <c r="D485" s="160"/>
    </row>
    <row r="486" spans="4:4">
      <c r="D486" s="160"/>
    </row>
    <row r="487" spans="4:4">
      <c r="D487" s="160"/>
    </row>
    <row r="488" spans="4:4">
      <c r="D488" s="160"/>
    </row>
    <row r="489" spans="4:4">
      <c r="D489" s="160"/>
    </row>
    <row r="490" spans="4:4">
      <c r="D490" s="160"/>
    </row>
    <row r="491" spans="4:4">
      <c r="D491" s="160"/>
    </row>
    <row r="492" spans="4:4">
      <c r="D492" s="160"/>
    </row>
    <row r="493" spans="4:4">
      <c r="D493" s="160"/>
    </row>
    <row r="494" spans="4:4">
      <c r="D494" s="160"/>
    </row>
    <row r="495" spans="4:4">
      <c r="D495" s="160"/>
    </row>
    <row r="496" spans="4:4">
      <c r="D496" s="160"/>
    </row>
    <row r="497" spans="4:4">
      <c r="D497" s="160"/>
    </row>
    <row r="498" spans="4:4">
      <c r="D498" s="160"/>
    </row>
    <row r="499" spans="4:4">
      <c r="D499" s="160"/>
    </row>
    <row r="500" spans="4:4">
      <c r="D500" s="160"/>
    </row>
    <row r="501" spans="4:4">
      <c r="D501" s="160"/>
    </row>
    <row r="502" spans="4:4">
      <c r="D502" s="160"/>
    </row>
    <row r="503" spans="4:4">
      <c r="D503" s="160"/>
    </row>
    <row r="504" spans="4:4">
      <c r="D504" s="160"/>
    </row>
    <row r="505" spans="4:4">
      <c r="D505" s="160"/>
    </row>
    <row r="506" spans="4:4">
      <c r="D506" s="160"/>
    </row>
    <row r="507" spans="4:4">
      <c r="D507" s="160"/>
    </row>
    <row r="508" spans="4:4">
      <c r="D508" s="160"/>
    </row>
    <row r="509" spans="4:4">
      <c r="D509" s="160"/>
    </row>
    <row r="510" spans="4:4">
      <c r="D510" s="160"/>
    </row>
    <row r="511" spans="4:4">
      <c r="D511" s="160"/>
    </row>
    <row r="512" spans="4:4">
      <c r="D512" s="160"/>
    </row>
    <row r="513" spans="4:4">
      <c r="D513" s="160"/>
    </row>
    <row r="514" spans="4:4">
      <c r="D514" s="160"/>
    </row>
    <row r="515" spans="4:4">
      <c r="D515" s="160"/>
    </row>
    <row r="516" spans="4:4">
      <c r="D516" s="160"/>
    </row>
    <row r="517" spans="4:4">
      <c r="D517" s="160"/>
    </row>
    <row r="518" spans="4:4">
      <c r="D518" s="160"/>
    </row>
    <row r="519" spans="4:4">
      <c r="D519" s="160"/>
    </row>
    <row r="520" spans="4:4">
      <c r="D520" s="160"/>
    </row>
    <row r="521" spans="4:4">
      <c r="D521" s="160"/>
    </row>
    <row r="522" spans="4:4">
      <c r="D522" s="160"/>
    </row>
    <row r="523" spans="4:4">
      <c r="D523" s="160"/>
    </row>
    <row r="524" spans="4:4">
      <c r="D524" s="160"/>
    </row>
    <row r="525" spans="4:4">
      <c r="D525" s="160"/>
    </row>
    <row r="526" spans="4:4">
      <c r="D526" s="160"/>
    </row>
    <row r="527" spans="4:4">
      <c r="D527" s="160"/>
    </row>
    <row r="528" spans="4:4">
      <c r="D528" s="160"/>
    </row>
    <row r="529" spans="4:4">
      <c r="D529" s="160"/>
    </row>
    <row r="530" spans="4:4">
      <c r="D530" s="160"/>
    </row>
    <row r="531" spans="4:4">
      <c r="D531" s="160"/>
    </row>
    <row r="532" spans="4:4">
      <c r="D532" s="160"/>
    </row>
    <row r="533" spans="4:4">
      <c r="D533" s="160"/>
    </row>
    <row r="534" spans="4:4">
      <c r="D534" s="160"/>
    </row>
    <row r="535" spans="4:4">
      <c r="D535" s="160"/>
    </row>
    <row r="536" spans="4:4">
      <c r="D536" s="160"/>
    </row>
    <row r="537" spans="4:4">
      <c r="D537" s="160"/>
    </row>
    <row r="538" spans="4:4">
      <c r="D538" s="160"/>
    </row>
    <row r="539" spans="4:4">
      <c r="D539" s="160"/>
    </row>
    <row r="540" spans="4:4">
      <c r="D540" s="160"/>
    </row>
    <row r="541" spans="4:4">
      <c r="D541" s="160"/>
    </row>
    <row r="542" spans="4:4">
      <c r="D542" s="160"/>
    </row>
    <row r="543" spans="4:4">
      <c r="D543" s="160"/>
    </row>
    <row r="544" spans="4:4">
      <c r="D544" s="160"/>
    </row>
    <row r="545" spans="4:4">
      <c r="D545" s="160"/>
    </row>
    <row r="546" spans="4:4">
      <c r="D546" s="160"/>
    </row>
    <row r="547" spans="4:4">
      <c r="D547" s="160"/>
    </row>
    <row r="548" spans="4:4">
      <c r="D548" s="160"/>
    </row>
    <row r="549" spans="4:4">
      <c r="D549" s="160"/>
    </row>
    <row r="550" spans="4:4">
      <c r="D550" s="160"/>
    </row>
    <row r="551" spans="4:4">
      <c r="D551" s="160"/>
    </row>
    <row r="552" spans="4:4">
      <c r="D552" s="160"/>
    </row>
    <row r="553" spans="4:4">
      <c r="D553" s="160"/>
    </row>
    <row r="554" spans="4:4">
      <c r="D554" s="160"/>
    </row>
    <row r="555" spans="4:4">
      <c r="D555" s="160"/>
    </row>
    <row r="556" spans="4:4">
      <c r="D556" s="160"/>
    </row>
    <row r="557" spans="4:4">
      <c r="D557" s="160"/>
    </row>
    <row r="558" spans="4:4">
      <c r="D558" s="160"/>
    </row>
    <row r="559" spans="4:4">
      <c r="D559" s="160"/>
    </row>
    <row r="560" spans="4:4">
      <c r="D560" s="160"/>
    </row>
    <row r="561" spans="4:4">
      <c r="D561" s="160"/>
    </row>
    <row r="562" spans="4:4">
      <c r="D562" s="160"/>
    </row>
    <row r="563" spans="4:4">
      <c r="D563" s="160"/>
    </row>
    <row r="564" spans="4:4">
      <c r="D564" s="160"/>
    </row>
    <row r="565" spans="4:4">
      <c r="D565" s="160"/>
    </row>
    <row r="566" spans="4:4">
      <c r="D566" s="160"/>
    </row>
    <row r="567" spans="4:4">
      <c r="D567" s="160"/>
    </row>
    <row r="568" spans="4:4">
      <c r="D568" s="160"/>
    </row>
    <row r="569" spans="4:4">
      <c r="D569" s="160"/>
    </row>
    <row r="570" spans="4:4">
      <c r="D570" s="160"/>
    </row>
    <row r="571" spans="4:4">
      <c r="D571" s="160"/>
    </row>
    <row r="572" spans="4:4">
      <c r="D572" s="160"/>
    </row>
    <row r="573" spans="4:4">
      <c r="D573" s="160"/>
    </row>
    <row r="574" spans="4:4">
      <c r="D574" s="160"/>
    </row>
    <row r="575" spans="4:4">
      <c r="D575" s="160"/>
    </row>
    <row r="576" spans="4:4">
      <c r="D576" s="160"/>
    </row>
    <row r="577" spans="4:4">
      <c r="D577" s="160"/>
    </row>
    <row r="578" spans="4:4">
      <c r="D578" s="160"/>
    </row>
    <row r="579" spans="4:4">
      <c r="D579" s="160"/>
    </row>
    <row r="580" spans="4:4">
      <c r="D580" s="160"/>
    </row>
    <row r="581" spans="4:4">
      <c r="D581" s="160"/>
    </row>
    <row r="582" spans="4:4">
      <c r="D582" s="160"/>
    </row>
    <row r="583" spans="4:4">
      <c r="D583" s="160"/>
    </row>
    <row r="584" spans="4:4">
      <c r="D584" s="160"/>
    </row>
    <row r="585" spans="4:4">
      <c r="D585" s="160"/>
    </row>
    <row r="586" spans="4:4">
      <c r="D586" s="160"/>
    </row>
    <row r="587" spans="4:4">
      <c r="D587" s="160"/>
    </row>
    <row r="588" spans="4:4">
      <c r="D588" s="160"/>
    </row>
    <row r="589" spans="4:4">
      <c r="D589" s="160"/>
    </row>
    <row r="590" spans="4:4">
      <c r="D590" s="160"/>
    </row>
    <row r="591" spans="4:4">
      <c r="D591" s="160"/>
    </row>
    <row r="592" spans="4:4">
      <c r="D592" s="160"/>
    </row>
    <row r="593" spans="4:4">
      <c r="D593" s="160"/>
    </row>
    <row r="594" spans="4:4">
      <c r="D594" s="160"/>
    </row>
    <row r="595" spans="4:4">
      <c r="D595" s="160"/>
    </row>
    <row r="596" spans="4:4">
      <c r="D596" s="160"/>
    </row>
    <row r="597" spans="4:4">
      <c r="D597" s="160"/>
    </row>
    <row r="598" spans="4:4">
      <c r="D598" s="160"/>
    </row>
    <row r="599" spans="4:4">
      <c r="D599" s="160"/>
    </row>
    <row r="600" spans="4:4">
      <c r="D600" s="160"/>
    </row>
    <row r="601" spans="4:4">
      <c r="D601" s="160"/>
    </row>
    <row r="602" spans="4:4">
      <c r="D602" s="160"/>
    </row>
    <row r="603" spans="4:4">
      <c r="D603" s="160"/>
    </row>
    <row r="604" spans="4:4">
      <c r="D604" s="160"/>
    </row>
    <row r="605" spans="4:4">
      <c r="D605" s="160"/>
    </row>
    <row r="606" spans="4:4">
      <c r="D606" s="160"/>
    </row>
    <row r="607" spans="4:4">
      <c r="D607" s="160"/>
    </row>
    <row r="608" spans="4:4">
      <c r="D608" s="160"/>
    </row>
    <row r="609" spans="4:4">
      <c r="D609" s="160"/>
    </row>
    <row r="610" spans="4:4">
      <c r="D610" s="160"/>
    </row>
    <row r="611" spans="4:4">
      <c r="D611" s="160"/>
    </row>
    <row r="612" spans="4:4">
      <c r="D612" s="160"/>
    </row>
    <row r="613" spans="4:4">
      <c r="D613" s="160"/>
    </row>
    <row r="614" spans="4:4">
      <c r="D614" s="160"/>
    </row>
    <row r="615" spans="4:4">
      <c r="D615" s="160"/>
    </row>
    <row r="616" spans="4:4">
      <c r="D616" s="160"/>
    </row>
    <row r="617" spans="4:4">
      <c r="D617" s="160"/>
    </row>
    <row r="618" spans="4:4">
      <c r="D618" s="160"/>
    </row>
    <row r="619" spans="4:4">
      <c r="D619" s="160"/>
    </row>
    <row r="620" spans="4:4">
      <c r="D620" s="160"/>
    </row>
    <row r="621" spans="4:4">
      <c r="D621" s="160"/>
    </row>
    <row r="622" spans="4:4">
      <c r="D622" s="160"/>
    </row>
    <row r="623" spans="4:4">
      <c r="D623" s="160"/>
    </row>
    <row r="624" spans="4:4">
      <c r="D624" s="160"/>
    </row>
    <row r="625" spans="4:4">
      <c r="D625" s="160"/>
    </row>
    <row r="626" spans="4:4">
      <c r="D626" s="160"/>
    </row>
    <row r="627" spans="4:4">
      <c r="D627" s="160"/>
    </row>
    <row r="628" spans="4:4">
      <c r="D628" s="160"/>
    </row>
    <row r="629" spans="4:4">
      <c r="D629" s="160"/>
    </row>
    <row r="630" spans="4:4">
      <c r="D630" s="160"/>
    </row>
    <row r="631" spans="4:4">
      <c r="D631" s="160"/>
    </row>
    <row r="632" spans="4:4">
      <c r="D632" s="160"/>
    </row>
    <row r="633" spans="4:4">
      <c r="D633" s="160"/>
    </row>
    <row r="634" spans="4:4">
      <c r="D634" s="160"/>
    </row>
    <row r="635" spans="4:4">
      <c r="D635" s="160"/>
    </row>
    <row r="636" spans="4:4">
      <c r="D636" s="160"/>
    </row>
    <row r="637" spans="4:4">
      <c r="D637" s="160"/>
    </row>
    <row r="638" spans="4:4">
      <c r="D638" s="160"/>
    </row>
    <row r="639" spans="4:4">
      <c r="D639" s="160"/>
    </row>
    <row r="640" spans="4:4">
      <c r="D640" s="160"/>
    </row>
    <row r="641" spans="4:4">
      <c r="D641" s="160"/>
    </row>
    <row r="642" spans="4:4">
      <c r="D642" s="160"/>
    </row>
    <row r="643" spans="4:4">
      <c r="D643" s="160"/>
    </row>
    <row r="644" spans="4:4">
      <c r="D644" s="160"/>
    </row>
    <row r="645" spans="4:4">
      <c r="D645" s="160"/>
    </row>
    <row r="646" spans="4:4">
      <c r="D646" s="160"/>
    </row>
    <row r="647" spans="4:4">
      <c r="D647" s="160"/>
    </row>
    <row r="648" spans="4:4">
      <c r="D648" s="160"/>
    </row>
    <row r="649" spans="4:4">
      <c r="D649" s="160"/>
    </row>
    <row r="650" spans="4:4">
      <c r="D650" s="160"/>
    </row>
    <row r="651" spans="4:4">
      <c r="D651" s="160"/>
    </row>
    <row r="652" spans="4:4">
      <c r="D652" s="160"/>
    </row>
    <row r="653" spans="4:4">
      <c r="D653" s="160"/>
    </row>
    <row r="654" spans="4:4">
      <c r="D654" s="160"/>
    </row>
    <row r="655" spans="4:4">
      <c r="D655" s="160"/>
    </row>
    <row r="656" spans="4:4">
      <c r="D656" s="160"/>
    </row>
    <row r="657" spans="4:4">
      <c r="D657" s="160"/>
    </row>
    <row r="658" spans="4:4">
      <c r="D658" s="160"/>
    </row>
    <row r="659" spans="4:4">
      <c r="D659" s="160"/>
    </row>
    <row r="660" spans="4:4">
      <c r="D660" s="160"/>
    </row>
    <row r="661" spans="4:4">
      <c r="D661" s="160"/>
    </row>
    <row r="662" spans="4:4">
      <c r="D662" s="160"/>
    </row>
    <row r="663" spans="4:4">
      <c r="D663" s="160"/>
    </row>
    <row r="664" spans="4:4">
      <c r="D664" s="160"/>
    </row>
    <row r="665" spans="4:4">
      <c r="D665" s="160"/>
    </row>
    <row r="666" spans="4:4">
      <c r="D666" s="160"/>
    </row>
  </sheetData>
  <sheetProtection formatColumns="0"/>
  <protectedRanges>
    <protectedRange sqref="E17:E27 E12:E15 F15 I15:K15 F26:I26" name="Tabela 3A_1"/>
    <protectedRange sqref="E37:E42 E62 E74" name="Tabela 3A_1_2"/>
  </protectedRanges>
  <mergeCells count="15">
    <mergeCell ref="C5:I5"/>
    <mergeCell ref="C6:I6"/>
    <mergeCell ref="I34:I35"/>
    <mergeCell ref="C10:D10"/>
    <mergeCell ref="B72:B73"/>
    <mergeCell ref="C72:D73"/>
    <mergeCell ref="C36:D36"/>
    <mergeCell ref="B60:B61"/>
    <mergeCell ref="C60:D61"/>
    <mergeCell ref="C62:D62"/>
    <mergeCell ref="C74:D74"/>
    <mergeCell ref="B8:B9"/>
    <mergeCell ref="C8:D9"/>
    <mergeCell ref="B34:B35"/>
    <mergeCell ref="C34:D35"/>
  </mergeCells>
  <phoneticPr fontId="0" type="noConversion"/>
  <hyperlinks>
    <hyperlink ref="C1" location="Spis!B3" display="&gt;&gt; powrót do spisu treści" xr:uid="{00000000-0004-0000-0200-000000000000}"/>
  </hyperlinks>
  <pageMargins left="0.74803149606299213" right="0.74803149606299213" top="0.51" bottom="0.83" header="0.51181102362204722" footer="0.51181102362204722"/>
  <pageSetup paperSize="9" scale="61" fitToHeight="0" orientation="landscape" r:id="rId1"/>
  <headerFooter alignWithMargins="0">
    <oddFooter>&amp;LModuł planu inwestycyjnego&amp;C&amp;P/&amp;N&amp;R&amp;A</oddFooter>
  </headerFooter>
  <rowBreaks count="1" manualBreakCount="1">
    <brk id="31" min="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5">
    <pageSetUpPr fitToPage="1"/>
  </sheetPr>
  <dimension ref="A1:K219"/>
  <sheetViews>
    <sheetView zoomScale="90" zoomScaleNormal="9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33"/>
      <c r="B1" s="47"/>
      <c r="C1" s="930" t="s">
        <v>9</v>
      </c>
      <c r="D1" s="48"/>
      <c r="E1" s="49"/>
      <c r="F1" s="49"/>
      <c r="G1" s="50"/>
      <c r="H1" s="51"/>
      <c r="I1" s="759"/>
      <c r="J1" s="759"/>
      <c r="K1" s="759"/>
    </row>
    <row r="2" spans="1:11" ht="9.9499999999999993" customHeight="1">
      <c r="A2" s="33"/>
      <c r="B2" s="51"/>
      <c r="C2" s="51"/>
      <c r="D2" s="51"/>
      <c r="E2" s="51"/>
      <c r="F2" s="51"/>
      <c r="G2" s="47"/>
      <c r="H2" s="47"/>
      <c r="I2" s="33"/>
      <c r="J2" s="33"/>
      <c r="K2" s="33"/>
    </row>
    <row r="3" spans="1:11" ht="15" customHeight="1">
      <c r="A3" s="33"/>
      <c r="B3" s="939" t="s">
        <v>13</v>
      </c>
      <c r="C3" s="1165" t="s">
        <v>186</v>
      </c>
      <c r="D3" s="1166"/>
      <c r="E3" s="1166"/>
      <c r="F3" s="1166"/>
      <c r="G3" s="1166"/>
      <c r="H3" s="1166"/>
      <c r="I3" s="33"/>
      <c r="J3" s="33"/>
      <c r="K3" s="33"/>
    </row>
    <row r="4" spans="1:11" ht="15" customHeight="1">
      <c r="A4" s="33"/>
      <c r="B4" s="939" t="s">
        <v>27</v>
      </c>
      <c r="C4" s="1165" t="s">
        <v>187</v>
      </c>
      <c r="D4" s="1167"/>
      <c r="E4" s="1167"/>
      <c r="F4" s="1167"/>
      <c r="G4" s="1167"/>
      <c r="H4" s="1167"/>
      <c r="I4" s="33"/>
      <c r="J4" s="33"/>
      <c r="K4" s="33"/>
    </row>
    <row r="5" spans="1:11" ht="15" customHeight="1">
      <c r="A5" s="33"/>
      <c r="B5" s="939" t="s">
        <v>28</v>
      </c>
      <c r="C5" s="1168" t="s">
        <v>182</v>
      </c>
      <c r="D5" s="1169"/>
      <c r="E5" s="1169"/>
      <c r="F5" s="1169"/>
      <c r="G5" s="1169"/>
      <c r="H5" s="1169"/>
      <c r="I5" s="33"/>
      <c r="J5" s="33"/>
      <c r="K5" s="33"/>
    </row>
    <row r="6" spans="1:11" ht="50.1" customHeight="1">
      <c r="A6" s="33"/>
      <c r="B6" s="939" t="s">
        <v>35</v>
      </c>
      <c r="C6" s="1165" t="s">
        <v>181</v>
      </c>
      <c r="D6" s="1170"/>
      <c r="E6" s="1170"/>
      <c r="F6" s="1170"/>
      <c r="G6" s="1170"/>
      <c r="H6" s="1170"/>
      <c r="I6" s="33"/>
      <c r="J6" s="33"/>
      <c r="K6" s="33"/>
    </row>
    <row r="7" spans="1:11" ht="30" customHeight="1" thickBot="1">
      <c r="A7" s="33"/>
      <c r="B7" s="798" t="s">
        <v>260</v>
      </c>
      <c r="C7" s="52"/>
      <c r="D7" s="53"/>
      <c r="E7" s="52"/>
      <c r="F7" s="54"/>
      <c r="G7" s="55"/>
      <c r="H7" s="56"/>
      <c r="I7" s="33"/>
      <c r="J7" s="33"/>
      <c r="K7" s="33"/>
    </row>
    <row r="8" spans="1:11" ht="20.100000000000001" customHeight="1">
      <c r="A8" s="33"/>
      <c r="B8" s="1160" t="str">
        <f>'Tab.G1.1-4'!$B$8</f>
        <v>LP</v>
      </c>
      <c r="C8" s="1162" t="str">
        <f>Tab.G14!$C$8</f>
        <v>Województwo</v>
      </c>
      <c r="D8" s="1162" t="str">
        <f>Tab.G14!$D$8</f>
        <v>Gmina</v>
      </c>
      <c r="E8" s="1163" t="str">
        <f>Tab.G14!$E$8</f>
        <v>Nazwa/rodzaj projektu inwestycyjnego</v>
      </c>
      <c r="F8" s="1163" t="str">
        <f>Tab.G6!$H$9</f>
        <v>Zakres prac</v>
      </c>
      <c r="G8" s="627" t="str">
        <f>'Tab.G1.1-4'!$E$8</f>
        <v>Wykonanie</v>
      </c>
      <c r="H8" s="1158" t="str">
        <f>Tab.G6!$J$9</f>
        <v>UWAGI</v>
      </c>
      <c r="I8" s="33"/>
      <c r="J8" s="33"/>
      <c r="K8" s="33"/>
    </row>
    <row r="9" spans="1:11" ht="20.100000000000001" customHeight="1">
      <c r="A9" s="33"/>
      <c r="B9" s="1161"/>
      <c r="C9" s="1161"/>
      <c r="D9" s="1161"/>
      <c r="E9" s="1164"/>
      <c r="F9" s="1164"/>
      <c r="G9" s="628">
        <f>Rok_ZPR</f>
        <v>2023</v>
      </c>
      <c r="H9" s="1159"/>
      <c r="I9" s="33"/>
      <c r="J9" s="33"/>
      <c r="K9" s="33"/>
    </row>
    <row r="10" spans="1:11" ht="20.100000000000001" customHeight="1">
      <c r="A10" s="33"/>
      <c r="B10" s="1161"/>
      <c r="C10" s="1161"/>
      <c r="D10" s="1161"/>
      <c r="E10" s="1164"/>
      <c r="F10" s="1164"/>
      <c r="G10" s="628" t="str">
        <f>'Tab.G1.1-4'!$D$11</f>
        <v>[tys. zł]</v>
      </c>
      <c r="H10" s="1159"/>
      <c r="I10" s="33"/>
      <c r="J10" s="33"/>
      <c r="K10" s="33"/>
    </row>
    <row r="11" spans="1:11" ht="13.5" thickBot="1">
      <c r="A11" s="33"/>
      <c r="B11" s="629" t="str">
        <f t="array" ref="B11:H11">TRANSPOSE(Tab.G17!$B$10:$B$16)</f>
        <v>01</v>
      </c>
      <c r="C11" s="629" t="str">
        <v>02</v>
      </c>
      <c r="D11" s="629" t="str">
        <v>03</v>
      </c>
      <c r="E11" s="629" t="str">
        <v>04</v>
      </c>
      <c r="F11" s="629" t="str">
        <v>05</v>
      </c>
      <c r="G11" s="629" t="str">
        <v>06</v>
      </c>
      <c r="H11" s="629" t="str">
        <v>07</v>
      </c>
      <c r="I11" s="33"/>
      <c r="J11" s="33"/>
      <c r="K11" s="33"/>
    </row>
    <row r="12" spans="1:11">
      <c r="A12" s="33"/>
      <c r="B12" s="57"/>
      <c r="C12" s="57"/>
      <c r="D12" s="57"/>
      <c r="E12" s="57"/>
      <c r="F12" s="57"/>
      <c r="G12" s="58"/>
      <c r="H12" s="58"/>
      <c r="I12" s="33"/>
      <c r="J12" s="33"/>
      <c r="K12" s="33"/>
    </row>
    <row r="13" spans="1:11">
      <c r="A13" s="33"/>
      <c r="B13" s="59">
        <v>1</v>
      </c>
      <c r="C13" s="60"/>
      <c r="D13" s="60"/>
      <c r="E13" s="60"/>
      <c r="F13" s="60"/>
      <c r="G13" s="61"/>
      <c r="H13" s="61"/>
      <c r="I13" s="33"/>
      <c r="J13" s="33"/>
      <c r="K13" s="33"/>
    </row>
    <row r="14" spans="1:11">
      <c r="A14" s="33"/>
      <c r="B14" s="62">
        <v>2</v>
      </c>
      <c r="C14" s="63"/>
      <c r="D14" s="63"/>
      <c r="E14" s="63"/>
      <c r="F14" s="63"/>
      <c r="G14" s="61"/>
      <c r="H14" s="61"/>
      <c r="I14" s="33"/>
      <c r="J14" s="33"/>
      <c r="K14" s="33"/>
    </row>
    <row r="15" spans="1:11">
      <c r="A15" s="33"/>
      <c r="B15" s="59">
        <v>3</v>
      </c>
      <c r="C15" s="63"/>
      <c r="D15" s="63"/>
      <c r="E15" s="63"/>
      <c r="F15" s="63"/>
      <c r="G15" s="61"/>
      <c r="H15" s="61"/>
      <c r="I15" s="33"/>
      <c r="J15" s="33"/>
      <c r="K15" s="33"/>
    </row>
    <row r="16" spans="1:11">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34" t="s">
        <v>29</v>
      </c>
      <c r="G216" s="75">
        <f>SUM('Tab.G1.1-4'!E78,-G213)</f>
        <v>0</v>
      </c>
      <c r="H216" s="822"/>
      <c r="I216" s="33"/>
      <c r="J216" s="33"/>
      <c r="K216" s="33"/>
    </row>
    <row r="217" spans="1:11">
      <c r="A217" s="33"/>
      <c r="B217" s="33"/>
      <c r="C217" s="33"/>
      <c r="D217" s="33"/>
      <c r="E217" s="33"/>
      <c r="F217" s="33"/>
      <c r="G217" s="33"/>
      <c r="H217" s="33"/>
      <c r="I217" s="33"/>
      <c r="J217" s="33"/>
      <c r="K217" s="33"/>
    </row>
    <row r="218" spans="1:11">
      <c r="A218" s="759"/>
      <c r="B218" s="759"/>
      <c r="C218" s="759"/>
      <c r="D218" s="759"/>
      <c r="E218" s="759"/>
      <c r="F218" s="759"/>
      <c r="G218" s="759"/>
      <c r="H218" s="759"/>
      <c r="I218" s="759"/>
      <c r="J218" s="759"/>
      <c r="K218" s="759"/>
    </row>
    <row r="219" spans="1:11">
      <c r="A219" s="759"/>
      <c r="B219" s="759"/>
      <c r="C219" s="759"/>
      <c r="D219" s="759"/>
      <c r="E219" s="759"/>
      <c r="F219" s="759"/>
      <c r="G219" s="759"/>
      <c r="H219" s="759"/>
      <c r="I219" s="759"/>
      <c r="J219" s="759"/>
      <c r="K219" s="759"/>
    </row>
  </sheetData>
  <mergeCells count="10">
    <mergeCell ref="C3:H3"/>
    <mergeCell ref="C4:H4"/>
    <mergeCell ref="C5:H5"/>
    <mergeCell ref="C6:H6"/>
    <mergeCell ref="B8:B10"/>
    <mergeCell ref="C8:C10"/>
    <mergeCell ref="D8:D10"/>
    <mergeCell ref="E8:E10"/>
    <mergeCell ref="F8:F10"/>
    <mergeCell ref="H8:H10"/>
  </mergeCells>
  <hyperlinks>
    <hyperlink ref="C1" location="Spis!B54" display="&gt;&gt; powrót do spisu treści" xr:uid="{00000000-0004-0000-1D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8">
    <pageSetUpPr fitToPage="1"/>
  </sheetPr>
  <dimension ref="A1:N353"/>
  <sheetViews>
    <sheetView zoomScale="90" zoomScaleNormal="90" zoomScaleSheetLayoutView="75" workbookViewId="0">
      <pane ySplit="5" topLeftCell="A6" activePane="bottomLeft" state="frozen"/>
      <selection pane="bottomLeft" activeCell="E347" sqref="E347"/>
    </sheetView>
  </sheetViews>
  <sheetFormatPr defaultColWidth="15.77734375" defaultRowHeight="15.75"/>
  <cols>
    <col min="1" max="1" width="3.77734375" style="40" customWidth="1"/>
    <col min="2" max="2" width="4.77734375" style="40" customWidth="1"/>
    <col min="3" max="3" width="52.77734375" style="40" customWidth="1"/>
    <col min="4" max="13" width="12.77734375" style="40" customWidth="1"/>
    <col min="14" max="16384" width="15.77734375" style="40"/>
  </cols>
  <sheetData>
    <row r="1" spans="1:14">
      <c r="A1" s="940"/>
      <c r="B1" s="941"/>
      <c r="C1" s="942" t="s">
        <v>9</v>
      </c>
      <c r="D1" s="943"/>
      <c r="E1" s="943"/>
      <c r="F1" s="943"/>
      <c r="G1" s="943"/>
      <c r="H1" s="943"/>
      <c r="I1" s="943"/>
      <c r="J1" s="943"/>
      <c r="K1" s="943"/>
      <c r="L1" s="943"/>
      <c r="M1" s="943"/>
      <c r="N1" s="943"/>
    </row>
    <row r="2" spans="1:14" ht="9.9499999999999993" customHeight="1">
      <c r="A2" s="940"/>
      <c r="B2" s="943"/>
      <c r="C2" s="943"/>
      <c r="D2" s="943"/>
      <c r="E2" s="944"/>
      <c r="F2" s="944"/>
      <c r="G2" s="944"/>
      <c r="H2" s="944"/>
      <c r="I2" s="944"/>
      <c r="J2" s="944"/>
      <c r="K2" s="944"/>
      <c r="L2" s="944"/>
      <c r="M2" s="945"/>
      <c r="N2" s="943"/>
    </row>
    <row r="3" spans="1:14" ht="15" customHeight="1">
      <c r="A3" s="940"/>
      <c r="B3" s="946" t="s">
        <v>13</v>
      </c>
      <c r="C3" s="1187" t="str">
        <f>"W tabeli należy ująć wykorzystywane przez OSD składniki majątku sieciowego bez tzw. stanów magazynowych na koniec "&amp;Rok_ZPR&amp;" r."</f>
        <v>W tabeli należy ująć wykorzystywane przez OSD składniki majątku sieciowego bez tzw. stanów magazynowych na koniec 2023 r.</v>
      </c>
      <c r="D3" s="1188"/>
      <c r="E3" s="1188"/>
      <c r="F3" s="1188"/>
      <c r="G3" s="1188"/>
      <c r="H3" s="1188"/>
      <c r="I3" s="1188"/>
      <c r="J3" s="1188"/>
      <c r="K3" s="944"/>
      <c r="L3" s="944"/>
      <c r="M3" s="945"/>
      <c r="N3" s="943"/>
    </row>
    <row r="4" spans="1:14" ht="15" customHeight="1">
      <c r="A4" s="940"/>
      <c r="B4" s="946" t="s">
        <v>27</v>
      </c>
      <c r="C4" s="947" t="s">
        <v>55</v>
      </c>
      <c r="D4" s="947"/>
      <c r="E4" s="947"/>
      <c r="F4" s="947"/>
      <c r="G4" s="947"/>
      <c r="H4" s="948"/>
      <c r="I4" s="948"/>
      <c r="J4" s="948"/>
      <c r="K4" s="944"/>
      <c r="L4" s="944"/>
      <c r="M4" s="945"/>
      <c r="N4" s="943"/>
    </row>
    <row r="5" spans="1:14" ht="9.9499999999999993" customHeight="1">
      <c r="A5" s="940"/>
      <c r="B5" s="949"/>
      <c r="C5" s="950"/>
      <c r="D5" s="950"/>
      <c r="E5" s="950"/>
      <c r="F5" s="950"/>
      <c r="G5" s="950"/>
      <c r="H5" s="944"/>
      <c r="I5" s="944"/>
      <c r="J5" s="944"/>
      <c r="K5" s="944"/>
      <c r="L5" s="944"/>
      <c r="M5" s="945"/>
      <c r="N5" s="943"/>
    </row>
    <row r="6" spans="1:14" ht="30" customHeight="1" thickBot="1">
      <c r="A6" s="940"/>
      <c r="B6" s="951" t="s">
        <v>286</v>
      </c>
      <c r="C6" s="952"/>
      <c r="D6" s="952"/>
      <c r="E6" s="953"/>
      <c r="F6" s="953"/>
      <c r="G6" s="944"/>
      <c r="H6" s="944"/>
      <c r="I6" s="944"/>
      <c r="J6" s="944"/>
      <c r="K6" s="944"/>
      <c r="L6" s="944"/>
      <c r="M6" s="944"/>
      <c r="N6" s="943"/>
    </row>
    <row r="7" spans="1:14" ht="20.100000000000001" customHeight="1" thickBot="1">
      <c r="A7" s="39"/>
      <c r="B7" s="1171" t="str">
        <f>'Tab.G1.1-4'!$B$8</f>
        <v>LP</v>
      </c>
      <c r="C7" s="1174" t="str">
        <f>"Składnik majątku sieciowego"</f>
        <v>Składnik majątku sieciowego</v>
      </c>
      <c r="D7" s="1175"/>
      <c r="E7" s="1180" t="str">
        <f>"Wiek składnika majątku sieciowego na koniec roku sprawozdawczego"</f>
        <v>Wiek składnika majątku sieciowego na koniec roku sprawozdawczego</v>
      </c>
      <c r="F7" s="1181"/>
      <c r="G7" s="1181"/>
      <c r="H7" s="1181"/>
      <c r="I7" s="1181"/>
      <c r="J7" s="1181"/>
      <c r="K7" s="1181"/>
      <c r="L7" s="1181"/>
      <c r="M7" s="1182" t="str">
        <f>"RAZEM"</f>
        <v>RAZEM</v>
      </c>
      <c r="N7" s="39"/>
    </row>
    <row r="8" spans="1:14" ht="20.100000000000001" customHeight="1" thickBot="1">
      <c r="A8" s="39"/>
      <c r="B8" s="1172"/>
      <c r="C8" s="1176"/>
      <c r="D8" s="1177"/>
      <c r="E8" s="41" t="str">
        <f>"[lata]"</f>
        <v>[lata]</v>
      </c>
      <c r="F8" s="42" t="str">
        <f t="shared" ref="F8:L8" si="0">$E$8</f>
        <v>[lata]</v>
      </c>
      <c r="G8" s="42" t="str">
        <f t="shared" si="0"/>
        <v>[lata]</v>
      </c>
      <c r="H8" s="42" t="str">
        <f t="shared" si="0"/>
        <v>[lata]</v>
      </c>
      <c r="I8" s="42" t="str">
        <f t="shared" si="0"/>
        <v>[lata]</v>
      </c>
      <c r="J8" s="42" t="str">
        <f t="shared" si="0"/>
        <v>[lata]</v>
      </c>
      <c r="K8" s="42" t="str">
        <f t="shared" si="0"/>
        <v>[lata]</v>
      </c>
      <c r="L8" s="43" t="str">
        <f t="shared" si="0"/>
        <v>[lata]</v>
      </c>
      <c r="M8" s="1183"/>
      <c r="N8" s="39"/>
    </row>
    <row r="9" spans="1:14" ht="20.100000000000001" customHeight="1" thickBot="1">
      <c r="A9" s="39"/>
      <c r="B9" s="1173"/>
      <c r="C9" s="1178"/>
      <c r="D9" s="1179"/>
      <c r="E9" s="44" t="str">
        <f>"36 i więcej"</f>
        <v>36 i więcej</v>
      </c>
      <c r="F9" s="45" t="str">
        <f>"31 - 35"</f>
        <v>31 - 35</v>
      </c>
      <c r="G9" s="45" t="str">
        <f>"26 - 30"</f>
        <v>26 - 30</v>
      </c>
      <c r="H9" s="45" t="str">
        <f>"21 - 25"</f>
        <v>21 - 25</v>
      </c>
      <c r="I9" s="45" t="str">
        <f>"16 - 20"</f>
        <v>16 - 20</v>
      </c>
      <c r="J9" s="459" t="str">
        <f>"11 - 15"</f>
        <v>11 - 15</v>
      </c>
      <c r="K9" s="459" t="str">
        <f>"6 - 10"</f>
        <v>6 - 10</v>
      </c>
      <c r="L9" s="460" t="str">
        <f>"0 - 5"</f>
        <v>0 - 5</v>
      </c>
      <c r="M9" s="1184"/>
      <c r="N9" s="39"/>
    </row>
    <row r="10" spans="1:14" ht="16.5" thickBot="1">
      <c r="A10" s="39"/>
      <c r="B10" s="586" t="str">
        <f>"01"</f>
        <v>01</v>
      </c>
      <c r="C10" s="1185" t="str">
        <f>$B$11</f>
        <v>02</v>
      </c>
      <c r="D10" s="1186"/>
      <c r="E10" s="586" t="str">
        <f t="array" ref="E10:M10">TRANSPOSE($B$12:$B$20)</f>
        <v>03</v>
      </c>
      <c r="F10" s="605" t="str">
        <v>04</v>
      </c>
      <c r="G10" s="605" t="str">
        <v>05</v>
      </c>
      <c r="H10" s="605" t="str">
        <v>06</v>
      </c>
      <c r="I10" s="605" t="str">
        <v>07</v>
      </c>
      <c r="J10" s="605" t="str">
        <v>08</v>
      </c>
      <c r="K10" s="605" t="str">
        <v>09</v>
      </c>
      <c r="L10" s="606" t="str">
        <v>10</v>
      </c>
      <c r="M10" s="607" t="str">
        <v>11</v>
      </c>
      <c r="N10" s="39"/>
    </row>
    <row r="11" spans="1:14" ht="18" customHeight="1" thickBot="1">
      <c r="A11" s="39"/>
      <c r="B11" s="587" t="str">
        <f>"02"</f>
        <v>02</v>
      </c>
      <c r="C11" s="546" t="s">
        <v>188</v>
      </c>
      <c r="D11" s="547" t="str">
        <f>'Tab.G2.1-3'!$D$72</f>
        <v>[km]</v>
      </c>
      <c r="E11" s="548">
        <f>SUM(E12,E23,E39:E40)</f>
        <v>0</v>
      </c>
      <c r="F11" s="549">
        <f>SUM(F12,F23,F39:F40)</f>
        <v>0</v>
      </c>
      <c r="G11" s="549">
        <f t="shared" ref="G11:M11" si="1">SUM(G12,G23,G39:G40)</f>
        <v>0</v>
      </c>
      <c r="H11" s="549">
        <f t="shared" si="1"/>
        <v>0</v>
      </c>
      <c r="I11" s="549">
        <f t="shared" si="1"/>
        <v>0</v>
      </c>
      <c r="J11" s="549">
        <f t="shared" si="1"/>
        <v>0</v>
      </c>
      <c r="K11" s="549">
        <f t="shared" si="1"/>
        <v>0</v>
      </c>
      <c r="L11" s="550">
        <f t="shared" si="1"/>
        <v>0</v>
      </c>
      <c r="M11" s="417">
        <f t="shared" si="1"/>
        <v>0</v>
      </c>
      <c r="N11" s="39"/>
    </row>
    <row r="12" spans="1:14" ht="20.25" customHeight="1" thickBot="1">
      <c r="A12" s="39"/>
      <c r="B12" s="365" t="str">
        <f>"03"</f>
        <v>03</v>
      </c>
      <c r="C12" s="338" t="s">
        <v>120</v>
      </c>
      <c r="D12" s="345" t="str">
        <f>'Tab.G2.1-3'!$D$72</f>
        <v>[km]</v>
      </c>
      <c r="E12" s="418">
        <f>SUM(E13,E18)</f>
        <v>0</v>
      </c>
      <c r="F12" s="419">
        <f>SUM(F13,F18)</f>
        <v>0</v>
      </c>
      <c r="G12" s="419">
        <f t="shared" ref="G12:M12" si="2">SUM(G13,G18)</f>
        <v>0</v>
      </c>
      <c r="H12" s="419">
        <f t="shared" si="2"/>
        <v>0</v>
      </c>
      <c r="I12" s="419">
        <f t="shared" si="2"/>
        <v>0</v>
      </c>
      <c r="J12" s="419">
        <f t="shared" si="2"/>
        <v>0</v>
      </c>
      <c r="K12" s="419">
        <f t="shared" si="2"/>
        <v>0</v>
      </c>
      <c r="L12" s="420">
        <f t="shared" si="2"/>
        <v>0</v>
      </c>
      <c r="M12" s="421">
        <f t="shared" si="2"/>
        <v>0</v>
      </c>
      <c r="N12" s="39"/>
    </row>
    <row r="13" spans="1:14" ht="16.5" customHeight="1">
      <c r="A13" s="39"/>
      <c r="B13" s="588" t="str">
        <f>"04"</f>
        <v>04</v>
      </c>
      <c r="C13" s="344" t="s">
        <v>72</v>
      </c>
      <c r="D13" s="346" t="str">
        <f>'Tab.G2.1-3'!$D$72</f>
        <v>[km]</v>
      </c>
      <c r="E13" s="422">
        <f>SUM(E14:E17)</f>
        <v>0</v>
      </c>
      <c r="F13" s="423">
        <f>SUM(F14:F17)</f>
        <v>0</v>
      </c>
      <c r="G13" s="423">
        <f t="shared" ref="G13:M13" si="3">SUM(G14:G17)</f>
        <v>0</v>
      </c>
      <c r="H13" s="423">
        <f t="shared" si="3"/>
        <v>0</v>
      </c>
      <c r="I13" s="423">
        <f t="shared" si="3"/>
        <v>0</v>
      </c>
      <c r="J13" s="423">
        <f t="shared" si="3"/>
        <v>0</v>
      </c>
      <c r="K13" s="423">
        <f t="shared" si="3"/>
        <v>0</v>
      </c>
      <c r="L13" s="424">
        <f t="shared" si="3"/>
        <v>0</v>
      </c>
      <c r="M13" s="417">
        <f t="shared" si="3"/>
        <v>0</v>
      </c>
      <c r="N13" s="39"/>
    </row>
    <row r="14" spans="1:14">
      <c r="A14" s="39"/>
      <c r="B14" s="589" t="str">
        <f>"05"</f>
        <v>05</v>
      </c>
      <c r="C14" s="260" t="s">
        <v>73</v>
      </c>
      <c r="D14" s="347" t="str">
        <f>'Tab.G2.1-3'!$D$72</f>
        <v>[km]</v>
      </c>
      <c r="E14" s="425">
        <f t="shared" ref="E14:L17" si="4">SUM(E84,E154,E224,E294)</f>
        <v>0</v>
      </c>
      <c r="F14" s="426">
        <f t="shared" si="4"/>
        <v>0</v>
      </c>
      <c r="G14" s="426">
        <f t="shared" si="4"/>
        <v>0</v>
      </c>
      <c r="H14" s="426">
        <f t="shared" si="4"/>
        <v>0</v>
      </c>
      <c r="I14" s="426">
        <f t="shared" si="4"/>
        <v>0</v>
      </c>
      <c r="J14" s="426">
        <f t="shared" si="4"/>
        <v>0</v>
      </c>
      <c r="K14" s="426">
        <f t="shared" si="4"/>
        <v>0</v>
      </c>
      <c r="L14" s="427">
        <f t="shared" si="4"/>
        <v>0</v>
      </c>
      <c r="M14" s="428">
        <f>SUM(E14:L14)</f>
        <v>0</v>
      </c>
      <c r="N14" s="39"/>
    </row>
    <row r="15" spans="1:14">
      <c r="A15" s="39"/>
      <c r="B15" s="590" t="str">
        <f>"06"</f>
        <v>06</v>
      </c>
      <c r="C15" s="261" t="s">
        <v>74</v>
      </c>
      <c r="D15" s="348" t="str">
        <f>'Tab.G2.1-3'!$D$72</f>
        <v>[km]</v>
      </c>
      <c r="E15" s="429">
        <f t="shared" si="4"/>
        <v>0</v>
      </c>
      <c r="F15" s="430">
        <f t="shared" si="4"/>
        <v>0</v>
      </c>
      <c r="G15" s="430">
        <f t="shared" si="4"/>
        <v>0</v>
      </c>
      <c r="H15" s="430">
        <f t="shared" si="4"/>
        <v>0</v>
      </c>
      <c r="I15" s="430">
        <f t="shared" si="4"/>
        <v>0</v>
      </c>
      <c r="J15" s="430">
        <f t="shared" si="4"/>
        <v>0</v>
      </c>
      <c r="K15" s="430">
        <f t="shared" si="4"/>
        <v>0</v>
      </c>
      <c r="L15" s="431">
        <f t="shared" si="4"/>
        <v>0</v>
      </c>
      <c r="M15" s="432">
        <f>SUM(E15:L15)</f>
        <v>0</v>
      </c>
      <c r="N15" s="39"/>
    </row>
    <row r="16" spans="1:14">
      <c r="A16" s="39"/>
      <c r="B16" s="590" t="str">
        <f>"07"</f>
        <v>07</v>
      </c>
      <c r="C16" s="261" t="s">
        <v>75</v>
      </c>
      <c r="D16" s="348" t="str">
        <f>'Tab.G2.1-3'!$D$72</f>
        <v>[km]</v>
      </c>
      <c r="E16" s="429">
        <f t="shared" si="4"/>
        <v>0</v>
      </c>
      <c r="F16" s="430">
        <f t="shared" si="4"/>
        <v>0</v>
      </c>
      <c r="G16" s="430">
        <f t="shared" si="4"/>
        <v>0</v>
      </c>
      <c r="H16" s="430">
        <f t="shared" si="4"/>
        <v>0</v>
      </c>
      <c r="I16" s="430">
        <f t="shared" si="4"/>
        <v>0</v>
      </c>
      <c r="J16" s="430">
        <f t="shared" si="4"/>
        <v>0</v>
      </c>
      <c r="K16" s="430">
        <f t="shared" si="4"/>
        <v>0</v>
      </c>
      <c r="L16" s="431">
        <f t="shared" si="4"/>
        <v>0</v>
      </c>
      <c r="M16" s="432">
        <f>SUM(E16:L16)</f>
        <v>0</v>
      </c>
      <c r="N16" s="39"/>
    </row>
    <row r="17" spans="1:14">
      <c r="A17" s="39"/>
      <c r="B17" s="591" t="str">
        <f>"08"</f>
        <v>08</v>
      </c>
      <c r="C17" s="264" t="s">
        <v>76</v>
      </c>
      <c r="D17" s="349" t="str">
        <f>'Tab.G2.1-3'!$D$72</f>
        <v>[km]</v>
      </c>
      <c r="E17" s="433">
        <f t="shared" si="4"/>
        <v>0</v>
      </c>
      <c r="F17" s="434">
        <f t="shared" si="4"/>
        <v>0</v>
      </c>
      <c r="G17" s="434">
        <f t="shared" si="4"/>
        <v>0</v>
      </c>
      <c r="H17" s="434">
        <f t="shared" si="4"/>
        <v>0</v>
      </c>
      <c r="I17" s="434">
        <f t="shared" si="4"/>
        <v>0</v>
      </c>
      <c r="J17" s="434">
        <f t="shared" si="4"/>
        <v>0</v>
      </c>
      <c r="K17" s="434">
        <f t="shared" si="4"/>
        <v>0</v>
      </c>
      <c r="L17" s="435">
        <f t="shared" si="4"/>
        <v>0</v>
      </c>
      <c r="M17" s="436">
        <f>SUM(E17:L17)</f>
        <v>0</v>
      </c>
      <c r="N17" s="39"/>
    </row>
    <row r="18" spans="1:14">
      <c r="A18" s="39"/>
      <c r="B18" s="588" t="str">
        <f>"09"</f>
        <v>09</v>
      </c>
      <c r="C18" s="344" t="s">
        <v>77</v>
      </c>
      <c r="D18" s="346" t="str">
        <f>'Tab.G2.1-3'!$D$72</f>
        <v>[km]</v>
      </c>
      <c r="E18" s="422">
        <f t="shared" ref="E18:M18" si="5">SUM(E19:E22)</f>
        <v>0</v>
      </c>
      <c r="F18" s="423">
        <f t="shared" si="5"/>
        <v>0</v>
      </c>
      <c r="G18" s="423">
        <f t="shared" si="5"/>
        <v>0</v>
      </c>
      <c r="H18" s="423">
        <f t="shared" si="5"/>
        <v>0</v>
      </c>
      <c r="I18" s="423">
        <f t="shared" si="5"/>
        <v>0</v>
      </c>
      <c r="J18" s="423">
        <f t="shared" si="5"/>
        <v>0</v>
      </c>
      <c r="K18" s="423">
        <f t="shared" si="5"/>
        <v>0</v>
      </c>
      <c r="L18" s="424">
        <f t="shared" si="5"/>
        <v>0</v>
      </c>
      <c r="M18" s="437">
        <f t="shared" si="5"/>
        <v>0</v>
      </c>
      <c r="N18" s="39"/>
    </row>
    <row r="19" spans="1:14">
      <c r="A19" s="39"/>
      <c r="B19" s="589" t="str">
        <f>"10"</f>
        <v>10</v>
      </c>
      <c r="C19" s="260" t="s">
        <v>73</v>
      </c>
      <c r="D19" s="347" t="str">
        <f>'Tab.G2.1-3'!$D$72</f>
        <v>[km]</v>
      </c>
      <c r="E19" s="425">
        <f t="shared" ref="E19:L22" si="6">SUM(E89,E159,E229,E299)</f>
        <v>0</v>
      </c>
      <c r="F19" s="426">
        <f t="shared" si="6"/>
        <v>0</v>
      </c>
      <c r="G19" s="426">
        <f t="shared" si="6"/>
        <v>0</v>
      </c>
      <c r="H19" s="426">
        <f t="shared" si="6"/>
        <v>0</v>
      </c>
      <c r="I19" s="426">
        <f t="shared" si="6"/>
        <v>0</v>
      </c>
      <c r="J19" s="426">
        <f t="shared" si="6"/>
        <v>0</v>
      </c>
      <c r="K19" s="426">
        <f t="shared" si="6"/>
        <v>0</v>
      </c>
      <c r="L19" s="427">
        <f t="shared" si="6"/>
        <v>0</v>
      </c>
      <c r="M19" s="428">
        <f>SUM(E19:L19)</f>
        <v>0</v>
      </c>
      <c r="N19" s="39"/>
    </row>
    <row r="20" spans="1:14">
      <c r="A20" s="39"/>
      <c r="B20" s="590" t="str">
        <f>"11"</f>
        <v>11</v>
      </c>
      <c r="C20" s="261" t="s">
        <v>74</v>
      </c>
      <c r="D20" s="348" t="str">
        <f>'Tab.G2.1-3'!$D$72</f>
        <v>[km]</v>
      </c>
      <c r="E20" s="429">
        <f t="shared" si="6"/>
        <v>0</v>
      </c>
      <c r="F20" s="430">
        <f t="shared" si="6"/>
        <v>0</v>
      </c>
      <c r="G20" s="430">
        <f t="shared" si="6"/>
        <v>0</v>
      </c>
      <c r="H20" s="430">
        <f t="shared" si="6"/>
        <v>0</v>
      </c>
      <c r="I20" s="430">
        <f t="shared" si="6"/>
        <v>0</v>
      </c>
      <c r="J20" s="430">
        <f t="shared" si="6"/>
        <v>0</v>
      </c>
      <c r="K20" s="430">
        <f t="shared" si="6"/>
        <v>0</v>
      </c>
      <c r="L20" s="431">
        <f t="shared" si="6"/>
        <v>0</v>
      </c>
      <c r="M20" s="432">
        <f>SUM(E20:L20)</f>
        <v>0</v>
      </c>
      <c r="N20" s="39"/>
    </row>
    <row r="21" spans="1:14">
      <c r="A21" s="39"/>
      <c r="B21" s="590" t="str">
        <f>"12"</f>
        <v>12</v>
      </c>
      <c r="C21" s="261" t="s">
        <v>75</v>
      </c>
      <c r="D21" s="348" t="str">
        <f>'Tab.G2.1-3'!$D$72</f>
        <v>[km]</v>
      </c>
      <c r="E21" s="429">
        <f t="shared" si="6"/>
        <v>0</v>
      </c>
      <c r="F21" s="430">
        <f t="shared" si="6"/>
        <v>0</v>
      </c>
      <c r="G21" s="430">
        <f t="shared" si="6"/>
        <v>0</v>
      </c>
      <c r="H21" s="430">
        <f t="shared" si="6"/>
        <v>0</v>
      </c>
      <c r="I21" s="430">
        <f t="shared" si="6"/>
        <v>0</v>
      </c>
      <c r="J21" s="430">
        <f t="shared" si="6"/>
        <v>0</v>
      </c>
      <c r="K21" s="430">
        <f t="shared" si="6"/>
        <v>0</v>
      </c>
      <c r="L21" s="431">
        <f t="shared" si="6"/>
        <v>0</v>
      </c>
      <c r="M21" s="432">
        <f>SUM(E21:L21)</f>
        <v>0</v>
      </c>
      <c r="N21" s="39"/>
    </row>
    <row r="22" spans="1:14" ht="16.5" thickBot="1">
      <c r="A22" s="39"/>
      <c r="B22" s="592" t="str">
        <f>"13"</f>
        <v>13</v>
      </c>
      <c r="C22" s="265" t="s">
        <v>76</v>
      </c>
      <c r="D22" s="350" t="str">
        <f>'Tab.G2.1-3'!$D$72</f>
        <v>[km]</v>
      </c>
      <c r="E22" s="438">
        <f t="shared" si="6"/>
        <v>0</v>
      </c>
      <c r="F22" s="439">
        <f t="shared" si="6"/>
        <v>0</v>
      </c>
      <c r="G22" s="439">
        <f t="shared" si="6"/>
        <v>0</v>
      </c>
      <c r="H22" s="439">
        <f t="shared" si="6"/>
        <v>0</v>
      </c>
      <c r="I22" s="439">
        <f t="shared" si="6"/>
        <v>0</v>
      </c>
      <c r="J22" s="439">
        <f t="shared" si="6"/>
        <v>0</v>
      </c>
      <c r="K22" s="439">
        <f t="shared" si="6"/>
        <v>0</v>
      </c>
      <c r="L22" s="440">
        <f t="shared" si="6"/>
        <v>0</v>
      </c>
      <c r="M22" s="441">
        <f>SUM(E22:L22)</f>
        <v>0</v>
      </c>
      <c r="N22" s="39"/>
    </row>
    <row r="23" spans="1:14" ht="16.5" thickBot="1">
      <c r="A23" s="39"/>
      <c r="B23" s="365" t="str">
        <f>"14"</f>
        <v>14</v>
      </c>
      <c r="C23" s="339" t="s">
        <v>121</v>
      </c>
      <c r="D23" s="345" t="str">
        <f>'Tab.G2.1-3'!$D$72</f>
        <v>[km]</v>
      </c>
      <c r="E23" s="418">
        <f>SUM(E24,E29,E34)</f>
        <v>0</v>
      </c>
      <c r="F23" s="419">
        <f>SUM(F24,F29,F34)</f>
        <v>0</v>
      </c>
      <c r="G23" s="419">
        <f t="shared" ref="G23:K23" si="7">SUM(G24,G29,G34)</f>
        <v>0</v>
      </c>
      <c r="H23" s="419">
        <f t="shared" si="7"/>
        <v>0</v>
      </c>
      <c r="I23" s="419">
        <f t="shared" si="7"/>
        <v>0</v>
      </c>
      <c r="J23" s="419">
        <f t="shared" si="7"/>
        <v>0</v>
      </c>
      <c r="K23" s="419">
        <f t="shared" si="7"/>
        <v>0</v>
      </c>
      <c r="L23" s="420">
        <f>SUM(L24,L29,L34)</f>
        <v>0</v>
      </c>
      <c r="M23" s="421">
        <f>SUM(M24,M29,M34)</f>
        <v>0</v>
      </c>
      <c r="N23" s="39"/>
    </row>
    <row r="24" spans="1:14">
      <c r="A24" s="39"/>
      <c r="B24" s="588" t="str">
        <f>"15"</f>
        <v>15</v>
      </c>
      <c r="C24" s="344" t="s">
        <v>72</v>
      </c>
      <c r="D24" s="346" t="str">
        <f>'Tab.G2.1-3'!$D$72</f>
        <v>[km]</v>
      </c>
      <c r="E24" s="422">
        <f>SUM(E25:E28)</f>
        <v>0</v>
      </c>
      <c r="F24" s="423">
        <f>SUM(F25:F28)</f>
        <v>0</v>
      </c>
      <c r="G24" s="423">
        <f t="shared" ref="G24:K24" si="8">SUM(G25:G28)</f>
        <v>0</v>
      </c>
      <c r="H24" s="423">
        <f t="shared" si="8"/>
        <v>0</v>
      </c>
      <c r="I24" s="423">
        <f t="shared" si="8"/>
        <v>0</v>
      </c>
      <c r="J24" s="423">
        <f t="shared" si="8"/>
        <v>0</v>
      </c>
      <c r="K24" s="423">
        <f t="shared" si="8"/>
        <v>0</v>
      </c>
      <c r="L24" s="424">
        <f>SUM(L25:L28)</f>
        <v>0</v>
      </c>
      <c r="M24" s="417">
        <f>SUM(M25:M28)</f>
        <v>0</v>
      </c>
      <c r="N24" s="39"/>
    </row>
    <row r="25" spans="1:14">
      <c r="A25" s="39"/>
      <c r="B25" s="589" t="str">
        <f>"16"</f>
        <v>16</v>
      </c>
      <c r="C25" s="260" t="s">
        <v>78</v>
      </c>
      <c r="D25" s="347" t="str">
        <f>'Tab.G2.1-3'!$D$72</f>
        <v>[km]</v>
      </c>
      <c r="E25" s="425">
        <f t="shared" ref="E25:L28" si="9">SUM(E95,E165,E235,E305)</f>
        <v>0</v>
      </c>
      <c r="F25" s="426">
        <f t="shared" si="9"/>
        <v>0</v>
      </c>
      <c r="G25" s="426">
        <f t="shared" si="9"/>
        <v>0</v>
      </c>
      <c r="H25" s="426">
        <f t="shared" si="9"/>
        <v>0</v>
      </c>
      <c r="I25" s="426">
        <f t="shared" si="9"/>
        <v>0</v>
      </c>
      <c r="J25" s="426">
        <f t="shared" si="9"/>
        <v>0</v>
      </c>
      <c r="K25" s="426">
        <f t="shared" si="9"/>
        <v>0</v>
      </c>
      <c r="L25" s="427">
        <f t="shared" si="9"/>
        <v>0</v>
      </c>
      <c r="M25" s="428">
        <f>SUM(E25:L25)</f>
        <v>0</v>
      </c>
      <c r="N25" s="39"/>
    </row>
    <row r="26" spans="1:14" ht="15.75" customHeight="1">
      <c r="A26" s="39"/>
      <c r="B26" s="590" t="str">
        <f>"17"</f>
        <v>17</v>
      </c>
      <c r="C26" s="261" t="s">
        <v>75</v>
      </c>
      <c r="D26" s="348" t="str">
        <f>'Tab.G2.1-3'!$D$72</f>
        <v>[km]</v>
      </c>
      <c r="E26" s="429">
        <f t="shared" si="9"/>
        <v>0</v>
      </c>
      <c r="F26" s="430">
        <f t="shared" si="9"/>
        <v>0</v>
      </c>
      <c r="G26" s="430">
        <f t="shared" si="9"/>
        <v>0</v>
      </c>
      <c r="H26" s="430">
        <f t="shared" si="9"/>
        <v>0</v>
      </c>
      <c r="I26" s="430">
        <f t="shared" si="9"/>
        <v>0</v>
      </c>
      <c r="J26" s="430">
        <f t="shared" si="9"/>
        <v>0</v>
      </c>
      <c r="K26" s="430">
        <f t="shared" si="9"/>
        <v>0</v>
      </c>
      <c r="L26" s="431">
        <f t="shared" si="9"/>
        <v>0</v>
      </c>
      <c r="M26" s="432">
        <f>SUM(E26:L26)</f>
        <v>0</v>
      </c>
      <c r="N26" s="39"/>
    </row>
    <row r="27" spans="1:14">
      <c r="A27" s="39"/>
      <c r="B27" s="590" t="str">
        <f>"18"</f>
        <v>18</v>
      </c>
      <c r="C27" s="262" t="s">
        <v>79</v>
      </c>
      <c r="D27" s="348" t="str">
        <f>'Tab.G2.1-3'!$D$72</f>
        <v>[km]</v>
      </c>
      <c r="E27" s="429">
        <f t="shared" si="9"/>
        <v>0</v>
      </c>
      <c r="F27" s="430">
        <f t="shared" si="9"/>
        <v>0</v>
      </c>
      <c r="G27" s="430">
        <f t="shared" si="9"/>
        <v>0</v>
      </c>
      <c r="H27" s="430">
        <f t="shared" si="9"/>
        <v>0</v>
      </c>
      <c r="I27" s="430">
        <f t="shared" si="9"/>
        <v>0</v>
      </c>
      <c r="J27" s="430">
        <f t="shared" si="9"/>
        <v>0</v>
      </c>
      <c r="K27" s="430">
        <f t="shared" si="9"/>
        <v>0</v>
      </c>
      <c r="L27" s="431">
        <f t="shared" si="9"/>
        <v>0</v>
      </c>
      <c r="M27" s="432">
        <f>SUM(E27:L27)</f>
        <v>0</v>
      </c>
      <c r="N27" s="39"/>
    </row>
    <row r="28" spans="1:14">
      <c r="A28" s="39"/>
      <c r="B28" s="591" t="str">
        <f>"19"</f>
        <v>19</v>
      </c>
      <c r="C28" s="264" t="s">
        <v>80</v>
      </c>
      <c r="D28" s="349" t="str">
        <f>'Tab.G2.1-3'!$D$72</f>
        <v>[km]</v>
      </c>
      <c r="E28" s="433">
        <f t="shared" si="9"/>
        <v>0</v>
      </c>
      <c r="F28" s="434">
        <f t="shared" si="9"/>
        <v>0</v>
      </c>
      <c r="G28" s="434">
        <f t="shared" si="9"/>
        <v>0</v>
      </c>
      <c r="H28" s="434">
        <f t="shared" si="9"/>
        <v>0</v>
      </c>
      <c r="I28" s="434">
        <f t="shared" si="9"/>
        <v>0</v>
      </c>
      <c r="J28" s="434">
        <f t="shared" si="9"/>
        <v>0</v>
      </c>
      <c r="K28" s="434">
        <f t="shared" si="9"/>
        <v>0</v>
      </c>
      <c r="L28" s="435">
        <f t="shared" si="9"/>
        <v>0</v>
      </c>
      <c r="M28" s="436">
        <f>SUM(E28:L28)</f>
        <v>0</v>
      </c>
      <c r="N28" s="39"/>
    </row>
    <row r="29" spans="1:14">
      <c r="A29" s="39"/>
      <c r="B29" s="588" t="str">
        <f>"20"</f>
        <v>20</v>
      </c>
      <c r="C29" s="344" t="s">
        <v>77</v>
      </c>
      <c r="D29" s="346" t="str">
        <f>'Tab.G2.1-3'!$D$72</f>
        <v>[km]</v>
      </c>
      <c r="E29" s="422">
        <f t="shared" ref="E29:M29" si="10">SUM(E30:E33)</f>
        <v>0</v>
      </c>
      <c r="F29" s="423">
        <f t="shared" si="10"/>
        <v>0</v>
      </c>
      <c r="G29" s="423">
        <f t="shared" si="10"/>
        <v>0</v>
      </c>
      <c r="H29" s="423">
        <f t="shared" si="10"/>
        <v>0</v>
      </c>
      <c r="I29" s="423">
        <f t="shared" si="10"/>
        <v>0</v>
      </c>
      <c r="J29" s="423">
        <f t="shared" si="10"/>
        <v>0</v>
      </c>
      <c r="K29" s="423">
        <f t="shared" si="10"/>
        <v>0</v>
      </c>
      <c r="L29" s="424">
        <f t="shared" si="10"/>
        <v>0</v>
      </c>
      <c r="M29" s="437">
        <f t="shared" si="10"/>
        <v>0</v>
      </c>
      <c r="N29" s="39"/>
    </row>
    <row r="30" spans="1:14">
      <c r="A30" s="39"/>
      <c r="B30" s="589" t="str">
        <f>"21"</f>
        <v>21</v>
      </c>
      <c r="C30" s="260" t="s">
        <v>78</v>
      </c>
      <c r="D30" s="347" t="str">
        <f>'Tab.G2.1-3'!$D$72</f>
        <v>[km]</v>
      </c>
      <c r="E30" s="425">
        <f t="shared" ref="E30:L33" si="11">SUM(E100,E170,E240,E310)</f>
        <v>0</v>
      </c>
      <c r="F30" s="426">
        <f t="shared" si="11"/>
        <v>0</v>
      </c>
      <c r="G30" s="426">
        <f t="shared" si="11"/>
        <v>0</v>
      </c>
      <c r="H30" s="426">
        <f t="shared" si="11"/>
        <v>0</v>
      </c>
      <c r="I30" s="426">
        <f t="shared" si="11"/>
        <v>0</v>
      </c>
      <c r="J30" s="426">
        <f t="shared" si="11"/>
        <v>0</v>
      </c>
      <c r="K30" s="426">
        <f t="shared" si="11"/>
        <v>0</v>
      </c>
      <c r="L30" s="427">
        <f t="shared" si="11"/>
        <v>0</v>
      </c>
      <c r="M30" s="428">
        <f>SUM(E30:L30)</f>
        <v>0</v>
      </c>
      <c r="N30" s="39"/>
    </row>
    <row r="31" spans="1:14">
      <c r="A31" s="39"/>
      <c r="B31" s="590" t="str">
        <f>"22"</f>
        <v>22</v>
      </c>
      <c r="C31" s="261" t="s">
        <v>75</v>
      </c>
      <c r="D31" s="348" t="str">
        <f>'Tab.G2.1-3'!$D$72</f>
        <v>[km]</v>
      </c>
      <c r="E31" s="429">
        <f t="shared" si="11"/>
        <v>0</v>
      </c>
      <c r="F31" s="430">
        <f t="shared" si="11"/>
        <v>0</v>
      </c>
      <c r="G31" s="430">
        <f t="shared" si="11"/>
        <v>0</v>
      </c>
      <c r="H31" s="430">
        <f t="shared" si="11"/>
        <v>0</v>
      </c>
      <c r="I31" s="430">
        <f t="shared" si="11"/>
        <v>0</v>
      </c>
      <c r="J31" s="430">
        <f t="shared" si="11"/>
        <v>0</v>
      </c>
      <c r="K31" s="430">
        <f t="shared" si="11"/>
        <v>0</v>
      </c>
      <c r="L31" s="431">
        <f t="shared" si="11"/>
        <v>0</v>
      </c>
      <c r="M31" s="432">
        <f>SUM(E31:L31)</f>
        <v>0</v>
      </c>
      <c r="N31" s="39"/>
    </row>
    <row r="32" spans="1:14">
      <c r="A32" s="39"/>
      <c r="B32" s="590" t="str">
        <f>"23"</f>
        <v>23</v>
      </c>
      <c r="C32" s="262" t="s">
        <v>79</v>
      </c>
      <c r="D32" s="348" t="str">
        <f>'Tab.G2.1-3'!$D$72</f>
        <v>[km]</v>
      </c>
      <c r="E32" s="429">
        <f t="shared" si="11"/>
        <v>0</v>
      </c>
      <c r="F32" s="430">
        <f t="shared" si="11"/>
        <v>0</v>
      </c>
      <c r="G32" s="430">
        <f t="shared" si="11"/>
        <v>0</v>
      </c>
      <c r="H32" s="430">
        <f t="shared" si="11"/>
        <v>0</v>
      </c>
      <c r="I32" s="430">
        <f t="shared" si="11"/>
        <v>0</v>
      </c>
      <c r="J32" s="430">
        <f t="shared" si="11"/>
        <v>0</v>
      </c>
      <c r="K32" s="430">
        <f t="shared" si="11"/>
        <v>0</v>
      </c>
      <c r="L32" s="431">
        <f t="shared" si="11"/>
        <v>0</v>
      </c>
      <c r="M32" s="432">
        <f>SUM(E32:L32)</f>
        <v>0</v>
      </c>
      <c r="N32" s="39"/>
    </row>
    <row r="33" spans="1:14">
      <c r="A33" s="39"/>
      <c r="B33" s="591" t="str">
        <f>"24"</f>
        <v>24</v>
      </c>
      <c r="C33" s="264" t="s">
        <v>80</v>
      </c>
      <c r="D33" s="349" t="str">
        <f>'Tab.G2.1-3'!$D$72</f>
        <v>[km]</v>
      </c>
      <c r="E33" s="433">
        <f t="shared" si="11"/>
        <v>0</v>
      </c>
      <c r="F33" s="434">
        <f t="shared" si="11"/>
        <v>0</v>
      </c>
      <c r="G33" s="434">
        <f t="shared" si="11"/>
        <v>0</v>
      </c>
      <c r="H33" s="434">
        <f t="shared" si="11"/>
        <v>0</v>
      </c>
      <c r="I33" s="434">
        <f t="shared" si="11"/>
        <v>0</v>
      </c>
      <c r="J33" s="434">
        <f t="shared" si="11"/>
        <v>0</v>
      </c>
      <c r="K33" s="434">
        <f t="shared" si="11"/>
        <v>0</v>
      </c>
      <c r="L33" s="435">
        <f t="shared" si="11"/>
        <v>0</v>
      </c>
      <c r="M33" s="436">
        <f>SUM(E33:L33)</f>
        <v>0</v>
      </c>
      <c r="N33" s="39"/>
    </row>
    <row r="34" spans="1:14">
      <c r="A34" s="39"/>
      <c r="B34" s="588" t="str">
        <f>"25"</f>
        <v>25</v>
      </c>
      <c r="C34" s="344" t="s">
        <v>167</v>
      </c>
      <c r="D34" s="346" t="str">
        <f>'Tab.G2.1-3'!$D$72</f>
        <v>[km]</v>
      </c>
      <c r="E34" s="422">
        <f>SUM(E35:E38)</f>
        <v>0</v>
      </c>
      <c r="F34" s="423">
        <f>SUM(F35:F38)</f>
        <v>0</v>
      </c>
      <c r="G34" s="423">
        <f t="shared" ref="G34:K34" si="12">SUM(G35:G38)</f>
        <v>0</v>
      </c>
      <c r="H34" s="423">
        <f t="shared" si="12"/>
        <v>0</v>
      </c>
      <c r="I34" s="423">
        <f t="shared" si="12"/>
        <v>0</v>
      </c>
      <c r="J34" s="423">
        <f t="shared" si="12"/>
        <v>0</v>
      </c>
      <c r="K34" s="423">
        <f t="shared" si="12"/>
        <v>0</v>
      </c>
      <c r="L34" s="424">
        <f>SUM(L35:L38)</f>
        <v>0</v>
      </c>
      <c r="M34" s="437">
        <f>SUM(M35:M38)</f>
        <v>0</v>
      </c>
      <c r="N34" s="39"/>
    </row>
    <row r="35" spans="1:14">
      <c r="A35" s="39"/>
      <c r="B35" s="589" t="str">
        <f>"26"</f>
        <v>26</v>
      </c>
      <c r="C35" s="260" t="s">
        <v>78</v>
      </c>
      <c r="D35" s="347" t="str">
        <f>'Tab.G2.1-3'!$D$72</f>
        <v>[km]</v>
      </c>
      <c r="E35" s="425">
        <f t="shared" ref="E35:L39" si="13">SUM(E105,E175,E245,E315)</f>
        <v>0</v>
      </c>
      <c r="F35" s="426">
        <f t="shared" si="13"/>
        <v>0</v>
      </c>
      <c r="G35" s="426">
        <f t="shared" si="13"/>
        <v>0</v>
      </c>
      <c r="H35" s="426">
        <f t="shared" si="13"/>
        <v>0</v>
      </c>
      <c r="I35" s="426">
        <f t="shared" si="13"/>
        <v>0</v>
      </c>
      <c r="J35" s="426">
        <f t="shared" si="13"/>
        <v>0</v>
      </c>
      <c r="K35" s="426">
        <f t="shared" si="13"/>
        <v>0</v>
      </c>
      <c r="L35" s="427">
        <f t="shared" si="13"/>
        <v>0</v>
      </c>
      <c r="M35" s="428">
        <f>SUM(E35:L35)</f>
        <v>0</v>
      </c>
      <c r="N35" s="39"/>
    </row>
    <row r="36" spans="1:14">
      <c r="A36" s="39"/>
      <c r="B36" s="590" t="str">
        <f>"27"</f>
        <v>27</v>
      </c>
      <c r="C36" s="261" t="s">
        <v>75</v>
      </c>
      <c r="D36" s="348" t="str">
        <f>'Tab.G2.1-3'!$D$72</f>
        <v>[km]</v>
      </c>
      <c r="E36" s="429">
        <f t="shared" si="13"/>
        <v>0</v>
      </c>
      <c r="F36" s="430">
        <f t="shared" si="13"/>
        <v>0</v>
      </c>
      <c r="G36" s="430">
        <f t="shared" si="13"/>
        <v>0</v>
      </c>
      <c r="H36" s="430">
        <f t="shared" si="13"/>
        <v>0</v>
      </c>
      <c r="I36" s="430">
        <f t="shared" si="13"/>
        <v>0</v>
      </c>
      <c r="J36" s="430">
        <f t="shared" si="13"/>
        <v>0</v>
      </c>
      <c r="K36" s="430">
        <f t="shared" si="13"/>
        <v>0</v>
      </c>
      <c r="L36" s="431">
        <f t="shared" si="13"/>
        <v>0</v>
      </c>
      <c r="M36" s="432">
        <f>SUM(E36:L36)</f>
        <v>0</v>
      </c>
      <c r="N36" s="39"/>
    </row>
    <row r="37" spans="1:14">
      <c r="A37" s="39"/>
      <c r="B37" s="590" t="str">
        <f>"28"</f>
        <v>28</v>
      </c>
      <c r="C37" s="262" t="s">
        <v>79</v>
      </c>
      <c r="D37" s="348" t="str">
        <f>'Tab.G2.1-3'!$D$72</f>
        <v>[km]</v>
      </c>
      <c r="E37" s="429">
        <f t="shared" si="13"/>
        <v>0</v>
      </c>
      <c r="F37" s="430">
        <f t="shared" si="13"/>
        <v>0</v>
      </c>
      <c r="G37" s="430">
        <f t="shared" si="13"/>
        <v>0</v>
      </c>
      <c r="H37" s="430">
        <f t="shared" si="13"/>
        <v>0</v>
      </c>
      <c r="I37" s="430">
        <f t="shared" si="13"/>
        <v>0</v>
      </c>
      <c r="J37" s="430">
        <f t="shared" si="13"/>
        <v>0</v>
      </c>
      <c r="K37" s="430">
        <f t="shared" si="13"/>
        <v>0</v>
      </c>
      <c r="L37" s="431">
        <f t="shared" si="13"/>
        <v>0</v>
      </c>
      <c r="M37" s="432">
        <f>SUM(E37:L37)</f>
        <v>0</v>
      </c>
      <c r="N37" s="39"/>
    </row>
    <row r="38" spans="1:14" ht="16.5" thickBot="1">
      <c r="A38" s="39"/>
      <c r="B38" s="592" t="str">
        <f>"29"</f>
        <v>29</v>
      </c>
      <c r="C38" s="265" t="s">
        <v>80</v>
      </c>
      <c r="D38" s="350" t="str">
        <f>'Tab.G2.1-3'!$D$72</f>
        <v>[km]</v>
      </c>
      <c r="E38" s="438">
        <f t="shared" si="13"/>
        <v>0</v>
      </c>
      <c r="F38" s="439">
        <f t="shared" si="13"/>
        <v>0</v>
      </c>
      <c r="G38" s="439">
        <f t="shared" si="13"/>
        <v>0</v>
      </c>
      <c r="H38" s="439">
        <f t="shared" si="13"/>
        <v>0</v>
      </c>
      <c r="I38" s="439">
        <f t="shared" si="13"/>
        <v>0</v>
      </c>
      <c r="J38" s="439">
        <f t="shared" si="13"/>
        <v>0</v>
      </c>
      <c r="K38" s="439">
        <f t="shared" si="13"/>
        <v>0</v>
      </c>
      <c r="L38" s="440">
        <f t="shared" si="13"/>
        <v>0</v>
      </c>
      <c r="M38" s="441">
        <f>SUM(E38:L38)</f>
        <v>0</v>
      </c>
      <c r="N38" s="39"/>
    </row>
    <row r="39" spans="1:14" ht="18.75" customHeight="1" thickBot="1">
      <c r="A39" s="39"/>
      <c r="B39" s="365" t="str">
        <f>"30"</f>
        <v>30</v>
      </c>
      <c r="C39" s="339" t="s">
        <v>168</v>
      </c>
      <c r="D39" s="345" t="str">
        <f>'Tab.G2.1-3'!$D$72</f>
        <v>[km]</v>
      </c>
      <c r="E39" s="418">
        <f t="shared" si="13"/>
        <v>0</v>
      </c>
      <c r="F39" s="419">
        <f t="shared" si="13"/>
        <v>0</v>
      </c>
      <c r="G39" s="419">
        <f t="shared" si="13"/>
        <v>0</v>
      </c>
      <c r="H39" s="419">
        <f t="shared" si="13"/>
        <v>0</v>
      </c>
      <c r="I39" s="419">
        <f t="shared" si="13"/>
        <v>0</v>
      </c>
      <c r="J39" s="419">
        <f t="shared" si="13"/>
        <v>0</v>
      </c>
      <c r="K39" s="419">
        <f t="shared" si="13"/>
        <v>0</v>
      </c>
      <c r="L39" s="420">
        <f t="shared" si="13"/>
        <v>0</v>
      </c>
      <c r="M39" s="421">
        <f t="shared" ref="M39" si="14">SUM(E39:L39)</f>
        <v>0</v>
      </c>
      <c r="N39" s="39"/>
    </row>
    <row r="40" spans="1:14" ht="16.5" thickBot="1">
      <c r="A40" s="39"/>
      <c r="B40" s="365" t="str">
        <f>"31"</f>
        <v>31</v>
      </c>
      <c r="C40" s="339" t="s">
        <v>189</v>
      </c>
      <c r="D40" s="345" t="str">
        <f>'Tab.G2.1-3'!$D$72</f>
        <v>[km]</v>
      </c>
      <c r="E40" s="418">
        <f>SUM(E41,E46)</f>
        <v>0</v>
      </c>
      <c r="F40" s="442">
        <f>SUM(F41,F46)</f>
        <v>0</v>
      </c>
      <c r="G40" s="442">
        <f t="shared" ref="G40:K40" si="15">SUM(G41,G46)</f>
        <v>0</v>
      </c>
      <c r="H40" s="442">
        <f t="shared" si="15"/>
        <v>0</v>
      </c>
      <c r="I40" s="442">
        <f t="shared" si="15"/>
        <v>0</v>
      </c>
      <c r="J40" s="442">
        <f t="shared" si="15"/>
        <v>0</v>
      </c>
      <c r="K40" s="442">
        <f t="shared" si="15"/>
        <v>0</v>
      </c>
      <c r="L40" s="443">
        <f>SUM(L41,L46)</f>
        <v>0</v>
      </c>
      <c r="M40" s="421">
        <f>SUM(M41,M46)</f>
        <v>0</v>
      </c>
      <c r="N40" s="39"/>
    </row>
    <row r="41" spans="1:14">
      <c r="A41" s="39"/>
      <c r="B41" s="366" t="str">
        <f>"32"</f>
        <v>32</v>
      </c>
      <c r="C41" s="344" t="s">
        <v>72</v>
      </c>
      <c r="D41" s="351" t="str">
        <f>'Tab.G2.1-3'!$D$72</f>
        <v>[km]</v>
      </c>
      <c r="E41" s="444">
        <f>SUM(E42:E45)</f>
        <v>0</v>
      </c>
      <c r="F41" s="445">
        <f>SUM(F42:F45)</f>
        <v>0</v>
      </c>
      <c r="G41" s="445">
        <f t="shared" ref="G41:K41" si="16">SUM(G42:G45)</f>
        <v>0</v>
      </c>
      <c r="H41" s="445">
        <f t="shared" si="16"/>
        <v>0</v>
      </c>
      <c r="I41" s="445">
        <f t="shared" si="16"/>
        <v>0</v>
      </c>
      <c r="J41" s="445">
        <f t="shared" si="16"/>
        <v>0</v>
      </c>
      <c r="K41" s="445">
        <f t="shared" si="16"/>
        <v>0</v>
      </c>
      <c r="L41" s="446">
        <f>SUM(L42:L45)</f>
        <v>0</v>
      </c>
      <c r="M41" s="437">
        <f>SUM(M42:M45)</f>
        <v>0</v>
      </c>
      <c r="N41" s="39"/>
    </row>
    <row r="42" spans="1:14">
      <c r="A42" s="39"/>
      <c r="B42" s="593" t="str">
        <f>"33"</f>
        <v>33</v>
      </c>
      <c r="C42" s="263" t="s">
        <v>81</v>
      </c>
      <c r="D42" s="352" t="str">
        <f>'Tab.G2.1-3'!$D$72</f>
        <v>[km]</v>
      </c>
      <c r="E42" s="447">
        <f t="shared" ref="E42:L45" si="17">SUM(E112,E182,E252,E322)</f>
        <v>0</v>
      </c>
      <c r="F42" s="448">
        <f t="shared" si="17"/>
        <v>0</v>
      </c>
      <c r="G42" s="448">
        <f t="shared" si="17"/>
        <v>0</v>
      </c>
      <c r="H42" s="448">
        <f t="shared" si="17"/>
        <v>0</v>
      </c>
      <c r="I42" s="448">
        <f t="shared" si="17"/>
        <v>0</v>
      </c>
      <c r="J42" s="448">
        <f t="shared" si="17"/>
        <v>0</v>
      </c>
      <c r="K42" s="448">
        <f t="shared" si="17"/>
        <v>0</v>
      </c>
      <c r="L42" s="449">
        <f t="shared" si="17"/>
        <v>0</v>
      </c>
      <c r="M42" s="428">
        <f>SUM(E42:L42)</f>
        <v>0</v>
      </c>
      <c r="N42" s="39"/>
    </row>
    <row r="43" spans="1:14">
      <c r="A43" s="39"/>
      <c r="B43" s="594" t="str">
        <f>"34"</f>
        <v>34</v>
      </c>
      <c r="C43" s="262" t="s">
        <v>82</v>
      </c>
      <c r="D43" s="353" t="str">
        <f>'Tab.G2.1-3'!$D$72</f>
        <v>[km]</v>
      </c>
      <c r="E43" s="450">
        <f t="shared" si="17"/>
        <v>0</v>
      </c>
      <c r="F43" s="451">
        <f t="shared" si="17"/>
        <v>0</v>
      </c>
      <c r="G43" s="451">
        <f t="shared" si="17"/>
        <v>0</v>
      </c>
      <c r="H43" s="451">
        <f t="shared" si="17"/>
        <v>0</v>
      </c>
      <c r="I43" s="451">
        <f t="shared" si="17"/>
        <v>0</v>
      </c>
      <c r="J43" s="451">
        <f t="shared" si="17"/>
        <v>0</v>
      </c>
      <c r="K43" s="451">
        <f t="shared" si="17"/>
        <v>0</v>
      </c>
      <c r="L43" s="452">
        <f t="shared" si="17"/>
        <v>0</v>
      </c>
      <c r="M43" s="432">
        <f>SUM(E43:L43)</f>
        <v>0</v>
      </c>
      <c r="N43" s="39"/>
    </row>
    <row r="44" spans="1:14">
      <c r="A44" s="39"/>
      <c r="B44" s="594" t="str">
        <f>"35"</f>
        <v>35</v>
      </c>
      <c r="C44" s="262" t="s">
        <v>83</v>
      </c>
      <c r="D44" s="353" t="str">
        <f>'Tab.G2.1-3'!$D$72</f>
        <v>[km]</v>
      </c>
      <c r="E44" s="450">
        <f t="shared" si="17"/>
        <v>0</v>
      </c>
      <c r="F44" s="451">
        <f t="shared" si="17"/>
        <v>0</v>
      </c>
      <c r="G44" s="451">
        <f t="shared" si="17"/>
        <v>0</v>
      </c>
      <c r="H44" s="451">
        <f t="shared" si="17"/>
        <v>0</v>
      </c>
      <c r="I44" s="451">
        <f t="shared" si="17"/>
        <v>0</v>
      </c>
      <c r="J44" s="451">
        <f t="shared" si="17"/>
        <v>0</v>
      </c>
      <c r="K44" s="451">
        <f t="shared" si="17"/>
        <v>0</v>
      </c>
      <c r="L44" s="452">
        <f t="shared" si="17"/>
        <v>0</v>
      </c>
      <c r="M44" s="432">
        <f>SUM(E44:L44)</f>
        <v>0</v>
      </c>
      <c r="N44" s="39"/>
    </row>
    <row r="45" spans="1:14">
      <c r="A45" s="39"/>
      <c r="B45" s="595" t="str">
        <f>"36"</f>
        <v>36</v>
      </c>
      <c r="C45" s="264" t="s">
        <v>84</v>
      </c>
      <c r="D45" s="354" t="str">
        <f>'Tab.G2.1-3'!$D$72</f>
        <v>[km]</v>
      </c>
      <c r="E45" s="453">
        <f t="shared" si="17"/>
        <v>0</v>
      </c>
      <c r="F45" s="454">
        <f t="shared" si="17"/>
        <v>0</v>
      </c>
      <c r="G45" s="454">
        <f t="shared" si="17"/>
        <v>0</v>
      </c>
      <c r="H45" s="454">
        <f t="shared" si="17"/>
        <v>0</v>
      </c>
      <c r="I45" s="454">
        <f t="shared" si="17"/>
        <v>0</v>
      </c>
      <c r="J45" s="454">
        <f t="shared" si="17"/>
        <v>0</v>
      </c>
      <c r="K45" s="454">
        <f t="shared" si="17"/>
        <v>0</v>
      </c>
      <c r="L45" s="455">
        <f t="shared" si="17"/>
        <v>0</v>
      </c>
      <c r="M45" s="436">
        <f>SUM(E45:L45)</f>
        <v>0</v>
      </c>
      <c r="N45" s="39"/>
    </row>
    <row r="46" spans="1:14">
      <c r="A46" s="39"/>
      <c r="B46" s="596" t="str">
        <f>"37"</f>
        <v>37</v>
      </c>
      <c r="C46" s="344" t="s">
        <v>77</v>
      </c>
      <c r="D46" s="351" t="str">
        <f>'Tab.G2.1-3'!$D$72</f>
        <v>[km]</v>
      </c>
      <c r="E46" s="444">
        <f>SUM(E47:E50)</f>
        <v>0</v>
      </c>
      <c r="F46" s="445">
        <f>SUM(F47:F50)</f>
        <v>0</v>
      </c>
      <c r="G46" s="445">
        <f t="shared" ref="G46:K46" si="18">SUM(G47:G50)</f>
        <v>0</v>
      </c>
      <c r="H46" s="445">
        <f t="shared" si="18"/>
        <v>0</v>
      </c>
      <c r="I46" s="445">
        <f t="shared" si="18"/>
        <v>0</v>
      </c>
      <c r="J46" s="445">
        <f t="shared" si="18"/>
        <v>0</v>
      </c>
      <c r="K46" s="445">
        <f t="shared" si="18"/>
        <v>0</v>
      </c>
      <c r="L46" s="446">
        <f>SUM(L47:L50)</f>
        <v>0</v>
      </c>
      <c r="M46" s="437">
        <f>SUM(M47:M50)</f>
        <v>0</v>
      </c>
      <c r="N46" s="39"/>
    </row>
    <row r="47" spans="1:14">
      <c r="A47" s="39"/>
      <c r="B47" s="593" t="str">
        <f>"38"</f>
        <v>38</v>
      </c>
      <c r="C47" s="263" t="s">
        <v>81</v>
      </c>
      <c r="D47" s="352" t="str">
        <f>'Tab.G2.1-3'!$D$72</f>
        <v>[km]</v>
      </c>
      <c r="E47" s="447">
        <f t="shared" ref="E47:L50" si="19">SUM(E117,E187,E257,E327)</f>
        <v>0</v>
      </c>
      <c r="F47" s="448">
        <f t="shared" si="19"/>
        <v>0</v>
      </c>
      <c r="G47" s="448">
        <f t="shared" si="19"/>
        <v>0</v>
      </c>
      <c r="H47" s="448">
        <f t="shared" si="19"/>
        <v>0</v>
      </c>
      <c r="I47" s="448">
        <f t="shared" si="19"/>
        <v>0</v>
      </c>
      <c r="J47" s="448">
        <f t="shared" si="19"/>
        <v>0</v>
      </c>
      <c r="K47" s="448">
        <f t="shared" si="19"/>
        <v>0</v>
      </c>
      <c r="L47" s="449">
        <f t="shared" si="19"/>
        <v>0</v>
      </c>
      <c r="M47" s="428">
        <f>SUM(E47:L47)</f>
        <v>0</v>
      </c>
      <c r="N47" s="39"/>
    </row>
    <row r="48" spans="1:14">
      <c r="A48" s="39"/>
      <c r="B48" s="594" t="str">
        <f>"39"</f>
        <v>39</v>
      </c>
      <c r="C48" s="262" t="s">
        <v>82</v>
      </c>
      <c r="D48" s="353" t="str">
        <f>'Tab.G2.1-3'!$D$72</f>
        <v>[km]</v>
      </c>
      <c r="E48" s="450">
        <f t="shared" si="19"/>
        <v>0</v>
      </c>
      <c r="F48" s="451">
        <f t="shared" si="19"/>
        <v>0</v>
      </c>
      <c r="G48" s="451">
        <f t="shared" si="19"/>
        <v>0</v>
      </c>
      <c r="H48" s="451">
        <f t="shared" si="19"/>
        <v>0</v>
      </c>
      <c r="I48" s="451">
        <f t="shared" si="19"/>
        <v>0</v>
      </c>
      <c r="J48" s="451">
        <f t="shared" si="19"/>
        <v>0</v>
      </c>
      <c r="K48" s="451">
        <f t="shared" si="19"/>
        <v>0</v>
      </c>
      <c r="L48" s="452">
        <f t="shared" si="19"/>
        <v>0</v>
      </c>
      <c r="M48" s="432">
        <f>SUM(E48:L48)</f>
        <v>0</v>
      </c>
      <c r="N48" s="39"/>
    </row>
    <row r="49" spans="1:14">
      <c r="A49" s="39"/>
      <c r="B49" s="594" t="str">
        <f>"40"</f>
        <v>40</v>
      </c>
      <c r="C49" s="262" t="s">
        <v>83</v>
      </c>
      <c r="D49" s="353" t="str">
        <f>'Tab.G2.1-3'!$D$72</f>
        <v>[km]</v>
      </c>
      <c r="E49" s="450">
        <f t="shared" si="19"/>
        <v>0</v>
      </c>
      <c r="F49" s="451">
        <f t="shared" si="19"/>
        <v>0</v>
      </c>
      <c r="G49" s="451">
        <f t="shared" si="19"/>
        <v>0</v>
      </c>
      <c r="H49" s="451">
        <f t="shared" si="19"/>
        <v>0</v>
      </c>
      <c r="I49" s="451">
        <f t="shared" si="19"/>
        <v>0</v>
      </c>
      <c r="J49" s="451">
        <f t="shared" si="19"/>
        <v>0</v>
      </c>
      <c r="K49" s="451">
        <f t="shared" si="19"/>
        <v>0</v>
      </c>
      <c r="L49" s="452">
        <f t="shared" si="19"/>
        <v>0</v>
      </c>
      <c r="M49" s="432">
        <f>SUM(E49:L49)</f>
        <v>0</v>
      </c>
      <c r="N49" s="39"/>
    </row>
    <row r="50" spans="1:14" ht="16.5" thickBot="1">
      <c r="A50" s="39"/>
      <c r="B50" s="597" t="str">
        <f>"41"</f>
        <v>41</v>
      </c>
      <c r="C50" s="265" t="s">
        <v>84</v>
      </c>
      <c r="D50" s="355" t="str">
        <f>'Tab.G2.1-3'!$D$72</f>
        <v>[km]</v>
      </c>
      <c r="E50" s="456">
        <f t="shared" si="19"/>
        <v>0</v>
      </c>
      <c r="F50" s="457">
        <f t="shared" si="19"/>
        <v>0</v>
      </c>
      <c r="G50" s="457">
        <f t="shared" si="19"/>
        <v>0</v>
      </c>
      <c r="H50" s="457">
        <f t="shared" si="19"/>
        <v>0</v>
      </c>
      <c r="I50" s="457">
        <f t="shared" si="19"/>
        <v>0</v>
      </c>
      <c r="J50" s="457">
        <f t="shared" si="19"/>
        <v>0</v>
      </c>
      <c r="K50" s="457">
        <f t="shared" si="19"/>
        <v>0</v>
      </c>
      <c r="L50" s="458">
        <f t="shared" si="19"/>
        <v>0</v>
      </c>
      <c r="M50" s="441">
        <f>SUM(E50:L50)</f>
        <v>0</v>
      </c>
      <c r="N50" s="39"/>
    </row>
    <row r="51" spans="1:14" ht="16.5" thickBot="1">
      <c r="A51" s="39"/>
      <c r="B51" s="551" t="str">
        <f>"42"</f>
        <v>42</v>
      </c>
      <c r="C51" s="552" t="s">
        <v>113</v>
      </c>
      <c r="D51" s="553" t="str">
        <f>'Tab.G2.1-3'!$D$106</f>
        <v>[szt.]</v>
      </c>
      <c r="E51" s="554">
        <f>SUM(E52,E56,E60,E64:E66)</f>
        <v>0</v>
      </c>
      <c r="F51" s="555">
        <f>SUM(F52,F56,F60,F64:F66)</f>
        <v>0</v>
      </c>
      <c r="G51" s="555">
        <f t="shared" ref="G51:K51" si="20">SUM(G52,G56,G60,G64:G66)</f>
        <v>0</v>
      </c>
      <c r="H51" s="555">
        <f t="shared" si="20"/>
        <v>0</v>
      </c>
      <c r="I51" s="555">
        <f t="shared" si="20"/>
        <v>0</v>
      </c>
      <c r="J51" s="555">
        <f t="shared" si="20"/>
        <v>0</v>
      </c>
      <c r="K51" s="555">
        <f t="shared" si="20"/>
        <v>0</v>
      </c>
      <c r="L51" s="556">
        <f>SUM(L52,L56,L60,L64:L66)</f>
        <v>0</v>
      </c>
      <c r="M51" s="368">
        <f>SUM(M52,M56,M60,M64:M66)</f>
        <v>0</v>
      </c>
      <c r="N51" s="39"/>
    </row>
    <row r="52" spans="1:14">
      <c r="A52" s="39"/>
      <c r="B52" s="598" t="str">
        <f>"43"</f>
        <v>43</v>
      </c>
      <c r="C52" s="342" t="s">
        <v>191</v>
      </c>
      <c r="D52" s="356" t="str">
        <f>'Tab.G2.1-3'!$D$106</f>
        <v>[szt.]</v>
      </c>
      <c r="E52" s="369">
        <f>SUM(E53:E55)</f>
        <v>0</v>
      </c>
      <c r="F52" s="370">
        <f>SUM(F53:F55)</f>
        <v>0</v>
      </c>
      <c r="G52" s="370">
        <f t="shared" ref="G52:K52" si="21">SUM(G53:G55)</f>
        <v>0</v>
      </c>
      <c r="H52" s="370">
        <f t="shared" si="21"/>
        <v>0</v>
      </c>
      <c r="I52" s="370">
        <f t="shared" si="21"/>
        <v>0</v>
      </c>
      <c r="J52" s="370">
        <f t="shared" si="21"/>
        <v>0</v>
      </c>
      <c r="K52" s="370">
        <f t="shared" si="21"/>
        <v>0</v>
      </c>
      <c r="L52" s="371">
        <f>SUM(L53:L55)</f>
        <v>0</v>
      </c>
      <c r="M52" s="372">
        <f>SUM(M53:M55)</f>
        <v>0</v>
      </c>
      <c r="N52" s="39"/>
    </row>
    <row r="53" spans="1:14">
      <c r="A53" s="39"/>
      <c r="B53" s="589" t="str">
        <f>"44"</f>
        <v>44</v>
      </c>
      <c r="C53" s="260" t="s">
        <v>85</v>
      </c>
      <c r="D53" s="352" t="str">
        <f>'Tab.G2.1-3'!$D$106</f>
        <v>[szt.]</v>
      </c>
      <c r="E53" s="373">
        <f t="shared" ref="E53:L55" si="22">SUM(E123,E193,E263,E333)</f>
        <v>0</v>
      </c>
      <c r="F53" s="374">
        <f t="shared" si="22"/>
        <v>0</v>
      </c>
      <c r="G53" s="374">
        <f t="shared" si="22"/>
        <v>0</v>
      </c>
      <c r="H53" s="374">
        <f t="shared" si="22"/>
        <v>0</v>
      </c>
      <c r="I53" s="374">
        <f t="shared" si="22"/>
        <v>0</v>
      </c>
      <c r="J53" s="374">
        <f t="shared" si="22"/>
        <v>0</v>
      </c>
      <c r="K53" s="374">
        <f t="shared" si="22"/>
        <v>0</v>
      </c>
      <c r="L53" s="375">
        <f t="shared" si="22"/>
        <v>0</v>
      </c>
      <c r="M53" s="376">
        <f>SUM(E53:L53)</f>
        <v>0</v>
      </c>
      <c r="N53" s="39"/>
    </row>
    <row r="54" spans="1:14">
      <c r="A54" s="39"/>
      <c r="B54" s="590" t="str">
        <f>"45"</f>
        <v>45</v>
      </c>
      <c r="C54" s="261" t="s">
        <v>86</v>
      </c>
      <c r="D54" s="353" t="str">
        <f>'Tab.G2.1-3'!$D$106</f>
        <v>[szt.]</v>
      </c>
      <c r="E54" s="377">
        <f t="shared" si="22"/>
        <v>0</v>
      </c>
      <c r="F54" s="378">
        <f t="shared" si="22"/>
        <v>0</v>
      </c>
      <c r="G54" s="378">
        <f t="shared" si="22"/>
        <v>0</v>
      </c>
      <c r="H54" s="378">
        <f t="shared" si="22"/>
        <v>0</v>
      </c>
      <c r="I54" s="378">
        <f t="shared" si="22"/>
        <v>0</v>
      </c>
      <c r="J54" s="378">
        <f t="shared" si="22"/>
        <v>0</v>
      </c>
      <c r="K54" s="378">
        <f t="shared" si="22"/>
        <v>0</v>
      </c>
      <c r="L54" s="379">
        <f t="shared" si="22"/>
        <v>0</v>
      </c>
      <c r="M54" s="380">
        <f>SUM(E54:L54)</f>
        <v>0</v>
      </c>
      <c r="N54" s="39"/>
    </row>
    <row r="55" spans="1:14">
      <c r="A55" s="39"/>
      <c r="B55" s="591" t="str">
        <f>"46"</f>
        <v>46</v>
      </c>
      <c r="C55" s="269" t="s">
        <v>87</v>
      </c>
      <c r="D55" s="354" t="str">
        <f>'Tab.G2.1-3'!$D$106</f>
        <v>[szt.]</v>
      </c>
      <c r="E55" s="381">
        <f t="shared" si="22"/>
        <v>0</v>
      </c>
      <c r="F55" s="382">
        <f t="shared" si="22"/>
        <v>0</v>
      </c>
      <c r="G55" s="382">
        <f t="shared" si="22"/>
        <v>0</v>
      </c>
      <c r="H55" s="382">
        <f t="shared" si="22"/>
        <v>0</v>
      </c>
      <c r="I55" s="382">
        <f t="shared" si="22"/>
        <v>0</v>
      </c>
      <c r="J55" s="382">
        <f t="shared" si="22"/>
        <v>0</v>
      </c>
      <c r="K55" s="382">
        <f t="shared" si="22"/>
        <v>0</v>
      </c>
      <c r="L55" s="383">
        <f t="shared" si="22"/>
        <v>0</v>
      </c>
      <c r="M55" s="384">
        <f>SUM(E55:L55)</f>
        <v>0</v>
      </c>
      <c r="N55" s="39"/>
    </row>
    <row r="56" spans="1:14">
      <c r="A56" s="39"/>
      <c r="B56" s="599" t="str">
        <f>"47"</f>
        <v>47</v>
      </c>
      <c r="C56" s="342" t="s">
        <v>192</v>
      </c>
      <c r="D56" s="357" t="str">
        <f>'Tab.G2.1-3'!$D$106</f>
        <v>[szt.]</v>
      </c>
      <c r="E56" s="385">
        <f t="shared" ref="E56:M56" si="23">SUM(E57:E59)</f>
        <v>0</v>
      </c>
      <c r="F56" s="386">
        <f t="shared" si="23"/>
        <v>0</v>
      </c>
      <c r="G56" s="386">
        <f t="shared" si="23"/>
        <v>0</v>
      </c>
      <c r="H56" s="386">
        <f t="shared" si="23"/>
        <v>0</v>
      </c>
      <c r="I56" s="386">
        <f t="shared" si="23"/>
        <v>0</v>
      </c>
      <c r="J56" s="386">
        <f t="shared" si="23"/>
        <v>0</v>
      </c>
      <c r="K56" s="386">
        <f t="shared" si="23"/>
        <v>0</v>
      </c>
      <c r="L56" s="387">
        <f t="shared" si="23"/>
        <v>0</v>
      </c>
      <c r="M56" s="388">
        <f t="shared" si="23"/>
        <v>0</v>
      </c>
      <c r="N56" s="39"/>
    </row>
    <row r="57" spans="1:14">
      <c r="A57" s="39"/>
      <c r="B57" s="589" t="str">
        <f>"48"</f>
        <v>48</v>
      </c>
      <c r="C57" s="260" t="s">
        <v>88</v>
      </c>
      <c r="D57" s="352" t="str">
        <f>'Tab.G2.1-3'!$D$106</f>
        <v>[szt.]</v>
      </c>
      <c r="E57" s="373">
        <f t="shared" ref="E57:L59" si="24">SUM(E127,E197,E267,E337)</f>
        <v>0</v>
      </c>
      <c r="F57" s="374">
        <f t="shared" si="24"/>
        <v>0</v>
      </c>
      <c r="G57" s="374">
        <f t="shared" si="24"/>
        <v>0</v>
      </c>
      <c r="H57" s="374">
        <f t="shared" si="24"/>
        <v>0</v>
      </c>
      <c r="I57" s="374">
        <f t="shared" si="24"/>
        <v>0</v>
      </c>
      <c r="J57" s="374">
        <f t="shared" si="24"/>
        <v>0</v>
      </c>
      <c r="K57" s="374">
        <f t="shared" si="24"/>
        <v>0</v>
      </c>
      <c r="L57" s="375">
        <f t="shared" si="24"/>
        <v>0</v>
      </c>
      <c r="M57" s="376">
        <f>SUM(E57:L57)</f>
        <v>0</v>
      </c>
      <c r="N57" s="39"/>
    </row>
    <row r="58" spans="1:14">
      <c r="A58" s="39"/>
      <c r="B58" s="590" t="str">
        <f>"49"</f>
        <v>49</v>
      </c>
      <c r="C58" s="262" t="s">
        <v>89</v>
      </c>
      <c r="D58" s="353" t="str">
        <f>'Tab.G2.1-3'!$D$106</f>
        <v>[szt.]</v>
      </c>
      <c r="E58" s="377">
        <f t="shared" si="24"/>
        <v>0</v>
      </c>
      <c r="F58" s="378">
        <f t="shared" si="24"/>
        <v>0</v>
      </c>
      <c r="G58" s="378">
        <f t="shared" si="24"/>
        <v>0</v>
      </c>
      <c r="H58" s="378">
        <f t="shared" si="24"/>
        <v>0</v>
      </c>
      <c r="I58" s="378">
        <f t="shared" si="24"/>
        <v>0</v>
      </c>
      <c r="J58" s="378">
        <f t="shared" si="24"/>
        <v>0</v>
      </c>
      <c r="K58" s="378">
        <f t="shared" si="24"/>
        <v>0</v>
      </c>
      <c r="L58" s="379">
        <f t="shared" si="24"/>
        <v>0</v>
      </c>
      <c r="M58" s="380">
        <f>SUM(E58:L58)</f>
        <v>0</v>
      </c>
      <c r="N58" s="39"/>
    </row>
    <row r="59" spans="1:14">
      <c r="A59" s="39"/>
      <c r="B59" s="591" t="str">
        <f>"50"</f>
        <v>50</v>
      </c>
      <c r="C59" s="269" t="s">
        <v>90</v>
      </c>
      <c r="D59" s="354" t="str">
        <f>'Tab.G2.1-3'!$D$106</f>
        <v>[szt.]</v>
      </c>
      <c r="E59" s="381">
        <f t="shared" si="24"/>
        <v>0</v>
      </c>
      <c r="F59" s="382">
        <f t="shared" si="24"/>
        <v>0</v>
      </c>
      <c r="G59" s="382">
        <f t="shared" si="24"/>
        <v>0</v>
      </c>
      <c r="H59" s="382">
        <f t="shared" si="24"/>
        <v>0</v>
      </c>
      <c r="I59" s="382">
        <f t="shared" si="24"/>
        <v>0</v>
      </c>
      <c r="J59" s="382">
        <f t="shared" si="24"/>
        <v>0</v>
      </c>
      <c r="K59" s="382">
        <f t="shared" si="24"/>
        <v>0</v>
      </c>
      <c r="L59" s="383">
        <f t="shared" si="24"/>
        <v>0</v>
      </c>
      <c r="M59" s="384">
        <f>SUM(E59:L59)</f>
        <v>0</v>
      </c>
      <c r="N59" s="39"/>
    </row>
    <row r="60" spans="1:14">
      <c r="A60" s="39"/>
      <c r="B60" s="599" t="str">
        <f>"51"</f>
        <v>51</v>
      </c>
      <c r="C60" s="342" t="s">
        <v>193</v>
      </c>
      <c r="D60" s="357" t="str">
        <f>'Tab.G2.1-3'!$D$106</f>
        <v>[szt.]</v>
      </c>
      <c r="E60" s="385">
        <f t="shared" ref="E60:K60" si="25">SUM(E61:E63)</f>
        <v>0</v>
      </c>
      <c r="F60" s="386">
        <f t="shared" si="25"/>
        <v>0</v>
      </c>
      <c r="G60" s="386">
        <f t="shared" si="25"/>
        <v>0</v>
      </c>
      <c r="H60" s="386">
        <f t="shared" si="25"/>
        <v>0</v>
      </c>
      <c r="I60" s="386">
        <f t="shared" si="25"/>
        <v>0</v>
      </c>
      <c r="J60" s="386">
        <f t="shared" si="25"/>
        <v>0</v>
      </c>
      <c r="K60" s="386">
        <f t="shared" si="25"/>
        <v>0</v>
      </c>
      <c r="L60" s="387">
        <f t="shared" ref="L60:M60" si="26">SUM(L61:L63)</f>
        <v>0</v>
      </c>
      <c r="M60" s="388">
        <f t="shared" si="26"/>
        <v>0</v>
      </c>
      <c r="N60" s="39"/>
    </row>
    <row r="61" spans="1:14">
      <c r="A61" s="39"/>
      <c r="B61" s="593" t="str">
        <f>"52"</f>
        <v>52</v>
      </c>
      <c r="C61" s="260" t="s">
        <v>88</v>
      </c>
      <c r="D61" s="352" t="str">
        <f>'Tab.G2.1-3'!$D$106</f>
        <v>[szt.]</v>
      </c>
      <c r="E61" s="389">
        <f t="shared" ref="E61:L66" si="27">SUM(E131,E201,E271,E341)</f>
        <v>0</v>
      </c>
      <c r="F61" s="390">
        <f t="shared" si="27"/>
        <v>0</v>
      </c>
      <c r="G61" s="390">
        <f t="shared" si="27"/>
        <v>0</v>
      </c>
      <c r="H61" s="390">
        <f t="shared" si="27"/>
        <v>0</v>
      </c>
      <c r="I61" s="390">
        <f t="shared" si="27"/>
        <v>0</v>
      </c>
      <c r="J61" s="390">
        <f t="shared" si="27"/>
        <v>0</v>
      </c>
      <c r="K61" s="390">
        <f t="shared" si="27"/>
        <v>0</v>
      </c>
      <c r="L61" s="391">
        <f t="shared" si="27"/>
        <v>0</v>
      </c>
      <c r="M61" s="376">
        <f t="shared" ref="M61:M66" si="28">SUM(E61:L61)</f>
        <v>0</v>
      </c>
      <c r="N61" s="39"/>
    </row>
    <row r="62" spans="1:14">
      <c r="A62" s="39"/>
      <c r="B62" s="594" t="str">
        <f>"53"</f>
        <v>53</v>
      </c>
      <c r="C62" s="262" t="s">
        <v>89</v>
      </c>
      <c r="D62" s="353" t="str">
        <f>'Tab.G2.1-3'!$D$106</f>
        <v>[szt.]</v>
      </c>
      <c r="E62" s="392">
        <f t="shared" si="27"/>
        <v>0</v>
      </c>
      <c r="F62" s="393">
        <f t="shared" si="27"/>
        <v>0</v>
      </c>
      <c r="G62" s="393">
        <f t="shared" si="27"/>
        <v>0</v>
      </c>
      <c r="H62" s="393">
        <f t="shared" si="27"/>
        <v>0</v>
      </c>
      <c r="I62" s="393">
        <f t="shared" si="27"/>
        <v>0</v>
      </c>
      <c r="J62" s="393">
        <f t="shared" si="27"/>
        <v>0</v>
      </c>
      <c r="K62" s="393">
        <f t="shared" si="27"/>
        <v>0</v>
      </c>
      <c r="L62" s="394">
        <f t="shared" si="27"/>
        <v>0</v>
      </c>
      <c r="M62" s="380">
        <f t="shared" si="28"/>
        <v>0</v>
      </c>
      <c r="N62" s="39"/>
    </row>
    <row r="63" spans="1:14">
      <c r="A63" s="39"/>
      <c r="B63" s="595" t="str">
        <f>"54"</f>
        <v>54</v>
      </c>
      <c r="C63" s="269" t="s">
        <v>90</v>
      </c>
      <c r="D63" s="354" t="str">
        <f>'Tab.G2.1-3'!$D$106</f>
        <v>[szt.]</v>
      </c>
      <c r="E63" s="395">
        <f t="shared" si="27"/>
        <v>0</v>
      </c>
      <c r="F63" s="396">
        <f t="shared" si="27"/>
        <v>0</v>
      </c>
      <c r="G63" s="396">
        <f t="shared" si="27"/>
        <v>0</v>
      </c>
      <c r="H63" s="396">
        <f t="shared" si="27"/>
        <v>0</v>
      </c>
      <c r="I63" s="396">
        <f t="shared" si="27"/>
        <v>0</v>
      </c>
      <c r="J63" s="396">
        <f t="shared" si="27"/>
        <v>0</v>
      </c>
      <c r="K63" s="396">
        <f t="shared" si="27"/>
        <v>0</v>
      </c>
      <c r="L63" s="397">
        <f t="shared" si="27"/>
        <v>0</v>
      </c>
      <c r="M63" s="384">
        <f t="shared" si="28"/>
        <v>0</v>
      </c>
      <c r="N63" s="39"/>
    </row>
    <row r="64" spans="1:14">
      <c r="A64" s="39"/>
      <c r="B64" s="600" t="str">
        <f>"55"</f>
        <v>55</v>
      </c>
      <c r="C64" s="341" t="s">
        <v>194</v>
      </c>
      <c r="D64" s="358" t="str">
        <f>'Tab.G2.1-3'!$D$106</f>
        <v>[szt.]</v>
      </c>
      <c r="E64" s="398">
        <f t="shared" si="27"/>
        <v>0</v>
      </c>
      <c r="F64" s="399">
        <f t="shared" si="27"/>
        <v>0</v>
      </c>
      <c r="G64" s="399">
        <f t="shared" si="27"/>
        <v>0</v>
      </c>
      <c r="H64" s="399">
        <f t="shared" si="27"/>
        <v>0</v>
      </c>
      <c r="I64" s="399">
        <f t="shared" si="27"/>
        <v>0</v>
      </c>
      <c r="J64" s="399">
        <f t="shared" si="27"/>
        <v>0</v>
      </c>
      <c r="K64" s="399">
        <f t="shared" si="27"/>
        <v>0</v>
      </c>
      <c r="L64" s="400">
        <f t="shared" si="27"/>
        <v>0</v>
      </c>
      <c r="M64" s="401">
        <f t="shared" si="28"/>
        <v>0</v>
      </c>
      <c r="N64" s="39"/>
    </row>
    <row r="65" spans="1:14">
      <c r="A65" s="39"/>
      <c r="B65" s="600" t="str">
        <f>"56"</f>
        <v>56</v>
      </c>
      <c r="C65" s="341" t="s">
        <v>195</v>
      </c>
      <c r="D65" s="358" t="str">
        <f>'Tab.G2.1-3'!$D$106</f>
        <v>[szt.]</v>
      </c>
      <c r="E65" s="398">
        <f t="shared" si="27"/>
        <v>0</v>
      </c>
      <c r="F65" s="399">
        <f t="shared" si="27"/>
        <v>0</v>
      </c>
      <c r="G65" s="399">
        <f t="shared" si="27"/>
        <v>0</v>
      </c>
      <c r="H65" s="399">
        <f t="shared" si="27"/>
        <v>0</v>
      </c>
      <c r="I65" s="399">
        <f t="shared" si="27"/>
        <v>0</v>
      </c>
      <c r="J65" s="399">
        <f t="shared" si="27"/>
        <v>0</v>
      </c>
      <c r="K65" s="399">
        <f t="shared" si="27"/>
        <v>0</v>
      </c>
      <c r="L65" s="400">
        <f t="shared" si="27"/>
        <v>0</v>
      </c>
      <c r="M65" s="401">
        <f t="shared" si="28"/>
        <v>0</v>
      </c>
      <c r="N65" s="39"/>
    </row>
    <row r="66" spans="1:14" ht="16.5" thickBot="1">
      <c r="A66" s="39"/>
      <c r="B66" s="367" t="str">
        <f>"57"</f>
        <v>57</v>
      </c>
      <c r="C66" s="343" t="s">
        <v>190</v>
      </c>
      <c r="D66" s="359" t="str">
        <f>'Tab.G2.1-3'!$D$106</f>
        <v>[szt.]</v>
      </c>
      <c r="E66" s="402">
        <f t="shared" si="27"/>
        <v>0</v>
      </c>
      <c r="F66" s="403">
        <f t="shared" si="27"/>
        <v>0</v>
      </c>
      <c r="G66" s="403">
        <f t="shared" si="27"/>
        <v>0</v>
      </c>
      <c r="H66" s="403">
        <f t="shared" si="27"/>
        <v>0</v>
      </c>
      <c r="I66" s="403">
        <f t="shared" si="27"/>
        <v>0</v>
      </c>
      <c r="J66" s="403">
        <f t="shared" si="27"/>
        <v>0</v>
      </c>
      <c r="K66" s="403">
        <f t="shared" si="27"/>
        <v>0</v>
      </c>
      <c r="L66" s="404">
        <f t="shared" si="27"/>
        <v>0</v>
      </c>
      <c r="M66" s="405">
        <f t="shared" si="28"/>
        <v>0</v>
      </c>
      <c r="N66" s="39"/>
    </row>
    <row r="67" spans="1:14" ht="16.5" thickBot="1">
      <c r="A67" s="39"/>
      <c r="B67" s="557" t="str">
        <f>"58"</f>
        <v>58</v>
      </c>
      <c r="C67" s="552" t="s">
        <v>126</v>
      </c>
      <c r="D67" s="558" t="str">
        <f>'Tab.G2.1-3'!$D$106</f>
        <v>[szt.]</v>
      </c>
      <c r="E67" s="554">
        <f>SUM(E68,E71:E73)</f>
        <v>0</v>
      </c>
      <c r="F67" s="559">
        <f>SUM(F68,F71:F73)</f>
        <v>0</v>
      </c>
      <c r="G67" s="559">
        <f t="shared" ref="G67:K67" si="29">SUM(G68,G71:G73)</f>
        <v>0</v>
      </c>
      <c r="H67" s="559">
        <f t="shared" si="29"/>
        <v>0</v>
      </c>
      <c r="I67" s="559">
        <f t="shared" si="29"/>
        <v>0</v>
      </c>
      <c r="J67" s="559">
        <f t="shared" si="29"/>
        <v>0</v>
      </c>
      <c r="K67" s="559">
        <f t="shared" si="29"/>
        <v>0</v>
      </c>
      <c r="L67" s="560">
        <f>SUM(L68,L71:L73)</f>
        <v>0</v>
      </c>
      <c r="M67" s="368">
        <f t="shared" ref="M67" si="30">SUM(M68:M72)</f>
        <v>0</v>
      </c>
      <c r="N67" s="39"/>
    </row>
    <row r="68" spans="1:14">
      <c r="A68" s="39"/>
      <c r="B68" s="601" t="str">
        <f>"59"</f>
        <v>59</v>
      </c>
      <c r="C68" s="340" t="s">
        <v>127</v>
      </c>
      <c r="D68" s="360" t="str">
        <f>'Tab.G2.1-3'!$D$106</f>
        <v>[szt.]</v>
      </c>
      <c r="E68" s="406">
        <f t="shared" ref="E68:L68" si="31">SUM(E69:E70)</f>
        <v>0</v>
      </c>
      <c r="F68" s="407">
        <f t="shared" si="31"/>
        <v>0</v>
      </c>
      <c r="G68" s="407">
        <f t="shared" si="31"/>
        <v>0</v>
      </c>
      <c r="H68" s="407">
        <f t="shared" si="31"/>
        <v>0</v>
      </c>
      <c r="I68" s="407">
        <f t="shared" si="31"/>
        <v>0</v>
      </c>
      <c r="J68" s="407">
        <f t="shared" si="31"/>
        <v>0</v>
      </c>
      <c r="K68" s="407">
        <f t="shared" si="31"/>
        <v>0</v>
      </c>
      <c r="L68" s="408">
        <f t="shared" si="31"/>
        <v>0</v>
      </c>
      <c r="M68" s="409">
        <f t="shared" ref="M68:M73" si="32">SUM(E68:L68)</f>
        <v>0</v>
      </c>
      <c r="N68" s="39"/>
    </row>
    <row r="69" spans="1:14">
      <c r="A69" s="39"/>
      <c r="B69" s="602" t="str">
        <f>"60"</f>
        <v>60</v>
      </c>
      <c r="C69" s="263" t="s">
        <v>128</v>
      </c>
      <c r="D69" s="361" t="str">
        <f>'Tab.G2.1-3'!$D$106</f>
        <v>[szt.]</v>
      </c>
      <c r="E69" s="374">
        <f t="shared" ref="E69:L73" si="33">SUM(E139,E209,E279,E349)</f>
        <v>0</v>
      </c>
      <c r="F69" s="410">
        <f t="shared" si="33"/>
        <v>0</v>
      </c>
      <c r="G69" s="410">
        <f t="shared" si="33"/>
        <v>0</v>
      </c>
      <c r="H69" s="410">
        <f t="shared" si="33"/>
        <v>0</v>
      </c>
      <c r="I69" s="410">
        <f t="shared" si="33"/>
        <v>0</v>
      </c>
      <c r="J69" s="410">
        <f t="shared" si="33"/>
        <v>0</v>
      </c>
      <c r="K69" s="410">
        <f t="shared" si="33"/>
        <v>0</v>
      </c>
      <c r="L69" s="411">
        <f t="shared" si="33"/>
        <v>0</v>
      </c>
      <c r="M69" s="376">
        <f t="shared" si="32"/>
        <v>0</v>
      </c>
      <c r="N69" s="39"/>
    </row>
    <row r="70" spans="1:14">
      <c r="A70" s="39"/>
      <c r="B70" s="603" t="str">
        <f>"61"</f>
        <v>61</v>
      </c>
      <c r="C70" s="336" t="s">
        <v>129</v>
      </c>
      <c r="D70" s="362" t="str">
        <f>'Tab.G2.1-3'!$D$106</f>
        <v>[szt.]</v>
      </c>
      <c r="E70" s="382">
        <f t="shared" si="33"/>
        <v>0</v>
      </c>
      <c r="F70" s="412">
        <f t="shared" si="33"/>
        <v>0</v>
      </c>
      <c r="G70" s="412">
        <f t="shared" si="33"/>
        <v>0</v>
      </c>
      <c r="H70" s="412">
        <f t="shared" si="33"/>
        <v>0</v>
      </c>
      <c r="I70" s="412">
        <f t="shared" si="33"/>
        <v>0</v>
      </c>
      <c r="J70" s="412">
        <f t="shared" si="33"/>
        <v>0</v>
      </c>
      <c r="K70" s="412">
        <f t="shared" si="33"/>
        <v>0</v>
      </c>
      <c r="L70" s="413">
        <f t="shared" si="33"/>
        <v>0</v>
      </c>
      <c r="M70" s="384">
        <f t="shared" si="32"/>
        <v>0</v>
      </c>
      <c r="N70" s="39"/>
    </row>
    <row r="71" spans="1:14">
      <c r="A71" s="39"/>
      <c r="B71" s="604" t="str">
        <f>"62"</f>
        <v>62</v>
      </c>
      <c r="C71" s="341" t="s">
        <v>130</v>
      </c>
      <c r="D71" s="363" t="str">
        <f>'Tab.G2.1-3'!$D$106</f>
        <v>[szt.]</v>
      </c>
      <c r="E71" s="414">
        <f t="shared" si="33"/>
        <v>0</v>
      </c>
      <c r="F71" s="399">
        <f t="shared" si="33"/>
        <v>0</v>
      </c>
      <c r="G71" s="399">
        <f t="shared" si="33"/>
        <v>0</v>
      </c>
      <c r="H71" s="399">
        <f t="shared" si="33"/>
        <v>0</v>
      </c>
      <c r="I71" s="399">
        <f t="shared" si="33"/>
        <v>0</v>
      </c>
      <c r="J71" s="399">
        <f t="shared" si="33"/>
        <v>0</v>
      </c>
      <c r="K71" s="399">
        <f t="shared" si="33"/>
        <v>0</v>
      </c>
      <c r="L71" s="400">
        <f t="shared" si="33"/>
        <v>0</v>
      </c>
      <c r="M71" s="401">
        <f t="shared" si="32"/>
        <v>0</v>
      </c>
      <c r="N71" s="39"/>
    </row>
    <row r="72" spans="1:14">
      <c r="A72" s="39"/>
      <c r="B72" s="604" t="str">
        <f>"63"</f>
        <v>63</v>
      </c>
      <c r="C72" s="341" t="s">
        <v>131</v>
      </c>
      <c r="D72" s="363" t="str">
        <f>'Tab.G2.1-3'!$D$106</f>
        <v>[szt.]</v>
      </c>
      <c r="E72" s="414">
        <f t="shared" si="33"/>
        <v>0</v>
      </c>
      <c r="F72" s="399">
        <f t="shared" si="33"/>
        <v>0</v>
      </c>
      <c r="G72" s="399">
        <f t="shared" si="33"/>
        <v>0</v>
      </c>
      <c r="H72" s="399">
        <f t="shared" si="33"/>
        <v>0</v>
      </c>
      <c r="I72" s="399">
        <f t="shared" si="33"/>
        <v>0</v>
      </c>
      <c r="J72" s="399">
        <f t="shared" si="33"/>
        <v>0</v>
      </c>
      <c r="K72" s="399">
        <f t="shared" si="33"/>
        <v>0</v>
      </c>
      <c r="L72" s="400">
        <f t="shared" si="33"/>
        <v>0</v>
      </c>
      <c r="M72" s="401">
        <f t="shared" si="32"/>
        <v>0</v>
      </c>
      <c r="N72" s="39"/>
    </row>
    <row r="73" spans="1:14" ht="16.5" thickBot="1">
      <c r="A73" s="39"/>
      <c r="B73" s="367" t="str">
        <f>"64"</f>
        <v>64</v>
      </c>
      <c r="C73" s="343" t="s">
        <v>132</v>
      </c>
      <c r="D73" s="364" t="str">
        <f>'Tab.G2.1-3'!$D$106</f>
        <v>[szt.]</v>
      </c>
      <c r="E73" s="415">
        <f t="shared" si="33"/>
        <v>0</v>
      </c>
      <c r="F73" s="415">
        <f t="shared" si="33"/>
        <v>0</v>
      </c>
      <c r="G73" s="415">
        <f t="shared" si="33"/>
        <v>0</v>
      </c>
      <c r="H73" s="415">
        <f t="shared" si="33"/>
        <v>0</v>
      </c>
      <c r="I73" s="415">
        <f t="shared" si="33"/>
        <v>0</v>
      </c>
      <c r="J73" s="415">
        <f t="shared" si="33"/>
        <v>0</v>
      </c>
      <c r="K73" s="415">
        <f t="shared" si="33"/>
        <v>0</v>
      </c>
      <c r="L73" s="416">
        <f t="shared" si="33"/>
        <v>0</v>
      </c>
      <c r="M73" s="405">
        <f t="shared" si="32"/>
        <v>0</v>
      </c>
      <c r="N73" s="39"/>
    </row>
    <row r="74" spans="1:14">
      <c r="A74" s="39"/>
      <c r="B74" s="39"/>
      <c r="C74" s="46"/>
      <c r="D74" s="39"/>
      <c r="E74" s="39"/>
      <c r="F74" s="39"/>
      <c r="G74" s="39"/>
      <c r="H74" s="39"/>
      <c r="I74" s="39"/>
      <c r="J74" s="39"/>
      <c r="K74" s="39"/>
      <c r="L74" s="39"/>
      <c r="M74" s="39"/>
      <c r="N74" s="39"/>
    </row>
    <row r="75" spans="1:14">
      <c r="A75" s="943"/>
      <c r="B75" s="943"/>
      <c r="C75" s="943"/>
      <c r="D75" s="943"/>
      <c r="E75" s="943"/>
      <c r="F75" s="943"/>
      <c r="G75" s="943"/>
      <c r="H75" s="943"/>
      <c r="I75" s="943"/>
      <c r="J75" s="943"/>
      <c r="K75" s="943"/>
      <c r="L75" s="943"/>
      <c r="M75" s="943"/>
      <c r="N75" s="943"/>
    </row>
    <row r="76" spans="1:14" ht="30" customHeight="1" thickBot="1">
      <c r="A76" s="940"/>
      <c r="B76" s="951" t="s">
        <v>287</v>
      </c>
      <c r="C76" s="952"/>
      <c r="D76" s="952"/>
      <c r="E76" s="953"/>
      <c r="F76" s="953"/>
      <c r="G76" s="944"/>
      <c r="H76" s="944"/>
      <c r="I76" s="944"/>
      <c r="J76" s="944"/>
      <c r="K76" s="944"/>
      <c r="L76" s="944"/>
      <c r="M76" s="944"/>
      <c r="N76" s="943"/>
    </row>
    <row r="77" spans="1:14" ht="16.5" thickBot="1">
      <c r="B77" s="1171" t="str">
        <f>'Tab.G1.1-4'!$B$8</f>
        <v>LP</v>
      </c>
      <c r="C77" s="1174" t="str">
        <f>"Składnik majątku sieciowego"</f>
        <v>Składnik majątku sieciowego</v>
      </c>
      <c r="D77" s="1175"/>
      <c r="E77" s="1180" t="str">
        <f>"Wiek składnika majątku sieciowego na koniec roku sprawozdawczego"</f>
        <v>Wiek składnika majątku sieciowego na koniec roku sprawozdawczego</v>
      </c>
      <c r="F77" s="1181"/>
      <c r="G77" s="1181"/>
      <c r="H77" s="1181"/>
      <c r="I77" s="1181"/>
      <c r="J77" s="1181"/>
      <c r="K77" s="1181"/>
      <c r="L77" s="1181"/>
      <c r="M77" s="1182" t="str">
        <f>"RAZEM"</f>
        <v>RAZEM</v>
      </c>
    </row>
    <row r="78" spans="1:14" ht="16.5" thickBot="1">
      <c r="B78" s="1172"/>
      <c r="C78" s="1176"/>
      <c r="D78" s="1177"/>
      <c r="E78" s="41" t="str">
        <f>"[lata]"</f>
        <v>[lata]</v>
      </c>
      <c r="F78" s="42" t="str">
        <f t="shared" ref="F78:L78" si="34">$E$8</f>
        <v>[lata]</v>
      </c>
      <c r="G78" s="42" t="str">
        <f t="shared" si="34"/>
        <v>[lata]</v>
      </c>
      <c r="H78" s="42" t="str">
        <f t="shared" si="34"/>
        <v>[lata]</v>
      </c>
      <c r="I78" s="42" t="str">
        <f t="shared" si="34"/>
        <v>[lata]</v>
      </c>
      <c r="J78" s="42" t="str">
        <f t="shared" si="34"/>
        <v>[lata]</v>
      </c>
      <c r="K78" s="42" t="str">
        <f t="shared" si="34"/>
        <v>[lata]</v>
      </c>
      <c r="L78" s="43" t="str">
        <f t="shared" si="34"/>
        <v>[lata]</v>
      </c>
      <c r="M78" s="1183"/>
    </row>
    <row r="79" spans="1:14" ht="16.5" thickBot="1">
      <c r="B79" s="1173"/>
      <c r="C79" s="1178"/>
      <c r="D79" s="1179"/>
      <c r="E79" s="44" t="str">
        <f>"36 i więcej"</f>
        <v>36 i więcej</v>
      </c>
      <c r="F79" s="45" t="str">
        <f>"31 - 35"</f>
        <v>31 - 35</v>
      </c>
      <c r="G79" s="45" t="str">
        <f>"26 - 30"</f>
        <v>26 - 30</v>
      </c>
      <c r="H79" s="45" t="str">
        <f>"21 - 25"</f>
        <v>21 - 25</v>
      </c>
      <c r="I79" s="45" t="str">
        <f>"16 - 20"</f>
        <v>16 - 20</v>
      </c>
      <c r="J79" s="459" t="str">
        <f>"11 - 15"</f>
        <v>11 - 15</v>
      </c>
      <c r="K79" s="459" t="str">
        <f>"6 - 10"</f>
        <v>6 - 10</v>
      </c>
      <c r="L79" s="460" t="str">
        <f>"0 - 5"</f>
        <v>0 - 5</v>
      </c>
      <c r="M79" s="1184"/>
    </row>
    <row r="80" spans="1:14" ht="16.5" thickBot="1">
      <c r="B80" s="586" t="str">
        <f>"01"</f>
        <v>01</v>
      </c>
      <c r="C80" s="1185" t="str">
        <f>$B$11</f>
        <v>02</v>
      </c>
      <c r="D80" s="1186"/>
      <c r="E80" s="586" t="str">
        <f t="array" ref="E80:M80">TRANSPOSE($B$12:$B$20)</f>
        <v>03</v>
      </c>
      <c r="F80" s="962" t="str">
        <v>04</v>
      </c>
      <c r="G80" s="962" t="str">
        <v>05</v>
      </c>
      <c r="H80" s="962" t="str">
        <v>06</v>
      </c>
      <c r="I80" s="962" t="str">
        <v>07</v>
      </c>
      <c r="J80" s="962" t="str">
        <v>08</v>
      </c>
      <c r="K80" s="962" t="str">
        <v>09</v>
      </c>
      <c r="L80" s="606" t="str">
        <v>10</v>
      </c>
      <c r="M80" s="607" t="str">
        <v>11</v>
      </c>
    </row>
    <row r="81" spans="2:13" ht="16.5" thickBot="1">
      <c r="B81" s="587" t="str">
        <f>"02"</f>
        <v>02</v>
      </c>
      <c r="C81" s="546" t="s">
        <v>188</v>
      </c>
      <c r="D81" s="547" t="str">
        <f>'Tab.G2.1-3'!$D$72</f>
        <v>[km]</v>
      </c>
      <c r="E81" s="548">
        <f>SUM(E82,E93,E109:E110)</f>
        <v>0</v>
      </c>
      <c r="F81" s="549">
        <f>SUM(F82,F93,F109:F110)</f>
        <v>0</v>
      </c>
      <c r="G81" s="549">
        <f t="shared" ref="G81:M81" si="35">SUM(G82,G93,G109:G110)</f>
        <v>0</v>
      </c>
      <c r="H81" s="549">
        <f t="shared" si="35"/>
        <v>0</v>
      </c>
      <c r="I81" s="549">
        <f t="shared" si="35"/>
        <v>0</v>
      </c>
      <c r="J81" s="549">
        <f t="shared" si="35"/>
        <v>0</v>
      </c>
      <c r="K81" s="549">
        <f t="shared" si="35"/>
        <v>0</v>
      </c>
      <c r="L81" s="550">
        <f t="shared" si="35"/>
        <v>0</v>
      </c>
      <c r="M81" s="417">
        <f t="shared" si="35"/>
        <v>0</v>
      </c>
    </row>
    <row r="82" spans="2:13" ht="16.5" thickBot="1">
      <c r="B82" s="365" t="str">
        <f>"03"</f>
        <v>03</v>
      </c>
      <c r="C82" s="338" t="s">
        <v>120</v>
      </c>
      <c r="D82" s="345" t="str">
        <f>'Tab.G2.1-3'!$D$72</f>
        <v>[km]</v>
      </c>
      <c r="E82" s="418">
        <f>SUM(E83,E88)</f>
        <v>0</v>
      </c>
      <c r="F82" s="419">
        <f>SUM(F83,F88)</f>
        <v>0</v>
      </c>
      <c r="G82" s="419">
        <f t="shared" ref="G82:M82" si="36">SUM(G83,G88)</f>
        <v>0</v>
      </c>
      <c r="H82" s="419">
        <f t="shared" si="36"/>
        <v>0</v>
      </c>
      <c r="I82" s="419">
        <f t="shared" si="36"/>
        <v>0</v>
      </c>
      <c r="J82" s="419">
        <f t="shared" si="36"/>
        <v>0</v>
      </c>
      <c r="K82" s="419">
        <f t="shared" si="36"/>
        <v>0</v>
      </c>
      <c r="L82" s="420">
        <f t="shared" si="36"/>
        <v>0</v>
      </c>
      <c r="M82" s="421">
        <f t="shared" si="36"/>
        <v>0</v>
      </c>
    </row>
    <row r="83" spans="2:13">
      <c r="B83" s="588" t="str">
        <f>"04"</f>
        <v>04</v>
      </c>
      <c r="C83" s="344" t="s">
        <v>72</v>
      </c>
      <c r="D83" s="346" t="str">
        <f>'Tab.G2.1-3'!$D$72</f>
        <v>[km]</v>
      </c>
      <c r="E83" s="422">
        <f>SUM(E84:E87)</f>
        <v>0</v>
      </c>
      <c r="F83" s="423">
        <f>SUM(F84:F87)</f>
        <v>0</v>
      </c>
      <c r="G83" s="423">
        <f t="shared" ref="G83:M83" si="37">SUM(G84:G87)</f>
        <v>0</v>
      </c>
      <c r="H83" s="423">
        <f t="shared" si="37"/>
        <v>0</v>
      </c>
      <c r="I83" s="423">
        <f t="shared" si="37"/>
        <v>0</v>
      </c>
      <c r="J83" s="423">
        <f t="shared" si="37"/>
        <v>0</v>
      </c>
      <c r="K83" s="423">
        <f t="shared" si="37"/>
        <v>0</v>
      </c>
      <c r="L83" s="424">
        <f t="shared" si="37"/>
        <v>0</v>
      </c>
      <c r="M83" s="417">
        <f t="shared" si="37"/>
        <v>0</v>
      </c>
    </row>
    <row r="84" spans="2:13">
      <c r="B84" s="589" t="str">
        <f>"05"</f>
        <v>05</v>
      </c>
      <c r="C84" s="260" t="s">
        <v>73</v>
      </c>
      <c r="D84" s="347" t="str">
        <f>'Tab.G2.1-3'!$D$72</f>
        <v>[km]</v>
      </c>
      <c r="E84" s="425"/>
      <c r="F84" s="426"/>
      <c r="G84" s="426"/>
      <c r="H84" s="426"/>
      <c r="I84" s="426"/>
      <c r="J84" s="426"/>
      <c r="K84" s="426"/>
      <c r="L84" s="427"/>
      <c r="M84" s="428">
        <f>SUM(E84:L84)</f>
        <v>0</v>
      </c>
    </row>
    <row r="85" spans="2:13">
      <c r="B85" s="590" t="str">
        <f>"06"</f>
        <v>06</v>
      </c>
      <c r="C85" s="261" t="s">
        <v>74</v>
      </c>
      <c r="D85" s="348" t="str">
        <f>'Tab.G2.1-3'!$D$72</f>
        <v>[km]</v>
      </c>
      <c r="E85" s="429"/>
      <c r="F85" s="430"/>
      <c r="G85" s="430"/>
      <c r="H85" s="430"/>
      <c r="I85" s="430"/>
      <c r="J85" s="430"/>
      <c r="K85" s="430"/>
      <c r="L85" s="431"/>
      <c r="M85" s="432">
        <f>SUM(E85:L85)</f>
        <v>0</v>
      </c>
    </row>
    <row r="86" spans="2:13">
      <c r="B86" s="590" t="str">
        <f>"07"</f>
        <v>07</v>
      </c>
      <c r="C86" s="261" t="s">
        <v>75</v>
      </c>
      <c r="D86" s="348" t="str">
        <f>'Tab.G2.1-3'!$D$72</f>
        <v>[km]</v>
      </c>
      <c r="E86" s="429"/>
      <c r="F86" s="430"/>
      <c r="G86" s="430"/>
      <c r="H86" s="430"/>
      <c r="I86" s="430"/>
      <c r="J86" s="430"/>
      <c r="K86" s="430"/>
      <c r="L86" s="431"/>
      <c r="M86" s="432">
        <f>SUM(E86:L86)</f>
        <v>0</v>
      </c>
    </row>
    <row r="87" spans="2:13">
      <c r="B87" s="591" t="str">
        <f>"08"</f>
        <v>08</v>
      </c>
      <c r="C87" s="264" t="s">
        <v>76</v>
      </c>
      <c r="D87" s="349" t="str">
        <f>'Tab.G2.1-3'!$D$72</f>
        <v>[km]</v>
      </c>
      <c r="E87" s="433"/>
      <c r="F87" s="434"/>
      <c r="G87" s="434"/>
      <c r="H87" s="434"/>
      <c r="I87" s="434"/>
      <c r="J87" s="434"/>
      <c r="K87" s="434"/>
      <c r="L87" s="435"/>
      <c r="M87" s="436">
        <f>SUM(E87:L87)</f>
        <v>0</v>
      </c>
    </row>
    <row r="88" spans="2:13">
      <c r="B88" s="588" t="str">
        <f>"09"</f>
        <v>09</v>
      </c>
      <c r="C88" s="344" t="s">
        <v>77</v>
      </c>
      <c r="D88" s="346" t="str">
        <f>'Tab.G2.1-3'!$D$72</f>
        <v>[km]</v>
      </c>
      <c r="E88" s="422">
        <f t="shared" ref="E88:M88" si="38">SUM(E89:E92)</f>
        <v>0</v>
      </c>
      <c r="F88" s="423">
        <f t="shared" si="38"/>
        <v>0</v>
      </c>
      <c r="G88" s="423">
        <f t="shared" si="38"/>
        <v>0</v>
      </c>
      <c r="H88" s="423">
        <f t="shared" si="38"/>
        <v>0</v>
      </c>
      <c r="I88" s="423">
        <f t="shared" si="38"/>
        <v>0</v>
      </c>
      <c r="J88" s="423">
        <f t="shared" si="38"/>
        <v>0</v>
      </c>
      <c r="K88" s="423">
        <f t="shared" si="38"/>
        <v>0</v>
      </c>
      <c r="L88" s="424">
        <f t="shared" si="38"/>
        <v>0</v>
      </c>
      <c r="M88" s="437">
        <f t="shared" si="38"/>
        <v>0</v>
      </c>
    </row>
    <row r="89" spans="2:13">
      <c r="B89" s="589" t="str">
        <f>"10"</f>
        <v>10</v>
      </c>
      <c r="C89" s="260" t="s">
        <v>73</v>
      </c>
      <c r="D89" s="347" t="str">
        <f>'Tab.G2.1-3'!$D$72</f>
        <v>[km]</v>
      </c>
      <c r="E89" s="425"/>
      <c r="F89" s="426"/>
      <c r="G89" s="426"/>
      <c r="H89" s="426"/>
      <c r="I89" s="426"/>
      <c r="J89" s="426"/>
      <c r="K89" s="426"/>
      <c r="L89" s="427"/>
      <c r="M89" s="428">
        <f>SUM(E89:L89)</f>
        <v>0</v>
      </c>
    </row>
    <row r="90" spans="2:13">
      <c r="B90" s="590" t="str">
        <f>"11"</f>
        <v>11</v>
      </c>
      <c r="C90" s="261" t="s">
        <v>74</v>
      </c>
      <c r="D90" s="348" t="str">
        <f>'Tab.G2.1-3'!$D$72</f>
        <v>[km]</v>
      </c>
      <c r="E90" s="429"/>
      <c r="F90" s="430"/>
      <c r="G90" s="430"/>
      <c r="H90" s="430"/>
      <c r="I90" s="430"/>
      <c r="J90" s="430"/>
      <c r="K90" s="430"/>
      <c r="L90" s="431"/>
      <c r="M90" s="432">
        <f>SUM(E90:L90)</f>
        <v>0</v>
      </c>
    </row>
    <row r="91" spans="2:13">
      <c r="B91" s="590" t="str">
        <f>"12"</f>
        <v>12</v>
      </c>
      <c r="C91" s="261" t="s">
        <v>75</v>
      </c>
      <c r="D91" s="348" t="str">
        <f>'Tab.G2.1-3'!$D$72</f>
        <v>[km]</v>
      </c>
      <c r="E91" s="429"/>
      <c r="F91" s="430"/>
      <c r="G91" s="430"/>
      <c r="H91" s="430"/>
      <c r="I91" s="430"/>
      <c r="J91" s="430"/>
      <c r="K91" s="430"/>
      <c r="L91" s="431"/>
      <c r="M91" s="432">
        <f>SUM(E91:L91)</f>
        <v>0</v>
      </c>
    </row>
    <row r="92" spans="2:13" ht="16.5" thickBot="1">
      <c r="B92" s="592" t="str">
        <f>"13"</f>
        <v>13</v>
      </c>
      <c r="C92" s="265" t="s">
        <v>76</v>
      </c>
      <c r="D92" s="350" t="str">
        <f>'Tab.G2.1-3'!$D$72</f>
        <v>[km]</v>
      </c>
      <c r="E92" s="438"/>
      <c r="F92" s="439"/>
      <c r="G92" s="439"/>
      <c r="H92" s="439"/>
      <c r="I92" s="439"/>
      <c r="J92" s="439"/>
      <c r="K92" s="439"/>
      <c r="L92" s="440"/>
      <c r="M92" s="441">
        <f>SUM(E92:L92)</f>
        <v>0</v>
      </c>
    </row>
    <row r="93" spans="2:13" ht="16.5" thickBot="1">
      <c r="B93" s="365" t="str">
        <f>"14"</f>
        <v>14</v>
      </c>
      <c r="C93" s="339" t="s">
        <v>121</v>
      </c>
      <c r="D93" s="345" t="str">
        <f>'Tab.G2.1-3'!$D$72</f>
        <v>[km]</v>
      </c>
      <c r="E93" s="418">
        <f>SUM(E94,E99,E104)</f>
        <v>0</v>
      </c>
      <c r="F93" s="419">
        <f>SUM(F94,F99,F104)</f>
        <v>0</v>
      </c>
      <c r="G93" s="419">
        <f t="shared" ref="G93:K93" si="39">SUM(G94,G99,G104)</f>
        <v>0</v>
      </c>
      <c r="H93" s="419">
        <f t="shared" si="39"/>
        <v>0</v>
      </c>
      <c r="I93" s="419">
        <f t="shared" si="39"/>
        <v>0</v>
      </c>
      <c r="J93" s="419">
        <f t="shared" si="39"/>
        <v>0</v>
      </c>
      <c r="K93" s="419">
        <f t="shared" si="39"/>
        <v>0</v>
      </c>
      <c r="L93" s="420">
        <f>SUM(L94,L99,L104)</f>
        <v>0</v>
      </c>
      <c r="M93" s="421">
        <f>SUM(M94,M99,M104)</f>
        <v>0</v>
      </c>
    </row>
    <row r="94" spans="2:13">
      <c r="B94" s="588" t="str">
        <f>"15"</f>
        <v>15</v>
      </c>
      <c r="C94" s="344" t="s">
        <v>72</v>
      </c>
      <c r="D94" s="346" t="str">
        <f>'Tab.G2.1-3'!$D$72</f>
        <v>[km]</v>
      </c>
      <c r="E94" s="422">
        <f>SUM(E95:E98)</f>
        <v>0</v>
      </c>
      <c r="F94" s="423">
        <f>SUM(F95:F98)</f>
        <v>0</v>
      </c>
      <c r="G94" s="423">
        <f t="shared" ref="G94:K94" si="40">SUM(G95:G98)</f>
        <v>0</v>
      </c>
      <c r="H94" s="423">
        <f t="shared" si="40"/>
        <v>0</v>
      </c>
      <c r="I94" s="423">
        <f t="shared" si="40"/>
        <v>0</v>
      </c>
      <c r="J94" s="423">
        <f t="shared" si="40"/>
        <v>0</v>
      </c>
      <c r="K94" s="423">
        <f t="shared" si="40"/>
        <v>0</v>
      </c>
      <c r="L94" s="424">
        <f>SUM(L95:L98)</f>
        <v>0</v>
      </c>
      <c r="M94" s="417">
        <f>SUM(M95:M98)</f>
        <v>0</v>
      </c>
    </row>
    <row r="95" spans="2:13">
      <c r="B95" s="589" t="str">
        <f>"16"</f>
        <v>16</v>
      </c>
      <c r="C95" s="260" t="s">
        <v>78</v>
      </c>
      <c r="D95" s="347" t="str">
        <f>'Tab.G2.1-3'!$D$72</f>
        <v>[km]</v>
      </c>
      <c r="E95" s="425"/>
      <c r="F95" s="426"/>
      <c r="G95" s="426"/>
      <c r="H95" s="426"/>
      <c r="I95" s="426"/>
      <c r="J95" s="426"/>
      <c r="K95" s="426"/>
      <c r="L95" s="427"/>
      <c r="M95" s="428">
        <f>SUM(E95:L95)</f>
        <v>0</v>
      </c>
    </row>
    <row r="96" spans="2:13">
      <c r="B96" s="590" t="str">
        <f>"17"</f>
        <v>17</v>
      </c>
      <c r="C96" s="261" t="s">
        <v>75</v>
      </c>
      <c r="D96" s="348" t="str">
        <f>'Tab.G2.1-3'!$D$72</f>
        <v>[km]</v>
      </c>
      <c r="E96" s="429"/>
      <c r="F96" s="430"/>
      <c r="G96" s="430"/>
      <c r="H96" s="430"/>
      <c r="I96" s="430"/>
      <c r="J96" s="430"/>
      <c r="K96" s="430"/>
      <c r="L96" s="431"/>
      <c r="M96" s="432">
        <f>SUM(E96:L96)</f>
        <v>0</v>
      </c>
    </row>
    <row r="97" spans="2:13">
      <c r="B97" s="590" t="str">
        <f>"18"</f>
        <v>18</v>
      </c>
      <c r="C97" s="262" t="s">
        <v>79</v>
      </c>
      <c r="D97" s="348" t="str">
        <f>'Tab.G2.1-3'!$D$72</f>
        <v>[km]</v>
      </c>
      <c r="E97" s="429"/>
      <c r="F97" s="430"/>
      <c r="G97" s="430"/>
      <c r="H97" s="430"/>
      <c r="I97" s="430"/>
      <c r="J97" s="430"/>
      <c r="K97" s="430"/>
      <c r="L97" s="431"/>
      <c r="M97" s="432">
        <f>SUM(E97:L97)</f>
        <v>0</v>
      </c>
    </row>
    <row r="98" spans="2:13">
      <c r="B98" s="591" t="str">
        <f>"19"</f>
        <v>19</v>
      </c>
      <c r="C98" s="264" t="s">
        <v>80</v>
      </c>
      <c r="D98" s="349" t="str">
        <f>'Tab.G2.1-3'!$D$72</f>
        <v>[km]</v>
      </c>
      <c r="E98" s="433"/>
      <c r="F98" s="434"/>
      <c r="G98" s="434"/>
      <c r="H98" s="434"/>
      <c r="I98" s="434"/>
      <c r="J98" s="434"/>
      <c r="K98" s="434"/>
      <c r="L98" s="435"/>
      <c r="M98" s="436">
        <f>SUM(E98:L98)</f>
        <v>0</v>
      </c>
    </row>
    <row r="99" spans="2:13">
      <c r="B99" s="588" t="str">
        <f>"20"</f>
        <v>20</v>
      </c>
      <c r="C99" s="344" t="s">
        <v>77</v>
      </c>
      <c r="D99" s="346" t="str">
        <f>'Tab.G2.1-3'!$D$72</f>
        <v>[km]</v>
      </c>
      <c r="E99" s="422">
        <f t="shared" ref="E99:M99" si="41">SUM(E100:E103)</f>
        <v>0</v>
      </c>
      <c r="F99" s="423">
        <f t="shared" si="41"/>
        <v>0</v>
      </c>
      <c r="G99" s="423">
        <f t="shared" si="41"/>
        <v>0</v>
      </c>
      <c r="H99" s="423">
        <f t="shared" si="41"/>
        <v>0</v>
      </c>
      <c r="I99" s="423">
        <f t="shared" si="41"/>
        <v>0</v>
      </c>
      <c r="J99" s="423">
        <f t="shared" si="41"/>
        <v>0</v>
      </c>
      <c r="K99" s="423">
        <f t="shared" si="41"/>
        <v>0</v>
      </c>
      <c r="L99" s="424">
        <f t="shared" si="41"/>
        <v>0</v>
      </c>
      <c r="M99" s="437">
        <f t="shared" si="41"/>
        <v>0</v>
      </c>
    </row>
    <row r="100" spans="2:13">
      <c r="B100" s="589" t="str">
        <f>"21"</f>
        <v>21</v>
      </c>
      <c r="C100" s="260" t="s">
        <v>78</v>
      </c>
      <c r="D100" s="347" t="str">
        <f>'Tab.G2.1-3'!$D$72</f>
        <v>[km]</v>
      </c>
      <c r="E100" s="425"/>
      <c r="F100" s="426"/>
      <c r="G100" s="426"/>
      <c r="H100" s="426"/>
      <c r="I100" s="426"/>
      <c r="J100" s="426"/>
      <c r="K100" s="426"/>
      <c r="L100" s="427"/>
      <c r="M100" s="428">
        <f>SUM(E100:L100)</f>
        <v>0</v>
      </c>
    </row>
    <row r="101" spans="2:13">
      <c r="B101" s="590" t="str">
        <f>"22"</f>
        <v>22</v>
      </c>
      <c r="C101" s="261" t="s">
        <v>75</v>
      </c>
      <c r="D101" s="348" t="str">
        <f>'Tab.G2.1-3'!$D$72</f>
        <v>[km]</v>
      </c>
      <c r="E101" s="429"/>
      <c r="F101" s="430"/>
      <c r="G101" s="430"/>
      <c r="H101" s="430"/>
      <c r="I101" s="430"/>
      <c r="J101" s="430"/>
      <c r="K101" s="430"/>
      <c r="L101" s="431"/>
      <c r="M101" s="432">
        <f>SUM(E101:L101)</f>
        <v>0</v>
      </c>
    </row>
    <row r="102" spans="2:13">
      <c r="B102" s="590" t="str">
        <f>"23"</f>
        <v>23</v>
      </c>
      <c r="C102" s="262" t="s">
        <v>79</v>
      </c>
      <c r="D102" s="348" t="str">
        <f>'Tab.G2.1-3'!$D$72</f>
        <v>[km]</v>
      </c>
      <c r="E102" s="429"/>
      <c r="F102" s="430"/>
      <c r="G102" s="430"/>
      <c r="H102" s="430"/>
      <c r="I102" s="430"/>
      <c r="J102" s="430"/>
      <c r="K102" s="430"/>
      <c r="L102" s="431"/>
      <c r="M102" s="432">
        <f>SUM(E102:L102)</f>
        <v>0</v>
      </c>
    </row>
    <row r="103" spans="2:13">
      <c r="B103" s="591" t="str">
        <f>"24"</f>
        <v>24</v>
      </c>
      <c r="C103" s="264" t="s">
        <v>80</v>
      </c>
      <c r="D103" s="349" t="str">
        <f>'Tab.G2.1-3'!$D$72</f>
        <v>[km]</v>
      </c>
      <c r="E103" s="433"/>
      <c r="F103" s="434"/>
      <c r="G103" s="434"/>
      <c r="H103" s="434"/>
      <c r="I103" s="434"/>
      <c r="J103" s="434"/>
      <c r="K103" s="434"/>
      <c r="L103" s="435"/>
      <c r="M103" s="436">
        <f>SUM(E103:L103)</f>
        <v>0</v>
      </c>
    </row>
    <row r="104" spans="2:13">
      <c r="B104" s="588" t="str">
        <f>"25"</f>
        <v>25</v>
      </c>
      <c r="C104" s="344" t="s">
        <v>167</v>
      </c>
      <c r="D104" s="346" t="str">
        <f>'Tab.G2.1-3'!$D$72</f>
        <v>[km]</v>
      </c>
      <c r="E104" s="422">
        <f>SUM(E105:E108)</f>
        <v>0</v>
      </c>
      <c r="F104" s="423">
        <f>SUM(F105:F108)</f>
        <v>0</v>
      </c>
      <c r="G104" s="423">
        <f t="shared" ref="G104:K104" si="42">SUM(G105:G108)</f>
        <v>0</v>
      </c>
      <c r="H104" s="423">
        <f t="shared" si="42"/>
        <v>0</v>
      </c>
      <c r="I104" s="423">
        <f t="shared" si="42"/>
        <v>0</v>
      </c>
      <c r="J104" s="423">
        <f t="shared" si="42"/>
        <v>0</v>
      </c>
      <c r="K104" s="423">
        <f t="shared" si="42"/>
        <v>0</v>
      </c>
      <c r="L104" s="424">
        <f>SUM(L105:L108)</f>
        <v>0</v>
      </c>
      <c r="M104" s="437">
        <f>SUM(M105:M108)</f>
        <v>0</v>
      </c>
    </row>
    <row r="105" spans="2:13">
      <c r="B105" s="589" t="str">
        <f>"26"</f>
        <v>26</v>
      </c>
      <c r="C105" s="260" t="s">
        <v>78</v>
      </c>
      <c r="D105" s="347" t="str">
        <f>'Tab.G2.1-3'!$D$72</f>
        <v>[km]</v>
      </c>
      <c r="E105" s="425"/>
      <c r="F105" s="426"/>
      <c r="G105" s="426"/>
      <c r="H105" s="426"/>
      <c r="I105" s="426"/>
      <c r="J105" s="426"/>
      <c r="K105" s="426"/>
      <c r="L105" s="427"/>
      <c r="M105" s="428">
        <f>SUM(E105:L105)</f>
        <v>0</v>
      </c>
    </row>
    <row r="106" spans="2:13">
      <c r="B106" s="590" t="str">
        <f>"27"</f>
        <v>27</v>
      </c>
      <c r="C106" s="261" t="s">
        <v>75</v>
      </c>
      <c r="D106" s="348" t="str">
        <f>'Tab.G2.1-3'!$D$72</f>
        <v>[km]</v>
      </c>
      <c r="E106" s="429"/>
      <c r="F106" s="430"/>
      <c r="G106" s="430"/>
      <c r="H106" s="430"/>
      <c r="I106" s="430"/>
      <c r="J106" s="430"/>
      <c r="K106" s="430"/>
      <c r="L106" s="431"/>
      <c r="M106" s="432">
        <f>SUM(E106:L106)</f>
        <v>0</v>
      </c>
    </row>
    <row r="107" spans="2:13">
      <c r="B107" s="590" t="str">
        <f>"28"</f>
        <v>28</v>
      </c>
      <c r="C107" s="262" t="s">
        <v>79</v>
      </c>
      <c r="D107" s="348" t="str">
        <f>'Tab.G2.1-3'!$D$72</f>
        <v>[km]</v>
      </c>
      <c r="E107" s="429"/>
      <c r="F107" s="430"/>
      <c r="G107" s="430"/>
      <c r="H107" s="430"/>
      <c r="I107" s="430"/>
      <c r="J107" s="430"/>
      <c r="K107" s="430"/>
      <c r="L107" s="431"/>
      <c r="M107" s="432">
        <f>SUM(E107:L107)</f>
        <v>0</v>
      </c>
    </row>
    <row r="108" spans="2:13" ht="16.5" thickBot="1">
      <c r="B108" s="592" t="str">
        <f>"29"</f>
        <v>29</v>
      </c>
      <c r="C108" s="265" t="s">
        <v>80</v>
      </c>
      <c r="D108" s="350" t="str">
        <f>'Tab.G2.1-3'!$D$72</f>
        <v>[km]</v>
      </c>
      <c r="E108" s="438"/>
      <c r="F108" s="439"/>
      <c r="G108" s="439"/>
      <c r="H108" s="439"/>
      <c r="I108" s="439"/>
      <c r="J108" s="439"/>
      <c r="K108" s="439"/>
      <c r="L108" s="440"/>
      <c r="M108" s="441">
        <f>SUM(E108:L108)</f>
        <v>0</v>
      </c>
    </row>
    <row r="109" spans="2:13" ht="16.5" thickBot="1">
      <c r="B109" s="365" t="str">
        <f>"30"</f>
        <v>30</v>
      </c>
      <c r="C109" s="339" t="s">
        <v>168</v>
      </c>
      <c r="D109" s="345" t="str">
        <f>'Tab.G2.1-3'!$D$72</f>
        <v>[km]</v>
      </c>
      <c r="E109" s="418"/>
      <c r="F109" s="419"/>
      <c r="G109" s="419"/>
      <c r="H109" s="419"/>
      <c r="I109" s="419"/>
      <c r="J109" s="419"/>
      <c r="K109" s="419"/>
      <c r="L109" s="420"/>
      <c r="M109" s="421">
        <f t="shared" ref="M109" si="43">SUM(E109:L109)</f>
        <v>0</v>
      </c>
    </row>
    <row r="110" spans="2:13" ht="16.5" thickBot="1">
      <c r="B110" s="365" t="str">
        <f>"31"</f>
        <v>31</v>
      </c>
      <c r="C110" s="339" t="s">
        <v>189</v>
      </c>
      <c r="D110" s="345" t="str">
        <f>'Tab.G2.1-3'!$D$72</f>
        <v>[km]</v>
      </c>
      <c r="E110" s="418">
        <f>SUM(E111,E116)</f>
        <v>0</v>
      </c>
      <c r="F110" s="442">
        <f>SUM(F111,F116)</f>
        <v>0</v>
      </c>
      <c r="G110" s="442">
        <f t="shared" ref="G110:K110" si="44">SUM(G111,G116)</f>
        <v>0</v>
      </c>
      <c r="H110" s="442">
        <f t="shared" si="44"/>
        <v>0</v>
      </c>
      <c r="I110" s="442">
        <f t="shared" si="44"/>
        <v>0</v>
      </c>
      <c r="J110" s="442">
        <f t="shared" si="44"/>
        <v>0</v>
      </c>
      <c r="K110" s="442">
        <f t="shared" si="44"/>
        <v>0</v>
      </c>
      <c r="L110" s="443">
        <f>SUM(L111,L116)</f>
        <v>0</v>
      </c>
      <c r="M110" s="421">
        <f>SUM(M111,M116)</f>
        <v>0</v>
      </c>
    </row>
    <row r="111" spans="2:13">
      <c r="B111" s="366" t="str">
        <f>"32"</f>
        <v>32</v>
      </c>
      <c r="C111" s="344" t="s">
        <v>72</v>
      </c>
      <c r="D111" s="351" t="str">
        <f>'Tab.G2.1-3'!$D$72</f>
        <v>[km]</v>
      </c>
      <c r="E111" s="444">
        <f>SUM(E112:E115)</f>
        <v>0</v>
      </c>
      <c r="F111" s="445">
        <f>SUM(F112:F115)</f>
        <v>0</v>
      </c>
      <c r="G111" s="445">
        <f t="shared" ref="G111:K111" si="45">SUM(G112:G115)</f>
        <v>0</v>
      </c>
      <c r="H111" s="445">
        <f t="shared" si="45"/>
        <v>0</v>
      </c>
      <c r="I111" s="445">
        <f t="shared" si="45"/>
        <v>0</v>
      </c>
      <c r="J111" s="445">
        <f t="shared" si="45"/>
        <v>0</v>
      </c>
      <c r="K111" s="445">
        <f t="shared" si="45"/>
        <v>0</v>
      </c>
      <c r="L111" s="446">
        <f>SUM(L112:L115)</f>
        <v>0</v>
      </c>
      <c r="M111" s="437">
        <f>SUM(M112:M115)</f>
        <v>0</v>
      </c>
    </row>
    <row r="112" spans="2:13">
      <c r="B112" s="593" t="str">
        <f>"33"</f>
        <v>33</v>
      </c>
      <c r="C112" s="263" t="s">
        <v>81</v>
      </c>
      <c r="D112" s="352" t="str">
        <f>'Tab.G2.1-3'!$D$72</f>
        <v>[km]</v>
      </c>
      <c r="E112" s="447"/>
      <c r="F112" s="448"/>
      <c r="G112" s="448"/>
      <c r="H112" s="448"/>
      <c r="I112" s="448"/>
      <c r="J112" s="448"/>
      <c r="K112" s="448"/>
      <c r="L112" s="449"/>
      <c r="M112" s="428">
        <f>SUM(E112:L112)</f>
        <v>0</v>
      </c>
    </row>
    <row r="113" spans="2:13">
      <c r="B113" s="594" t="str">
        <f>"34"</f>
        <v>34</v>
      </c>
      <c r="C113" s="262" t="s">
        <v>82</v>
      </c>
      <c r="D113" s="353" t="str">
        <f>'Tab.G2.1-3'!$D$72</f>
        <v>[km]</v>
      </c>
      <c r="E113" s="450"/>
      <c r="F113" s="451"/>
      <c r="G113" s="451"/>
      <c r="H113" s="451"/>
      <c r="I113" s="451"/>
      <c r="J113" s="451"/>
      <c r="K113" s="451"/>
      <c r="L113" s="452"/>
      <c r="M113" s="432">
        <f>SUM(E113:L113)</f>
        <v>0</v>
      </c>
    </row>
    <row r="114" spans="2:13">
      <c r="B114" s="594" t="str">
        <f>"35"</f>
        <v>35</v>
      </c>
      <c r="C114" s="262" t="s">
        <v>83</v>
      </c>
      <c r="D114" s="353" t="str">
        <f>'Tab.G2.1-3'!$D$72</f>
        <v>[km]</v>
      </c>
      <c r="E114" s="450"/>
      <c r="F114" s="451"/>
      <c r="G114" s="451"/>
      <c r="H114" s="451"/>
      <c r="I114" s="451"/>
      <c r="J114" s="451"/>
      <c r="K114" s="451"/>
      <c r="L114" s="452"/>
      <c r="M114" s="432">
        <f>SUM(E114:L114)</f>
        <v>0</v>
      </c>
    </row>
    <row r="115" spans="2:13">
      <c r="B115" s="595" t="str">
        <f>"36"</f>
        <v>36</v>
      </c>
      <c r="C115" s="264" t="s">
        <v>84</v>
      </c>
      <c r="D115" s="354" t="str">
        <f>'Tab.G2.1-3'!$D$72</f>
        <v>[km]</v>
      </c>
      <c r="E115" s="453"/>
      <c r="F115" s="454"/>
      <c r="G115" s="454"/>
      <c r="H115" s="454"/>
      <c r="I115" s="454"/>
      <c r="J115" s="454"/>
      <c r="K115" s="454"/>
      <c r="L115" s="455"/>
      <c r="M115" s="436">
        <f>SUM(E115:L115)</f>
        <v>0</v>
      </c>
    </row>
    <row r="116" spans="2:13">
      <c r="B116" s="596" t="str">
        <f>"37"</f>
        <v>37</v>
      </c>
      <c r="C116" s="344" t="s">
        <v>77</v>
      </c>
      <c r="D116" s="351" t="str">
        <f>'Tab.G2.1-3'!$D$72</f>
        <v>[km]</v>
      </c>
      <c r="E116" s="444">
        <f>SUM(E117:E120)</f>
        <v>0</v>
      </c>
      <c r="F116" s="445">
        <f>SUM(F117:F120)</f>
        <v>0</v>
      </c>
      <c r="G116" s="445">
        <f t="shared" ref="G116:K116" si="46">SUM(G117:G120)</f>
        <v>0</v>
      </c>
      <c r="H116" s="445">
        <f t="shared" si="46"/>
        <v>0</v>
      </c>
      <c r="I116" s="445">
        <f t="shared" si="46"/>
        <v>0</v>
      </c>
      <c r="J116" s="445">
        <f t="shared" si="46"/>
        <v>0</v>
      </c>
      <c r="K116" s="445">
        <f t="shared" si="46"/>
        <v>0</v>
      </c>
      <c r="L116" s="446">
        <f>SUM(L117:L120)</f>
        <v>0</v>
      </c>
      <c r="M116" s="437">
        <f>SUM(M117:M120)</f>
        <v>0</v>
      </c>
    </row>
    <row r="117" spans="2:13">
      <c r="B117" s="593" t="str">
        <f>"38"</f>
        <v>38</v>
      </c>
      <c r="C117" s="263" t="s">
        <v>81</v>
      </c>
      <c r="D117" s="352" t="str">
        <f>'Tab.G2.1-3'!$D$72</f>
        <v>[km]</v>
      </c>
      <c r="E117" s="447"/>
      <c r="F117" s="448"/>
      <c r="G117" s="448"/>
      <c r="H117" s="448"/>
      <c r="I117" s="448"/>
      <c r="J117" s="448"/>
      <c r="K117" s="448"/>
      <c r="L117" s="449"/>
      <c r="M117" s="428">
        <f>SUM(E117:L117)</f>
        <v>0</v>
      </c>
    </row>
    <row r="118" spans="2:13">
      <c r="B118" s="594" t="str">
        <f>"39"</f>
        <v>39</v>
      </c>
      <c r="C118" s="262" t="s">
        <v>82</v>
      </c>
      <c r="D118" s="353" t="str">
        <f>'Tab.G2.1-3'!$D$72</f>
        <v>[km]</v>
      </c>
      <c r="E118" s="450"/>
      <c r="F118" s="451"/>
      <c r="G118" s="451"/>
      <c r="H118" s="451"/>
      <c r="I118" s="451"/>
      <c r="J118" s="451"/>
      <c r="K118" s="451"/>
      <c r="L118" s="452"/>
      <c r="M118" s="432">
        <f>SUM(E118:L118)</f>
        <v>0</v>
      </c>
    </row>
    <row r="119" spans="2:13">
      <c r="B119" s="594" t="str">
        <f>"40"</f>
        <v>40</v>
      </c>
      <c r="C119" s="262" t="s">
        <v>83</v>
      </c>
      <c r="D119" s="353" t="str">
        <f>'Tab.G2.1-3'!$D$72</f>
        <v>[km]</v>
      </c>
      <c r="E119" s="450"/>
      <c r="F119" s="451"/>
      <c r="G119" s="451"/>
      <c r="H119" s="451"/>
      <c r="I119" s="451"/>
      <c r="J119" s="451"/>
      <c r="K119" s="451"/>
      <c r="L119" s="452"/>
      <c r="M119" s="432">
        <f>SUM(E119:L119)</f>
        <v>0</v>
      </c>
    </row>
    <row r="120" spans="2:13" ht="16.5" thickBot="1">
      <c r="B120" s="597" t="str">
        <f>"41"</f>
        <v>41</v>
      </c>
      <c r="C120" s="265" t="s">
        <v>84</v>
      </c>
      <c r="D120" s="355" t="str">
        <f>'Tab.G2.1-3'!$D$72</f>
        <v>[km]</v>
      </c>
      <c r="E120" s="456"/>
      <c r="F120" s="457"/>
      <c r="G120" s="457"/>
      <c r="H120" s="457"/>
      <c r="I120" s="457"/>
      <c r="J120" s="457"/>
      <c r="K120" s="457"/>
      <c r="L120" s="458"/>
      <c r="M120" s="441">
        <f>SUM(E120:L120)</f>
        <v>0</v>
      </c>
    </row>
    <row r="121" spans="2:13" ht="16.5" thickBot="1">
      <c r="B121" s="551" t="str">
        <f>"42"</f>
        <v>42</v>
      </c>
      <c r="C121" s="552" t="s">
        <v>113</v>
      </c>
      <c r="D121" s="553" t="str">
        <f>'Tab.G2.1-3'!$D$106</f>
        <v>[szt.]</v>
      </c>
      <c r="E121" s="554">
        <f>SUM(E122,E126,E130,E134:E136)</f>
        <v>0</v>
      </c>
      <c r="F121" s="555">
        <f>SUM(F122,F126,F130,F134:F136)</f>
        <v>0</v>
      </c>
      <c r="G121" s="555">
        <f t="shared" ref="G121:K121" si="47">SUM(G122,G126,G130,G134:G136)</f>
        <v>0</v>
      </c>
      <c r="H121" s="555">
        <f t="shared" si="47"/>
        <v>0</v>
      </c>
      <c r="I121" s="555">
        <f t="shared" si="47"/>
        <v>0</v>
      </c>
      <c r="J121" s="555">
        <f t="shared" si="47"/>
        <v>0</v>
      </c>
      <c r="K121" s="555">
        <f t="shared" si="47"/>
        <v>0</v>
      </c>
      <c r="L121" s="556">
        <f>SUM(L122,L126,L130,L134:L136)</f>
        <v>0</v>
      </c>
      <c r="M121" s="368">
        <f>SUM(M122,M126,M130,M134:M136)</f>
        <v>0</v>
      </c>
    </row>
    <row r="122" spans="2:13">
      <c r="B122" s="598" t="str">
        <f>"43"</f>
        <v>43</v>
      </c>
      <c r="C122" s="342" t="s">
        <v>191</v>
      </c>
      <c r="D122" s="356" t="str">
        <f>'Tab.G2.1-3'!$D$106</f>
        <v>[szt.]</v>
      </c>
      <c r="E122" s="369">
        <f>SUM(E123:E125)</f>
        <v>0</v>
      </c>
      <c r="F122" s="370">
        <f>SUM(F123:F125)</f>
        <v>0</v>
      </c>
      <c r="G122" s="370">
        <f t="shared" ref="G122:K122" si="48">SUM(G123:G125)</f>
        <v>0</v>
      </c>
      <c r="H122" s="370">
        <f t="shared" si="48"/>
        <v>0</v>
      </c>
      <c r="I122" s="370">
        <f t="shared" si="48"/>
        <v>0</v>
      </c>
      <c r="J122" s="370">
        <f t="shared" si="48"/>
        <v>0</v>
      </c>
      <c r="K122" s="370">
        <f t="shared" si="48"/>
        <v>0</v>
      </c>
      <c r="L122" s="371">
        <f>SUM(L123:L125)</f>
        <v>0</v>
      </c>
      <c r="M122" s="372">
        <f>SUM(M123:M125)</f>
        <v>0</v>
      </c>
    </row>
    <row r="123" spans="2:13">
      <c r="B123" s="589" t="str">
        <f>"44"</f>
        <v>44</v>
      </c>
      <c r="C123" s="260" t="s">
        <v>85</v>
      </c>
      <c r="D123" s="352" t="str">
        <f>'Tab.G2.1-3'!$D$106</f>
        <v>[szt.]</v>
      </c>
      <c r="E123" s="373"/>
      <c r="F123" s="374"/>
      <c r="G123" s="374"/>
      <c r="H123" s="374"/>
      <c r="I123" s="374"/>
      <c r="J123" s="374"/>
      <c r="K123" s="374"/>
      <c r="L123" s="375"/>
      <c r="M123" s="376">
        <f>SUM(E123:L123)</f>
        <v>0</v>
      </c>
    </row>
    <row r="124" spans="2:13">
      <c r="B124" s="590" t="str">
        <f>"45"</f>
        <v>45</v>
      </c>
      <c r="C124" s="261" t="s">
        <v>86</v>
      </c>
      <c r="D124" s="353" t="str">
        <f>'Tab.G2.1-3'!$D$106</f>
        <v>[szt.]</v>
      </c>
      <c r="E124" s="377"/>
      <c r="F124" s="378"/>
      <c r="G124" s="378"/>
      <c r="H124" s="378"/>
      <c r="I124" s="378"/>
      <c r="J124" s="378"/>
      <c r="K124" s="378"/>
      <c r="L124" s="379"/>
      <c r="M124" s="380">
        <f>SUM(E124:L124)</f>
        <v>0</v>
      </c>
    </row>
    <row r="125" spans="2:13">
      <c r="B125" s="591" t="str">
        <f>"46"</f>
        <v>46</v>
      </c>
      <c r="C125" s="269" t="s">
        <v>87</v>
      </c>
      <c r="D125" s="354" t="str">
        <f>'Tab.G2.1-3'!$D$106</f>
        <v>[szt.]</v>
      </c>
      <c r="E125" s="381"/>
      <c r="F125" s="382"/>
      <c r="G125" s="382"/>
      <c r="H125" s="382"/>
      <c r="I125" s="382"/>
      <c r="J125" s="382"/>
      <c r="K125" s="382"/>
      <c r="L125" s="383"/>
      <c r="M125" s="384">
        <f>SUM(E125:L125)</f>
        <v>0</v>
      </c>
    </row>
    <row r="126" spans="2:13">
      <c r="B126" s="599" t="str">
        <f>"47"</f>
        <v>47</v>
      </c>
      <c r="C126" s="342" t="s">
        <v>192</v>
      </c>
      <c r="D126" s="357" t="str">
        <f>'Tab.G2.1-3'!$D$106</f>
        <v>[szt.]</v>
      </c>
      <c r="E126" s="385">
        <f t="shared" ref="E126:M126" si="49">SUM(E127:E129)</f>
        <v>0</v>
      </c>
      <c r="F126" s="386">
        <f t="shared" si="49"/>
        <v>0</v>
      </c>
      <c r="G126" s="386">
        <f t="shared" si="49"/>
        <v>0</v>
      </c>
      <c r="H126" s="386">
        <f t="shared" si="49"/>
        <v>0</v>
      </c>
      <c r="I126" s="386">
        <f t="shared" si="49"/>
        <v>0</v>
      </c>
      <c r="J126" s="386">
        <f t="shared" si="49"/>
        <v>0</v>
      </c>
      <c r="K126" s="386">
        <f t="shared" si="49"/>
        <v>0</v>
      </c>
      <c r="L126" s="387">
        <f t="shared" si="49"/>
        <v>0</v>
      </c>
      <c r="M126" s="388">
        <f t="shared" si="49"/>
        <v>0</v>
      </c>
    </row>
    <row r="127" spans="2:13">
      <c r="B127" s="589" t="str">
        <f>"48"</f>
        <v>48</v>
      </c>
      <c r="C127" s="260" t="s">
        <v>88</v>
      </c>
      <c r="D127" s="352" t="str">
        <f>'Tab.G2.1-3'!$D$106</f>
        <v>[szt.]</v>
      </c>
      <c r="E127" s="373"/>
      <c r="F127" s="374"/>
      <c r="G127" s="374"/>
      <c r="H127" s="374"/>
      <c r="I127" s="374"/>
      <c r="J127" s="374"/>
      <c r="K127" s="374"/>
      <c r="L127" s="375"/>
      <c r="M127" s="376">
        <f>SUM(E127:L127)</f>
        <v>0</v>
      </c>
    </row>
    <row r="128" spans="2:13">
      <c r="B128" s="590" t="str">
        <f>"49"</f>
        <v>49</v>
      </c>
      <c r="C128" s="262" t="s">
        <v>89</v>
      </c>
      <c r="D128" s="353" t="str">
        <f>'Tab.G2.1-3'!$D$106</f>
        <v>[szt.]</v>
      </c>
      <c r="E128" s="377"/>
      <c r="F128" s="378"/>
      <c r="G128" s="378"/>
      <c r="H128" s="378"/>
      <c r="I128" s="378"/>
      <c r="J128" s="378"/>
      <c r="K128" s="378"/>
      <c r="L128" s="379"/>
      <c r="M128" s="380">
        <f>SUM(E128:L128)</f>
        <v>0</v>
      </c>
    </row>
    <row r="129" spans="2:13">
      <c r="B129" s="591" t="str">
        <f>"50"</f>
        <v>50</v>
      </c>
      <c r="C129" s="269" t="s">
        <v>90</v>
      </c>
      <c r="D129" s="354" t="str">
        <f>'Tab.G2.1-3'!$D$106</f>
        <v>[szt.]</v>
      </c>
      <c r="E129" s="381"/>
      <c r="F129" s="382"/>
      <c r="G129" s="382"/>
      <c r="H129" s="382"/>
      <c r="I129" s="382"/>
      <c r="J129" s="382"/>
      <c r="K129" s="382"/>
      <c r="L129" s="383"/>
      <c r="M129" s="384">
        <f>SUM(E129:L129)</f>
        <v>0</v>
      </c>
    </row>
    <row r="130" spans="2:13">
      <c r="B130" s="599" t="str">
        <f>"51"</f>
        <v>51</v>
      </c>
      <c r="C130" s="342" t="s">
        <v>193</v>
      </c>
      <c r="D130" s="357" t="str">
        <f>'Tab.G2.1-3'!$D$106</f>
        <v>[szt.]</v>
      </c>
      <c r="E130" s="385">
        <f t="shared" ref="E130:M130" si="50">SUM(E131:E133)</f>
        <v>0</v>
      </c>
      <c r="F130" s="386">
        <f t="shared" si="50"/>
        <v>0</v>
      </c>
      <c r="G130" s="386">
        <f t="shared" si="50"/>
        <v>0</v>
      </c>
      <c r="H130" s="386">
        <f t="shared" si="50"/>
        <v>0</v>
      </c>
      <c r="I130" s="386">
        <f t="shared" si="50"/>
        <v>0</v>
      </c>
      <c r="J130" s="386">
        <f t="shared" si="50"/>
        <v>0</v>
      </c>
      <c r="K130" s="386">
        <f t="shared" si="50"/>
        <v>0</v>
      </c>
      <c r="L130" s="387">
        <f t="shared" si="50"/>
        <v>0</v>
      </c>
      <c r="M130" s="388">
        <f t="shared" si="50"/>
        <v>0</v>
      </c>
    </row>
    <row r="131" spans="2:13">
      <c r="B131" s="593" t="str">
        <f>"52"</f>
        <v>52</v>
      </c>
      <c r="C131" s="260" t="s">
        <v>88</v>
      </c>
      <c r="D131" s="352" t="str">
        <f>'Tab.G2.1-3'!$D$106</f>
        <v>[szt.]</v>
      </c>
      <c r="E131" s="389"/>
      <c r="F131" s="390"/>
      <c r="G131" s="390"/>
      <c r="H131" s="390"/>
      <c r="I131" s="390"/>
      <c r="J131" s="390"/>
      <c r="K131" s="390"/>
      <c r="L131" s="391"/>
      <c r="M131" s="376">
        <f t="shared" ref="M131:M136" si="51">SUM(E131:L131)</f>
        <v>0</v>
      </c>
    </row>
    <row r="132" spans="2:13">
      <c r="B132" s="594" t="str">
        <f>"53"</f>
        <v>53</v>
      </c>
      <c r="C132" s="262" t="s">
        <v>89</v>
      </c>
      <c r="D132" s="353" t="str">
        <f>'Tab.G2.1-3'!$D$106</f>
        <v>[szt.]</v>
      </c>
      <c r="E132" s="392"/>
      <c r="F132" s="393"/>
      <c r="G132" s="393"/>
      <c r="H132" s="393"/>
      <c r="I132" s="393"/>
      <c r="J132" s="393"/>
      <c r="K132" s="393"/>
      <c r="L132" s="394"/>
      <c r="M132" s="380">
        <f t="shared" si="51"/>
        <v>0</v>
      </c>
    </row>
    <row r="133" spans="2:13">
      <c r="B133" s="595" t="str">
        <f>"54"</f>
        <v>54</v>
      </c>
      <c r="C133" s="269" t="s">
        <v>90</v>
      </c>
      <c r="D133" s="354" t="str">
        <f>'Tab.G2.1-3'!$D$106</f>
        <v>[szt.]</v>
      </c>
      <c r="E133" s="395"/>
      <c r="F133" s="396"/>
      <c r="G133" s="396"/>
      <c r="H133" s="396"/>
      <c r="I133" s="396"/>
      <c r="J133" s="396"/>
      <c r="K133" s="396"/>
      <c r="L133" s="397"/>
      <c r="M133" s="384">
        <f t="shared" si="51"/>
        <v>0</v>
      </c>
    </row>
    <row r="134" spans="2:13">
      <c r="B134" s="600" t="str">
        <f>"55"</f>
        <v>55</v>
      </c>
      <c r="C134" s="341" t="s">
        <v>194</v>
      </c>
      <c r="D134" s="358" t="str">
        <f>'Tab.G2.1-3'!$D$106</f>
        <v>[szt.]</v>
      </c>
      <c r="E134" s="398"/>
      <c r="F134" s="399"/>
      <c r="G134" s="399"/>
      <c r="H134" s="399"/>
      <c r="I134" s="399"/>
      <c r="J134" s="399"/>
      <c r="K134" s="399"/>
      <c r="L134" s="400"/>
      <c r="M134" s="401">
        <f t="shared" si="51"/>
        <v>0</v>
      </c>
    </row>
    <row r="135" spans="2:13">
      <c r="B135" s="600" t="str">
        <f>"56"</f>
        <v>56</v>
      </c>
      <c r="C135" s="341" t="s">
        <v>195</v>
      </c>
      <c r="D135" s="358" t="str">
        <f>'Tab.G2.1-3'!$D$106</f>
        <v>[szt.]</v>
      </c>
      <c r="E135" s="398"/>
      <c r="F135" s="399"/>
      <c r="G135" s="399"/>
      <c r="H135" s="399"/>
      <c r="I135" s="399"/>
      <c r="J135" s="399"/>
      <c r="K135" s="399"/>
      <c r="L135" s="400"/>
      <c r="M135" s="401">
        <f t="shared" si="51"/>
        <v>0</v>
      </c>
    </row>
    <row r="136" spans="2:13" ht="16.5" thickBot="1">
      <c r="B136" s="367" t="str">
        <f>"57"</f>
        <v>57</v>
      </c>
      <c r="C136" s="343" t="s">
        <v>190</v>
      </c>
      <c r="D136" s="359" t="str">
        <f>'Tab.G2.1-3'!$D$106</f>
        <v>[szt.]</v>
      </c>
      <c r="E136" s="402"/>
      <c r="F136" s="403"/>
      <c r="G136" s="403"/>
      <c r="H136" s="403"/>
      <c r="I136" s="403"/>
      <c r="J136" s="403"/>
      <c r="K136" s="403"/>
      <c r="L136" s="404"/>
      <c r="M136" s="405">
        <f t="shared" si="51"/>
        <v>0</v>
      </c>
    </row>
    <row r="137" spans="2:13" ht="16.5" thickBot="1">
      <c r="B137" s="557" t="str">
        <f>"58"</f>
        <v>58</v>
      </c>
      <c r="C137" s="552" t="s">
        <v>126</v>
      </c>
      <c r="D137" s="558" t="str">
        <f>'Tab.G2.1-3'!$D$106</f>
        <v>[szt.]</v>
      </c>
      <c r="E137" s="554">
        <f>SUM(E138,E141:E143)</f>
        <v>0</v>
      </c>
      <c r="F137" s="559">
        <f>SUM(F138,F141:F143)</f>
        <v>0</v>
      </c>
      <c r="G137" s="559">
        <f t="shared" ref="G137" si="52">SUM(G138,G141:G143)</f>
        <v>0</v>
      </c>
      <c r="H137" s="559">
        <f t="shared" ref="H137" si="53">SUM(H138,H141:H143)</f>
        <v>0</v>
      </c>
      <c r="I137" s="559">
        <f t="shared" ref="I137" si="54">SUM(I138,I141:I143)</f>
        <v>0</v>
      </c>
      <c r="J137" s="559">
        <f t="shared" ref="J137" si="55">SUM(J138,J141:J143)</f>
        <v>0</v>
      </c>
      <c r="K137" s="559">
        <f t="shared" ref="K137" si="56">SUM(K138,K141:K143)</f>
        <v>0</v>
      </c>
      <c r="L137" s="560">
        <f>SUM(L138,L141:L143)</f>
        <v>0</v>
      </c>
      <c r="M137" s="368">
        <f t="shared" ref="M137" si="57">SUM(M138:M142)</f>
        <v>0</v>
      </c>
    </row>
    <row r="138" spans="2:13">
      <c r="B138" s="601" t="str">
        <f>"59"</f>
        <v>59</v>
      </c>
      <c r="C138" s="340" t="s">
        <v>127</v>
      </c>
      <c r="D138" s="360" t="str">
        <f>'Tab.G2.1-3'!$D$106</f>
        <v>[szt.]</v>
      </c>
      <c r="E138" s="406">
        <f t="shared" ref="E138:L138" si="58">SUM(E139:E140)</f>
        <v>0</v>
      </c>
      <c r="F138" s="407">
        <f t="shared" si="58"/>
        <v>0</v>
      </c>
      <c r="G138" s="407">
        <f t="shared" si="58"/>
        <v>0</v>
      </c>
      <c r="H138" s="407">
        <f t="shared" si="58"/>
        <v>0</v>
      </c>
      <c r="I138" s="407">
        <f t="shared" si="58"/>
        <v>0</v>
      </c>
      <c r="J138" s="407">
        <f t="shared" si="58"/>
        <v>0</v>
      </c>
      <c r="K138" s="407">
        <f t="shared" si="58"/>
        <v>0</v>
      </c>
      <c r="L138" s="408">
        <f t="shared" si="58"/>
        <v>0</v>
      </c>
      <c r="M138" s="409">
        <f t="shared" ref="M138:M143" si="59">SUM(E138:L138)</f>
        <v>0</v>
      </c>
    </row>
    <row r="139" spans="2:13">
      <c r="B139" s="602" t="str">
        <f>"60"</f>
        <v>60</v>
      </c>
      <c r="C139" s="263" t="s">
        <v>128</v>
      </c>
      <c r="D139" s="361" t="str">
        <f>'Tab.G2.1-3'!$D$106</f>
        <v>[szt.]</v>
      </c>
      <c r="E139" s="374"/>
      <c r="F139" s="410"/>
      <c r="G139" s="410"/>
      <c r="H139" s="410"/>
      <c r="I139" s="410"/>
      <c r="J139" s="410"/>
      <c r="K139" s="410"/>
      <c r="L139" s="411"/>
      <c r="M139" s="376">
        <f t="shared" si="59"/>
        <v>0</v>
      </c>
    </row>
    <row r="140" spans="2:13">
      <c r="B140" s="603" t="str">
        <f>"61"</f>
        <v>61</v>
      </c>
      <c r="C140" s="336" t="s">
        <v>129</v>
      </c>
      <c r="D140" s="362" t="str">
        <f>'Tab.G2.1-3'!$D$106</f>
        <v>[szt.]</v>
      </c>
      <c r="E140" s="382"/>
      <c r="F140" s="412"/>
      <c r="G140" s="412"/>
      <c r="H140" s="412"/>
      <c r="I140" s="412"/>
      <c r="J140" s="412"/>
      <c r="K140" s="412"/>
      <c r="L140" s="413"/>
      <c r="M140" s="384">
        <f t="shared" si="59"/>
        <v>0</v>
      </c>
    </row>
    <row r="141" spans="2:13">
      <c r="B141" s="604" t="str">
        <f>"62"</f>
        <v>62</v>
      </c>
      <c r="C141" s="341" t="s">
        <v>130</v>
      </c>
      <c r="D141" s="363" t="str">
        <f>'Tab.G2.1-3'!$D$106</f>
        <v>[szt.]</v>
      </c>
      <c r="E141" s="414"/>
      <c r="F141" s="399"/>
      <c r="G141" s="399"/>
      <c r="H141" s="399"/>
      <c r="I141" s="399"/>
      <c r="J141" s="399"/>
      <c r="K141" s="399"/>
      <c r="L141" s="400"/>
      <c r="M141" s="401">
        <f t="shared" si="59"/>
        <v>0</v>
      </c>
    </row>
    <row r="142" spans="2:13">
      <c r="B142" s="604" t="str">
        <f>"63"</f>
        <v>63</v>
      </c>
      <c r="C142" s="341" t="s">
        <v>131</v>
      </c>
      <c r="D142" s="363" t="str">
        <f>'Tab.G2.1-3'!$D$106</f>
        <v>[szt.]</v>
      </c>
      <c r="E142" s="414"/>
      <c r="F142" s="399"/>
      <c r="G142" s="399"/>
      <c r="H142" s="399"/>
      <c r="I142" s="399"/>
      <c r="J142" s="399"/>
      <c r="K142" s="399"/>
      <c r="L142" s="400"/>
      <c r="M142" s="401">
        <f t="shared" si="59"/>
        <v>0</v>
      </c>
    </row>
    <row r="143" spans="2:13" ht="16.5" thickBot="1">
      <c r="B143" s="367" t="str">
        <f>"64"</f>
        <v>64</v>
      </c>
      <c r="C143" s="343" t="s">
        <v>132</v>
      </c>
      <c r="D143" s="364" t="str">
        <f>'Tab.G2.1-3'!$D$106</f>
        <v>[szt.]</v>
      </c>
      <c r="E143" s="415"/>
      <c r="F143" s="415"/>
      <c r="G143" s="415"/>
      <c r="H143" s="415"/>
      <c r="I143" s="415"/>
      <c r="J143" s="415"/>
      <c r="K143" s="415"/>
      <c r="L143" s="416"/>
      <c r="M143" s="405">
        <f t="shared" si="59"/>
        <v>0</v>
      </c>
    </row>
    <row r="146" spans="2:13" ht="16.5" thickBot="1">
      <c r="B146" s="951" t="s">
        <v>288</v>
      </c>
      <c r="C146" s="952"/>
      <c r="D146" s="952"/>
      <c r="E146" s="953"/>
      <c r="F146" s="953"/>
      <c r="G146" s="944"/>
      <c r="H146" s="944"/>
      <c r="I146" s="944"/>
      <c r="J146" s="944"/>
      <c r="K146" s="944"/>
      <c r="L146" s="944"/>
      <c r="M146" s="944"/>
    </row>
    <row r="147" spans="2:13" ht="16.5" thickBot="1">
      <c r="B147" s="1171" t="str">
        <f>'Tab.G1.1-4'!$B$8</f>
        <v>LP</v>
      </c>
      <c r="C147" s="1174" t="str">
        <f>"Składnik majątku sieciowego"</f>
        <v>Składnik majątku sieciowego</v>
      </c>
      <c r="D147" s="1175"/>
      <c r="E147" s="1180" t="str">
        <f>"Wiek składnika majątku sieciowego na koniec roku sprawozdawczego"</f>
        <v>Wiek składnika majątku sieciowego na koniec roku sprawozdawczego</v>
      </c>
      <c r="F147" s="1181"/>
      <c r="G147" s="1181"/>
      <c r="H147" s="1181"/>
      <c r="I147" s="1181"/>
      <c r="J147" s="1181"/>
      <c r="K147" s="1181"/>
      <c r="L147" s="1181"/>
      <c r="M147" s="1182" t="str">
        <f>"RAZEM"</f>
        <v>RAZEM</v>
      </c>
    </row>
    <row r="148" spans="2:13" ht="16.5" thickBot="1">
      <c r="B148" s="1172"/>
      <c r="C148" s="1176"/>
      <c r="D148" s="1177"/>
      <c r="E148" s="41" t="str">
        <f>"[lata]"</f>
        <v>[lata]</v>
      </c>
      <c r="F148" s="42" t="str">
        <f t="shared" ref="F148:L148" si="60">$E$8</f>
        <v>[lata]</v>
      </c>
      <c r="G148" s="42" t="str">
        <f t="shared" si="60"/>
        <v>[lata]</v>
      </c>
      <c r="H148" s="42" t="str">
        <f t="shared" si="60"/>
        <v>[lata]</v>
      </c>
      <c r="I148" s="42" t="str">
        <f t="shared" si="60"/>
        <v>[lata]</v>
      </c>
      <c r="J148" s="42" t="str">
        <f t="shared" si="60"/>
        <v>[lata]</v>
      </c>
      <c r="K148" s="42" t="str">
        <f t="shared" si="60"/>
        <v>[lata]</v>
      </c>
      <c r="L148" s="43" t="str">
        <f t="shared" si="60"/>
        <v>[lata]</v>
      </c>
      <c r="M148" s="1183"/>
    </row>
    <row r="149" spans="2:13" ht="16.5" thickBot="1">
      <c r="B149" s="1173"/>
      <c r="C149" s="1178"/>
      <c r="D149" s="1179"/>
      <c r="E149" s="44" t="str">
        <f>"36 i więcej"</f>
        <v>36 i więcej</v>
      </c>
      <c r="F149" s="45" t="str">
        <f>"31 - 35"</f>
        <v>31 - 35</v>
      </c>
      <c r="G149" s="45" t="str">
        <f>"26 - 30"</f>
        <v>26 - 30</v>
      </c>
      <c r="H149" s="45" t="str">
        <f>"21 - 25"</f>
        <v>21 - 25</v>
      </c>
      <c r="I149" s="45" t="str">
        <f>"16 - 20"</f>
        <v>16 - 20</v>
      </c>
      <c r="J149" s="459" t="str">
        <f>"11 - 15"</f>
        <v>11 - 15</v>
      </c>
      <c r="K149" s="459" t="str">
        <f>"6 - 10"</f>
        <v>6 - 10</v>
      </c>
      <c r="L149" s="460" t="str">
        <f>"0 - 5"</f>
        <v>0 - 5</v>
      </c>
      <c r="M149" s="1184"/>
    </row>
    <row r="150" spans="2:13" ht="16.5" thickBot="1">
      <c r="B150" s="586" t="str">
        <f>"01"</f>
        <v>01</v>
      </c>
      <c r="C150" s="1185" t="str">
        <f>$B$11</f>
        <v>02</v>
      </c>
      <c r="D150" s="1186"/>
      <c r="E150" s="586" t="str">
        <f t="array" ref="E150:M150">TRANSPOSE($B$12:$B$20)</f>
        <v>03</v>
      </c>
      <c r="F150" s="962" t="str">
        <v>04</v>
      </c>
      <c r="G150" s="962" t="str">
        <v>05</v>
      </c>
      <c r="H150" s="962" t="str">
        <v>06</v>
      </c>
      <c r="I150" s="962" t="str">
        <v>07</v>
      </c>
      <c r="J150" s="962" t="str">
        <v>08</v>
      </c>
      <c r="K150" s="962" t="str">
        <v>09</v>
      </c>
      <c r="L150" s="606" t="str">
        <v>10</v>
      </c>
      <c r="M150" s="607" t="str">
        <v>11</v>
      </c>
    </row>
    <row r="151" spans="2:13" ht="16.5" thickBot="1">
      <c r="B151" s="587" t="str">
        <f>"02"</f>
        <v>02</v>
      </c>
      <c r="C151" s="546" t="s">
        <v>188</v>
      </c>
      <c r="D151" s="547" t="str">
        <f>'Tab.G2.1-3'!$D$72</f>
        <v>[km]</v>
      </c>
      <c r="E151" s="548">
        <f>SUM(E152,E163,E179:E180)</f>
        <v>0</v>
      </c>
      <c r="F151" s="549">
        <f>SUM(F152,F163,F179:F180)</f>
        <v>0</v>
      </c>
      <c r="G151" s="549">
        <f t="shared" ref="G151:M151" si="61">SUM(G152,G163,G179:G180)</f>
        <v>0</v>
      </c>
      <c r="H151" s="549">
        <f t="shared" si="61"/>
        <v>0</v>
      </c>
      <c r="I151" s="549">
        <f t="shared" si="61"/>
        <v>0</v>
      </c>
      <c r="J151" s="549">
        <f t="shared" si="61"/>
        <v>0</v>
      </c>
      <c r="K151" s="549">
        <f t="shared" si="61"/>
        <v>0</v>
      </c>
      <c r="L151" s="550">
        <f t="shared" si="61"/>
        <v>0</v>
      </c>
      <c r="M151" s="417">
        <f t="shared" si="61"/>
        <v>0</v>
      </c>
    </row>
    <row r="152" spans="2:13" ht="16.5" thickBot="1">
      <c r="B152" s="365" t="str">
        <f>"03"</f>
        <v>03</v>
      </c>
      <c r="C152" s="338" t="s">
        <v>120</v>
      </c>
      <c r="D152" s="345" t="str">
        <f>'Tab.G2.1-3'!$D$72</f>
        <v>[km]</v>
      </c>
      <c r="E152" s="418">
        <f>SUM(E153,E158)</f>
        <v>0</v>
      </c>
      <c r="F152" s="419">
        <f>SUM(F153,F158)</f>
        <v>0</v>
      </c>
      <c r="G152" s="419">
        <f t="shared" ref="G152:M152" si="62">SUM(G153,G158)</f>
        <v>0</v>
      </c>
      <c r="H152" s="419">
        <f t="shared" si="62"/>
        <v>0</v>
      </c>
      <c r="I152" s="419">
        <f t="shared" si="62"/>
        <v>0</v>
      </c>
      <c r="J152" s="419">
        <f t="shared" si="62"/>
        <v>0</v>
      </c>
      <c r="K152" s="419">
        <f t="shared" si="62"/>
        <v>0</v>
      </c>
      <c r="L152" s="420">
        <f t="shared" si="62"/>
        <v>0</v>
      </c>
      <c r="M152" s="421">
        <f t="shared" si="62"/>
        <v>0</v>
      </c>
    </row>
    <row r="153" spans="2:13">
      <c r="B153" s="588" t="str">
        <f>"04"</f>
        <v>04</v>
      </c>
      <c r="C153" s="344" t="s">
        <v>72</v>
      </c>
      <c r="D153" s="346" t="str">
        <f>'Tab.G2.1-3'!$D$72</f>
        <v>[km]</v>
      </c>
      <c r="E153" s="422">
        <f>SUM(E154:E157)</f>
        <v>0</v>
      </c>
      <c r="F153" s="423">
        <f>SUM(F154:F157)</f>
        <v>0</v>
      </c>
      <c r="G153" s="423">
        <f t="shared" ref="G153:M153" si="63">SUM(G154:G157)</f>
        <v>0</v>
      </c>
      <c r="H153" s="423">
        <f t="shared" si="63"/>
        <v>0</v>
      </c>
      <c r="I153" s="423">
        <f t="shared" si="63"/>
        <v>0</v>
      </c>
      <c r="J153" s="423">
        <f t="shared" si="63"/>
        <v>0</v>
      </c>
      <c r="K153" s="423">
        <f t="shared" si="63"/>
        <v>0</v>
      </c>
      <c r="L153" s="424">
        <f t="shared" si="63"/>
        <v>0</v>
      </c>
      <c r="M153" s="417">
        <f t="shared" si="63"/>
        <v>0</v>
      </c>
    </row>
    <row r="154" spans="2:13">
      <c r="B154" s="589" t="str">
        <f>"05"</f>
        <v>05</v>
      </c>
      <c r="C154" s="260" t="s">
        <v>73</v>
      </c>
      <c r="D154" s="347" t="str">
        <f>'Tab.G2.1-3'!$D$72</f>
        <v>[km]</v>
      </c>
      <c r="E154" s="425"/>
      <c r="F154" s="426"/>
      <c r="G154" s="426"/>
      <c r="H154" s="426"/>
      <c r="I154" s="426"/>
      <c r="J154" s="426"/>
      <c r="K154" s="426"/>
      <c r="L154" s="427"/>
      <c r="M154" s="428">
        <f>SUM(E154:L154)</f>
        <v>0</v>
      </c>
    </row>
    <row r="155" spans="2:13">
      <c r="B155" s="590" t="str">
        <f>"06"</f>
        <v>06</v>
      </c>
      <c r="C155" s="261" t="s">
        <v>74</v>
      </c>
      <c r="D155" s="348" t="str">
        <f>'Tab.G2.1-3'!$D$72</f>
        <v>[km]</v>
      </c>
      <c r="E155" s="429"/>
      <c r="F155" s="430"/>
      <c r="G155" s="430"/>
      <c r="H155" s="430"/>
      <c r="I155" s="430"/>
      <c r="J155" s="430"/>
      <c r="K155" s="430"/>
      <c r="L155" s="431"/>
      <c r="M155" s="432">
        <f>SUM(E155:L155)</f>
        <v>0</v>
      </c>
    </row>
    <row r="156" spans="2:13">
      <c r="B156" s="590" t="str">
        <f>"07"</f>
        <v>07</v>
      </c>
      <c r="C156" s="261" t="s">
        <v>75</v>
      </c>
      <c r="D156" s="348" t="str">
        <f>'Tab.G2.1-3'!$D$72</f>
        <v>[km]</v>
      </c>
      <c r="E156" s="429"/>
      <c r="F156" s="430"/>
      <c r="G156" s="430"/>
      <c r="H156" s="430"/>
      <c r="I156" s="430"/>
      <c r="J156" s="430"/>
      <c r="K156" s="430"/>
      <c r="L156" s="431"/>
      <c r="M156" s="432">
        <f>SUM(E156:L156)</f>
        <v>0</v>
      </c>
    </row>
    <row r="157" spans="2:13">
      <c r="B157" s="591" t="str">
        <f>"08"</f>
        <v>08</v>
      </c>
      <c r="C157" s="264" t="s">
        <v>76</v>
      </c>
      <c r="D157" s="349" t="str">
        <f>'Tab.G2.1-3'!$D$72</f>
        <v>[km]</v>
      </c>
      <c r="E157" s="433"/>
      <c r="F157" s="434"/>
      <c r="G157" s="434"/>
      <c r="H157" s="434"/>
      <c r="I157" s="434"/>
      <c r="J157" s="434"/>
      <c r="K157" s="434"/>
      <c r="L157" s="435"/>
      <c r="M157" s="436">
        <f>SUM(E157:L157)</f>
        <v>0</v>
      </c>
    </row>
    <row r="158" spans="2:13">
      <c r="B158" s="588" t="str">
        <f>"09"</f>
        <v>09</v>
      </c>
      <c r="C158" s="344" t="s">
        <v>77</v>
      </c>
      <c r="D158" s="346" t="str">
        <f>'Tab.G2.1-3'!$D$72</f>
        <v>[km]</v>
      </c>
      <c r="E158" s="422">
        <f t="shared" ref="E158:M158" si="64">SUM(E159:E162)</f>
        <v>0</v>
      </c>
      <c r="F158" s="423">
        <f t="shared" si="64"/>
        <v>0</v>
      </c>
      <c r="G158" s="423">
        <f t="shared" si="64"/>
        <v>0</v>
      </c>
      <c r="H158" s="423">
        <f t="shared" si="64"/>
        <v>0</v>
      </c>
      <c r="I158" s="423">
        <f t="shared" si="64"/>
        <v>0</v>
      </c>
      <c r="J158" s="423">
        <f t="shared" si="64"/>
        <v>0</v>
      </c>
      <c r="K158" s="423">
        <f t="shared" si="64"/>
        <v>0</v>
      </c>
      <c r="L158" s="424">
        <f t="shared" si="64"/>
        <v>0</v>
      </c>
      <c r="M158" s="437">
        <f t="shared" si="64"/>
        <v>0</v>
      </c>
    </row>
    <row r="159" spans="2:13">
      <c r="B159" s="589" t="str">
        <f>"10"</f>
        <v>10</v>
      </c>
      <c r="C159" s="260" t="s">
        <v>73</v>
      </c>
      <c r="D159" s="347" t="str">
        <f>'Tab.G2.1-3'!$D$72</f>
        <v>[km]</v>
      </c>
      <c r="E159" s="425"/>
      <c r="F159" s="426"/>
      <c r="G159" s="426"/>
      <c r="H159" s="426"/>
      <c r="I159" s="426"/>
      <c r="J159" s="426"/>
      <c r="K159" s="426"/>
      <c r="L159" s="427"/>
      <c r="M159" s="428">
        <f>SUM(E159:L159)</f>
        <v>0</v>
      </c>
    </row>
    <row r="160" spans="2:13">
      <c r="B160" s="590" t="str">
        <f>"11"</f>
        <v>11</v>
      </c>
      <c r="C160" s="261" t="s">
        <v>74</v>
      </c>
      <c r="D160" s="348" t="str">
        <f>'Tab.G2.1-3'!$D$72</f>
        <v>[km]</v>
      </c>
      <c r="E160" s="429"/>
      <c r="F160" s="430"/>
      <c r="G160" s="430"/>
      <c r="H160" s="430"/>
      <c r="I160" s="430"/>
      <c r="J160" s="430"/>
      <c r="K160" s="430"/>
      <c r="L160" s="431"/>
      <c r="M160" s="432">
        <f>SUM(E160:L160)</f>
        <v>0</v>
      </c>
    </row>
    <row r="161" spans="2:13">
      <c r="B161" s="590" t="str">
        <f>"12"</f>
        <v>12</v>
      </c>
      <c r="C161" s="261" t="s">
        <v>75</v>
      </c>
      <c r="D161" s="348" t="str">
        <f>'Tab.G2.1-3'!$D$72</f>
        <v>[km]</v>
      </c>
      <c r="E161" s="429"/>
      <c r="F161" s="430"/>
      <c r="G161" s="430"/>
      <c r="H161" s="430"/>
      <c r="I161" s="430"/>
      <c r="J161" s="430"/>
      <c r="K161" s="430"/>
      <c r="L161" s="431"/>
      <c r="M161" s="432">
        <f>SUM(E161:L161)</f>
        <v>0</v>
      </c>
    </row>
    <row r="162" spans="2:13" ht="16.5" thickBot="1">
      <c r="B162" s="592" t="str">
        <f>"13"</f>
        <v>13</v>
      </c>
      <c r="C162" s="265" t="s">
        <v>76</v>
      </c>
      <c r="D162" s="350" t="str">
        <f>'Tab.G2.1-3'!$D$72</f>
        <v>[km]</v>
      </c>
      <c r="E162" s="438"/>
      <c r="F162" s="439"/>
      <c r="G162" s="439"/>
      <c r="H162" s="439"/>
      <c r="I162" s="439"/>
      <c r="J162" s="439"/>
      <c r="K162" s="439"/>
      <c r="L162" s="440"/>
      <c r="M162" s="441">
        <f>SUM(E162:L162)</f>
        <v>0</v>
      </c>
    </row>
    <row r="163" spans="2:13" ht="16.5" thickBot="1">
      <c r="B163" s="365" t="str">
        <f>"14"</f>
        <v>14</v>
      </c>
      <c r="C163" s="339" t="s">
        <v>121</v>
      </c>
      <c r="D163" s="345" t="str">
        <f>'Tab.G2.1-3'!$D$72</f>
        <v>[km]</v>
      </c>
      <c r="E163" s="418">
        <f>SUM(E164,E169,E174)</f>
        <v>0</v>
      </c>
      <c r="F163" s="419">
        <f>SUM(F164,F169,F174)</f>
        <v>0</v>
      </c>
      <c r="G163" s="419">
        <f t="shared" ref="G163:K163" si="65">SUM(G164,G169,G174)</f>
        <v>0</v>
      </c>
      <c r="H163" s="419">
        <f t="shared" si="65"/>
        <v>0</v>
      </c>
      <c r="I163" s="419">
        <f t="shared" si="65"/>
        <v>0</v>
      </c>
      <c r="J163" s="419">
        <f t="shared" si="65"/>
        <v>0</v>
      </c>
      <c r="K163" s="419">
        <f t="shared" si="65"/>
        <v>0</v>
      </c>
      <c r="L163" s="420">
        <f>SUM(L164,L169,L174)</f>
        <v>0</v>
      </c>
      <c r="M163" s="421">
        <f>SUM(M164,M169,M174)</f>
        <v>0</v>
      </c>
    </row>
    <row r="164" spans="2:13">
      <c r="B164" s="588" t="str">
        <f>"15"</f>
        <v>15</v>
      </c>
      <c r="C164" s="344" t="s">
        <v>72</v>
      </c>
      <c r="D164" s="346" t="str">
        <f>'Tab.G2.1-3'!$D$72</f>
        <v>[km]</v>
      </c>
      <c r="E164" s="422">
        <f>SUM(E165:E168)</f>
        <v>0</v>
      </c>
      <c r="F164" s="423">
        <f>SUM(F165:F168)</f>
        <v>0</v>
      </c>
      <c r="G164" s="423">
        <f t="shared" ref="G164:K164" si="66">SUM(G165:G168)</f>
        <v>0</v>
      </c>
      <c r="H164" s="423">
        <f t="shared" si="66"/>
        <v>0</v>
      </c>
      <c r="I164" s="423">
        <f t="shared" si="66"/>
        <v>0</v>
      </c>
      <c r="J164" s="423">
        <f t="shared" si="66"/>
        <v>0</v>
      </c>
      <c r="K164" s="423">
        <f t="shared" si="66"/>
        <v>0</v>
      </c>
      <c r="L164" s="424">
        <f>SUM(L165:L168)</f>
        <v>0</v>
      </c>
      <c r="M164" s="417">
        <f>SUM(M165:M168)</f>
        <v>0</v>
      </c>
    </row>
    <row r="165" spans="2:13">
      <c r="B165" s="589" t="str">
        <f>"16"</f>
        <v>16</v>
      </c>
      <c r="C165" s="260" t="s">
        <v>78</v>
      </c>
      <c r="D165" s="347" t="str">
        <f>'Tab.G2.1-3'!$D$72</f>
        <v>[km]</v>
      </c>
      <c r="E165" s="425"/>
      <c r="F165" s="426"/>
      <c r="G165" s="426"/>
      <c r="H165" s="426"/>
      <c r="I165" s="426"/>
      <c r="J165" s="426"/>
      <c r="K165" s="426"/>
      <c r="L165" s="427"/>
      <c r="M165" s="428">
        <f>SUM(E165:L165)</f>
        <v>0</v>
      </c>
    </row>
    <row r="166" spans="2:13">
      <c r="B166" s="590" t="str">
        <f>"17"</f>
        <v>17</v>
      </c>
      <c r="C166" s="261" t="s">
        <v>75</v>
      </c>
      <c r="D166" s="348" t="str">
        <f>'Tab.G2.1-3'!$D$72</f>
        <v>[km]</v>
      </c>
      <c r="E166" s="429"/>
      <c r="F166" s="430"/>
      <c r="G166" s="430"/>
      <c r="H166" s="430"/>
      <c r="I166" s="430"/>
      <c r="J166" s="430"/>
      <c r="K166" s="430"/>
      <c r="L166" s="431"/>
      <c r="M166" s="432">
        <f>SUM(E166:L166)</f>
        <v>0</v>
      </c>
    </row>
    <row r="167" spans="2:13">
      <c r="B167" s="590" t="str">
        <f>"18"</f>
        <v>18</v>
      </c>
      <c r="C167" s="262" t="s">
        <v>79</v>
      </c>
      <c r="D167" s="348" t="str">
        <f>'Tab.G2.1-3'!$D$72</f>
        <v>[km]</v>
      </c>
      <c r="E167" s="429"/>
      <c r="F167" s="430"/>
      <c r="G167" s="430"/>
      <c r="H167" s="430"/>
      <c r="I167" s="430"/>
      <c r="J167" s="430"/>
      <c r="K167" s="430"/>
      <c r="L167" s="431"/>
      <c r="M167" s="432">
        <f>SUM(E167:L167)</f>
        <v>0</v>
      </c>
    </row>
    <row r="168" spans="2:13">
      <c r="B168" s="591" t="str">
        <f>"19"</f>
        <v>19</v>
      </c>
      <c r="C168" s="264" t="s">
        <v>80</v>
      </c>
      <c r="D168" s="349" t="str">
        <f>'Tab.G2.1-3'!$D$72</f>
        <v>[km]</v>
      </c>
      <c r="E168" s="433"/>
      <c r="F168" s="434"/>
      <c r="G168" s="434"/>
      <c r="H168" s="434"/>
      <c r="I168" s="434"/>
      <c r="J168" s="434"/>
      <c r="K168" s="434"/>
      <c r="L168" s="435"/>
      <c r="M168" s="436">
        <f>SUM(E168:L168)</f>
        <v>0</v>
      </c>
    </row>
    <row r="169" spans="2:13">
      <c r="B169" s="588" t="str">
        <f>"20"</f>
        <v>20</v>
      </c>
      <c r="C169" s="344" t="s">
        <v>77</v>
      </c>
      <c r="D169" s="346" t="str">
        <f>'Tab.G2.1-3'!$D$72</f>
        <v>[km]</v>
      </c>
      <c r="E169" s="422">
        <f t="shared" ref="E169:M169" si="67">SUM(E170:E173)</f>
        <v>0</v>
      </c>
      <c r="F169" s="423">
        <f t="shared" si="67"/>
        <v>0</v>
      </c>
      <c r="G169" s="423">
        <f t="shared" si="67"/>
        <v>0</v>
      </c>
      <c r="H169" s="423">
        <f t="shared" si="67"/>
        <v>0</v>
      </c>
      <c r="I169" s="423">
        <f t="shared" si="67"/>
        <v>0</v>
      </c>
      <c r="J169" s="423">
        <f t="shared" si="67"/>
        <v>0</v>
      </c>
      <c r="K169" s="423">
        <f t="shared" si="67"/>
        <v>0</v>
      </c>
      <c r="L169" s="424">
        <f t="shared" si="67"/>
        <v>0</v>
      </c>
      <c r="M169" s="437">
        <f t="shared" si="67"/>
        <v>0</v>
      </c>
    </row>
    <row r="170" spans="2:13">
      <c r="B170" s="589" t="str">
        <f>"21"</f>
        <v>21</v>
      </c>
      <c r="C170" s="260" t="s">
        <v>78</v>
      </c>
      <c r="D170" s="347" t="str">
        <f>'Tab.G2.1-3'!$D$72</f>
        <v>[km]</v>
      </c>
      <c r="E170" s="425"/>
      <c r="F170" s="426"/>
      <c r="G170" s="426"/>
      <c r="H170" s="426"/>
      <c r="I170" s="426"/>
      <c r="J170" s="426"/>
      <c r="K170" s="426"/>
      <c r="L170" s="427"/>
      <c r="M170" s="428">
        <f>SUM(E170:L170)</f>
        <v>0</v>
      </c>
    </row>
    <row r="171" spans="2:13">
      <c r="B171" s="590" t="str">
        <f>"22"</f>
        <v>22</v>
      </c>
      <c r="C171" s="261" t="s">
        <v>75</v>
      </c>
      <c r="D171" s="348" t="str">
        <f>'Tab.G2.1-3'!$D$72</f>
        <v>[km]</v>
      </c>
      <c r="E171" s="429"/>
      <c r="F171" s="430"/>
      <c r="G171" s="430"/>
      <c r="H171" s="430"/>
      <c r="I171" s="430"/>
      <c r="J171" s="430"/>
      <c r="K171" s="430"/>
      <c r="L171" s="431"/>
      <c r="M171" s="432">
        <f>SUM(E171:L171)</f>
        <v>0</v>
      </c>
    </row>
    <row r="172" spans="2:13">
      <c r="B172" s="590" t="str">
        <f>"23"</f>
        <v>23</v>
      </c>
      <c r="C172" s="262" t="s">
        <v>79</v>
      </c>
      <c r="D172" s="348" t="str">
        <f>'Tab.G2.1-3'!$D$72</f>
        <v>[km]</v>
      </c>
      <c r="E172" s="429"/>
      <c r="F172" s="430"/>
      <c r="G172" s="430"/>
      <c r="H172" s="430"/>
      <c r="I172" s="430"/>
      <c r="J172" s="430"/>
      <c r="K172" s="430"/>
      <c r="L172" s="431"/>
      <c r="M172" s="432">
        <f>SUM(E172:L172)</f>
        <v>0</v>
      </c>
    </row>
    <row r="173" spans="2:13">
      <c r="B173" s="591" t="str">
        <f>"24"</f>
        <v>24</v>
      </c>
      <c r="C173" s="264" t="s">
        <v>80</v>
      </c>
      <c r="D173" s="349" t="str">
        <f>'Tab.G2.1-3'!$D$72</f>
        <v>[km]</v>
      </c>
      <c r="E173" s="433"/>
      <c r="F173" s="434"/>
      <c r="G173" s="434"/>
      <c r="H173" s="434"/>
      <c r="I173" s="434"/>
      <c r="J173" s="434"/>
      <c r="K173" s="434"/>
      <c r="L173" s="435"/>
      <c r="M173" s="436">
        <f>SUM(E173:L173)</f>
        <v>0</v>
      </c>
    </row>
    <row r="174" spans="2:13">
      <c r="B174" s="588" t="str">
        <f>"25"</f>
        <v>25</v>
      </c>
      <c r="C174" s="344" t="s">
        <v>167</v>
      </c>
      <c r="D174" s="346" t="str">
        <f>'Tab.G2.1-3'!$D$72</f>
        <v>[km]</v>
      </c>
      <c r="E174" s="422">
        <f>SUM(E175:E178)</f>
        <v>0</v>
      </c>
      <c r="F174" s="423">
        <f>SUM(F175:F178)</f>
        <v>0</v>
      </c>
      <c r="G174" s="423">
        <f t="shared" ref="G174:K174" si="68">SUM(G175:G178)</f>
        <v>0</v>
      </c>
      <c r="H174" s="423">
        <f t="shared" si="68"/>
        <v>0</v>
      </c>
      <c r="I174" s="423">
        <f t="shared" si="68"/>
        <v>0</v>
      </c>
      <c r="J174" s="423">
        <f t="shared" si="68"/>
        <v>0</v>
      </c>
      <c r="K174" s="423">
        <f t="shared" si="68"/>
        <v>0</v>
      </c>
      <c r="L174" s="424">
        <f>SUM(L175:L178)</f>
        <v>0</v>
      </c>
      <c r="M174" s="437">
        <f>SUM(M175:M178)</f>
        <v>0</v>
      </c>
    </row>
    <row r="175" spans="2:13">
      <c r="B175" s="589" t="str">
        <f>"26"</f>
        <v>26</v>
      </c>
      <c r="C175" s="260" t="s">
        <v>78</v>
      </c>
      <c r="D175" s="347" t="str">
        <f>'Tab.G2.1-3'!$D$72</f>
        <v>[km]</v>
      </c>
      <c r="E175" s="425"/>
      <c r="F175" s="426"/>
      <c r="G175" s="426"/>
      <c r="H175" s="426"/>
      <c r="I175" s="426"/>
      <c r="J175" s="426"/>
      <c r="K175" s="426"/>
      <c r="L175" s="427"/>
      <c r="M175" s="428">
        <f>SUM(E175:L175)</f>
        <v>0</v>
      </c>
    </row>
    <row r="176" spans="2:13">
      <c r="B176" s="590" t="str">
        <f>"27"</f>
        <v>27</v>
      </c>
      <c r="C176" s="261" t="s">
        <v>75</v>
      </c>
      <c r="D176" s="348" t="str">
        <f>'Tab.G2.1-3'!$D$72</f>
        <v>[km]</v>
      </c>
      <c r="E176" s="429"/>
      <c r="F176" s="430"/>
      <c r="G176" s="430"/>
      <c r="H176" s="430"/>
      <c r="I176" s="430"/>
      <c r="J176" s="430"/>
      <c r="K176" s="430"/>
      <c r="L176" s="431"/>
      <c r="M176" s="432">
        <f>SUM(E176:L176)</f>
        <v>0</v>
      </c>
    </row>
    <row r="177" spans="2:13">
      <c r="B177" s="590" t="str">
        <f>"28"</f>
        <v>28</v>
      </c>
      <c r="C177" s="262" t="s">
        <v>79</v>
      </c>
      <c r="D177" s="348" t="str">
        <f>'Tab.G2.1-3'!$D$72</f>
        <v>[km]</v>
      </c>
      <c r="E177" s="429"/>
      <c r="F177" s="430"/>
      <c r="G177" s="430"/>
      <c r="H177" s="430"/>
      <c r="I177" s="430"/>
      <c r="J177" s="430"/>
      <c r="K177" s="430"/>
      <c r="L177" s="431"/>
      <c r="M177" s="432">
        <f>SUM(E177:L177)</f>
        <v>0</v>
      </c>
    </row>
    <row r="178" spans="2:13" ht="16.5" thickBot="1">
      <c r="B178" s="592" t="str">
        <f>"29"</f>
        <v>29</v>
      </c>
      <c r="C178" s="265" t="s">
        <v>80</v>
      </c>
      <c r="D178" s="350" t="str">
        <f>'Tab.G2.1-3'!$D$72</f>
        <v>[km]</v>
      </c>
      <c r="E178" s="438"/>
      <c r="F178" s="439"/>
      <c r="G178" s="439"/>
      <c r="H178" s="439"/>
      <c r="I178" s="439"/>
      <c r="J178" s="439"/>
      <c r="K178" s="439"/>
      <c r="L178" s="440"/>
      <c r="M178" s="441">
        <f>SUM(E178:L178)</f>
        <v>0</v>
      </c>
    </row>
    <row r="179" spans="2:13" ht="16.5" thickBot="1">
      <c r="B179" s="365" t="str">
        <f>"30"</f>
        <v>30</v>
      </c>
      <c r="C179" s="339" t="s">
        <v>168</v>
      </c>
      <c r="D179" s="345" t="str">
        <f>'Tab.G2.1-3'!$D$72</f>
        <v>[km]</v>
      </c>
      <c r="E179" s="418"/>
      <c r="F179" s="419"/>
      <c r="G179" s="419"/>
      <c r="H179" s="419"/>
      <c r="I179" s="419"/>
      <c r="J179" s="419"/>
      <c r="K179" s="419"/>
      <c r="L179" s="420"/>
      <c r="M179" s="421">
        <f t="shared" ref="M179" si="69">SUM(E179:L179)</f>
        <v>0</v>
      </c>
    </row>
    <row r="180" spans="2:13" ht="16.5" thickBot="1">
      <c r="B180" s="365" t="str">
        <f>"31"</f>
        <v>31</v>
      </c>
      <c r="C180" s="339" t="s">
        <v>189</v>
      </c>
      <c r="D180" s="345" t="str">
        <f>'Tab.G2.1-3'!$D$72</f>
        <v>[km]</v>
      </c>
      <c r="E180" s="418">
        <f>SUM(E181,E186)</f>
        <v>0</v>
      </c>
      <c r="F180" s="442">
        <f>SUM(F181,F186)</f>
        <v>0</v>
      </c>
      <c r="G180" s="442">
        <f t="shared" ref="G180:K180" si="70">SUM(G181,G186)</f>
        <v>0</v>
      </c>
      <c r="H180" s="442">
        <f t="shared" si="70"/>
        <v>0</v>
      </c>
      <c r="I180" s="442">
        <f t="shared" si="70"/>
        <v>0</v>
      </c>
      <c r="J180" s="442">
        <f t="shared" si="70"/>
        <v>0</v>
      </c>
      <c r="K180" s="442">
        <f t="shared" si="70"/>
        <v>0</v>
      </c>
      <c r="L180" s="443">
        <f>SUM(L181,L186)</f>
        <v>0</v>
      </c>
      <c r="M180" s="421">
        <f>SUM(M181,M186)</f>
        <v>0</v>
      </c>
    </row>
    <row r="181" spans="2:13">
      <c r="B181" s="366" t="str">
        <f>"32"</f>
        <v>32</v>
      </c>
      <c r="C181" s="344" t="s">
        <v>72</v>
      </c>
      <c r="D181" s="351" t="str">
        <f>'Tab.G2.1-3'!$D$72</f>
        <v>[km]</v>
      </c>
      <c r="E181" s="444">
        <f>SUM(E182:E185)</f>
        <v>0</v>
      </c>
      <c r="F181" s="445">
        <f>SUM(F182:F185)</f>
        <v>0</v>
      </c>
      <c r="G181" s="445">
        <f t="shared" ref="G181:K181" si="71">SUM(G182:G185)</f>
        <v>0</v>
      </c>
      <c r="H181" s="445">
        <f t="shared" si="71"/>
        <v>0</v>
      </c>
      <c r="I181" s="445">
        <f t="shared" si="71"/>
        <v>0</v>
      </c>
      <c r="J181" s="445">
        <f t="shared" si="71"/>
        <v>0</v>
      </c>
      <c r="K181" s="445">
        <f t="shared" si="71"/>
        <v>0</v>
      </c>
      <c r="L181" s="446">
        <f>SUM(L182:L185)</f>
        <v>0</v>
      </c>
      <c r="M181" s="437">
        <f>SUM(M182:M185)</f>
        <v>0</v>
      </c>
    </row>
    <row r="182" spans="2:13">
      <c r="B182" s="593" t="str">
        <f>"33"</f>
        <v>33</v>
      </c>
      <c r="C182" s="263" t="s">
        <v>81</v>
      </c>
      <c r="D182" s="352" t="str">
        <f>'Tab.G2.1-3'!$D$72</f>
        <v>[km]</v>
      </c>
      <c r="E182" s="447"/>
      <c r="F182" s="448"/>
      <c r="G182" s="448"/>
      <c r="H182" s="448"/>
      <c r="I182" s="448"/>
      <c r="J182" s="448"/>
      <c r="K182" s="448"/>
      <c r="L182" s="449"/>
      <c r="M182" s="428">
        <f>SUM(E182:L182)</f>
        <v>0</v>
      </c>
    </row>
    <row r="183" spans="2:13">
      <c r="B183" s="594" t="str">
        <f>"34"</f>
        <v>34</v>
      </c>
      <c r="C183" s="262" t="s">
        <v>82</v>
      </c>
      <c r="D183" s="353" t="str">
        <f>'Tab.G2.1-3'!$D$72</f>
        <v>[km]</v>
      </c>
      <c r="E183" s="450"/>
      <c r="F183" s="451"/>
      <c r="G183" s="451"/>
      <c r="H183" s="451"/>
      <c r="I183" s="451"/>
      <c r="J183" s="451"/>
      <c r="K183" s="451"/>
      <c r="L183" s="452"/>
      <c r="M183" s="432">
        <f>SUM(E183:L183)</f>
        <v>0</v>
      </c>
    </row>
    <row r="184" spans="2:13">
      <c r="B184" s="594" t="str">
        <f>"35"</f>
        <v>35</v>
      </c>
      <c r="C184" s="262" t="s">
        <v>83</v>
      </c>
      <c r="D184" s="353" t="str">
        <f>'Tab.G2.1-3'!$D$72</f>
        <v>[km]</v>
      </c>
      <c r="E184" s="450"/>
      <c r="F184" s="451"/>
      <c r="G184" s="451"/>
      <c r="H184" s="451"/>
      <c r="I184" s="451"/>
      <c r="J184" s="451"/>
      <c r="K184" s="451"/>
      <c r="L184" s="452"/>
      <c r="M184" s="432">
        <f>SUM(E184:L184)</f>
        <v>0</v>
      </c>
    </row>
    <row r="185" spans="2:13">
      <c r="B185" s="595" t="str">
        <f>"36"</f>
        <v>36</v>
      </c>
      <c r="C185" s="264" t="s">
        <v>84</v>
      </c>
      <c r="D185" s="354" t="str">
        <f>'Tab.G2.1-3'!$D$72</f>
        <v>[km]</v>
      </c>
      <c r="E185" s="453"/>
      <c r="F185" s="454"/>
      <c r="G185" s="454"/>
      <c r="H185" s="454"/>
      <c r="I185" s="454"/>
      <c r="J185" s="454"/>
      <c r="K185" s="454"/>
      <c r="L185" s="455"/>
      <c r="M185" s="436">
        <f>SUM(E185:L185)</f>
        <v>0</v>
      </c>
    </row>
    <row r="186" spans="2:13">
      <c r="B186" s="596" t="str">
        <f>"37"</f>
        <v>37</v>
      </c>
      <c r="C186" s="344" t="s">
        <v>77</v>
      </c>
      <c r="D186" s="351" t="str">
        <f>'Tab.G2.1-3'!$D$72</f>
        <v>[km]</v>
      </c>
      <c r="E186" s="444">
        <f>SUM(E187:E190)</f>
        <v>0</v>
      </c>
      <c r="F186" s="445">
        <f>SUM(F187:F190)</f>
        <v>0</v>
      </c>
      <c r="G186" s="445">
        <f t="shared" ref="G186:K186" si="72">SUM(G187:G190)</f>
        <v>0</v>
      </c>
      <c r="H186" s="445">
        <f t="shared" si="72"/>
        <v>0</v>
      </c>
      <c r="I186" s="445">
        <f t="shared" si="72"/>
        <v>0</v>
      </c>
      <c r="J186" s="445">
        <f t="shared" si="72"/>
        <v>0</v>
      </c>
      <c r="K186" s="445">
        <f t="shared" si="72"/>
        <v>0</v>
      </c>
      <c r="L186" s="446">
        <f>SUM(L187:L190)</f>
        <v>0</v>
      </c>
      <c r="M186" s="437">
        <f>SUM(M187:M190)</f>
        <v>0</v>
      </c>
    </row>
    <row r="187" spans="2:13">
      <c r="B187" s="593" t="str">
        <f>"38"</f>
        <v>38</v>
      </c>
      <c r="C187" s="263" t="s">
        <v>81</v>
      </c>
      <c r="D187" s="352" t="str">
        <f>'Tab.G2.1-3'!$D$72</f>
        <v>[km]</v>
      </c>
      <c r="E187" s="447"/>
      <c r="F187" s="448"/>
      <c r="G187" s="448"/>
      <c r="H187" s="448"/>
      <c r="I187" s="448"/>
      <c r="J187" s="448"/>
      <c r="K187" s="448"/>
      <c r="L187" s="449"/>
      <c r="M187" s="428">
        <f>SUM(E187:L187)</f>
        <v>0</v>
      </c>
    </row>
    <row r="188" spans="2:13">
      <c r="B188" s="594" t="str">
        <f>"39"</f>
        <v>39</v>
      </c>
      <c r="C188" s="262" t="s">
        <v>82</v>
      </c>
      <c r="D188" s="353" t="str">
        <f>'Tab.G2.1-3'!$D$72</f>
        <v>[km]</v>
      </c>
      <c r="E188" s="450"/>
      <c r="F188" s="451"/>
      <c r="G188" s="451"/>
      <c r="H188" s="451"/>
      <c r="I188" s="451"/>
      <c r="J188" s="451"/>
      <c r="K188" s="451"/>
      <c r="L188" s="452"/>
      <c r="M188" s="432">
        <f>SUM(E188:L188)</f>
        <v>0</v>
      </c>
    </row>
    <row r="189" spans="2:13">
      <c r="B189" s="594" t="str">
        <f>"40"</f>
        <v>40</v>
      </c>
      <c r="C189" s="262" t="s">
        <v>83</v>
      </c>
      <c r="D189" s="353" t="str">
        <f>'Tab.G2.1-3'!$D$72</f>
        <v>[km]</v>
      </c>
      <c r="E189" s="450"/>
      <c r="F189" s="451"/>
      <c r="G189" s="451"/>
      <c r="H189" s="451"/>
      <c r="I189" s="451"/>
      <c r="J189" s="451"/>
      <c r="K189" s="451"/>
      <c r="L189" s="452"/>
      <c r="M189" s="432">
        <f>SUM(E189:L189)</f>
        <v>0</v>
      </c>
    </row>
    <row r="190" spans="2:13" ht="16.5" thickBot="1">
      <c r="B190" s="597" t="str">
        <f>"41"</f>
        <v>41</v>
      </c>
      <c r="C190" s="265" t="s">
        <v>84</v>
      </c>
      <c r="D190" s="355" t="str">
        <f>'Tab.G2.1-3'!$D$72</f>
        <v>[km]</v>
      </c>
      <c r="E190" s="456"/>
      <c r="F190" s="457"/>
      <c r="G190" s="457"/>
      <c r="H190" s="457"/>
      <c r="I190" s="457"/>
      <c r="J190" s="457"/>
      <c r="K190" s="457"/>
      <c r="L190" s="458"/>
      <c r="M190" s="441">
        <f>SUM(E190:L190)</f>
        <v>0</v>
      </c>
    </row>
    <row r="191" spans="2:13" ht="16.5" thickBot="1">
      <c r="B191" s="551" t="str">
        <f>"42"</f>
        <v>42</v>
      </c>
      <c r="C191" s="552" t="s">
        <v>113</v>
      </c>
      <c r="D191" s="553" t="str">
        <f>'Tab.G2.1-3'!$D$106</f>
        <v>[szt.]</v>
      </c>
      <c r="E191" s="554">
        <f>SUM(E192,E196,E200,E204:E206)</f>
        <v>0</v>
      </c>
      <c r="F191" s="555">
        <f>SUM(F192,F196,F200,F204:F206)</f>
        <v>0</v>
      </c>
      <c r="G191" s="555">
        <f t="shared" ref="G191:K191" si="73">SUM(G192,G196,G200,G204:G206)</f>
        <v>0</v>
      </c>
      <c r="H191" s="555">
        <f t="shared" si="73"/>
        <v>0</v>
      </c>
      <c r="I191" s="555">
        <f t="shared" si="73"/>
        <v>0</v>
      </c>
      <c r="J191" s="555">
        <f t="shared" si="73"/>
        <v>0</v>
      </c>
      <c r="K191" s="555">
        <f t="shared" si="73"/>
        <v>0</v>
      </c>
      <c r="L191" s="556">
        <f>SUM(L192,L196,L200,L204:L206)</f>
        <v>0</v>
      </c>
      <c r="M191" s="368">
        <f>SUM(M192,M196,M200,M204:M206)</f>
        <v>0</v>
      </c>
    </row>
    <row r="192" spans="2:13">
      <c r="B192" s="598" t="str">
        <f>"43"</f>
        <v>43</v>
      </c>
      <c r="C192" s="342" t="s">
        <v>191</v>
      </c>
      <c r="D192" s="356" t="str">
        <f>'Tab.G2.1-3'!$D$106</f>
        <v>[szt.]</v>
      </c>
      <c r="E192" s="369">
        <f>SUM(E193:E195)</f>
        <v>0</v>
      </c>
      <c r="F192" s="370">
        <f>SUM(F193:F195)</f>
        <v>0</v>
      </c>
      <c r="G192" s="370">
        <f t="shared" ref="G192:K192" si="74">SUM(G193:G195)</f>
        <v>0</v>
      </c>
      <c r="H192" s="370">
        <f t="shared" si="74"/>
        <v>0</v>
      </c>
      <c r="I192" s="370">
        <f t="shared" si="74"/>
        <v>0</v>
      </c>
      <c r="J192" s="370">
        <f t="shared" si="74"/>
        <v>0</v>
      </c>
      <c r="K192" s="370">
        <f t="shared" si="74"/>
        <v>0</v>
      </c>
      <c r="L192" s="371">
        <f>SUM(L193:L195)</f>
        <v>0</v>
      </c>
      <c r="M192" s="372">
        <f>SUM(M193:M195)</f>
        <v>0</v>
      </c>
    </row>
    <row r="193" spans="2:13">
      <c r="B193" s="589" t="str">
        <f>"44"</f>
        <v>44</v>
      </c>
      <c r="C193" s="260" t="s">
        <v>85</v>
      </c>
      <c r="D193" s="352" t="str">
        <f>'Tab.G2.1-3'!$D$106</f>
        <v>[szt.]</v>
      </c>
      <c r="E193" s="373"/>
      <c r="F193" s="374"/>
      <c r="G193" s="374"/>
      <c r="H193" s="374"/>
      <c r="I193" s="374"/>
      <c r="J193" s="374"/>
      <c r="K193" s="374"/>
      <c r="L193" s="375"/>
      <c r="M193" s="376">
        <f>SUM(E193:L193)</f>
        <v>0</v>
      </c>
    </row>
    <row r="194" spans="2:13">
      <c r="B194" s="590" t="str">
        <f>"45"</f>
        <v>45</v>
      </c>
      <c r="C194" s="261" t="s">
        <v>86</v>
      </c>
      <c r="D194" s="353" t="str">
        <f>'Tab.G2.1-3'!$D$106</f>
        <v>[szt.]</v>
      </c>
      <c r="E194" s="377"/>
      <c r="F194" s="378"/>
      <c r="G194" s="378"/>
      <c r="H194" s="378"/>
      <c r="I194" s="378"/>
      <c r="J194" s="378"/>
      <c r="K194" s="378"/>
      <c r="L194" s="379"/>
      <c r="M194" s="380">
        <f>SUM(E194:L194)</f>
        <v>0</v>
      </c>
    </row>
    <row r="195" spans="2:13">
      <c r="B195" s="591" t="str">
        <f>"46"</f>
        <v>46</v>
      </c>
      <c r="C195" s="269" t="s">
        <v>87</v>
      </c>
      <c r="D195" s="354" t="str">
        <f>'Tab.G2.1-3'!$D$106</f>
        <v>[szt.]</v>
      </c>
      <c r="E195" s="381"/>
      <c r="F195" s="382"/>
      <c r="G195" s="382"/>
      <c r="H195" s="382"/>
      <c r="I195" s="382"/>
      <c r="J195" s="382"/>
      <c r="K195" s="382"/>
      <c r="L195" s="383"/>
      <c r="M195" s="384">
        <f>SUM(E195:L195)</f>
        <v>0</v>
      </c>
    </row>
    <row r="196" spans="2:13">
      <c r="B196" s="599" t="str">
        <f>"47"</f>
        <v>47</v>
      </c>
      <c r="C196" s="342" t="s">
        <v>192</v>
      </c>
      <c r="D196" s="357" t="str">
        <f>'Tab.G2.1-3'!$D$106</f>
        <v>[szt.]</v>
      </c>
      <c r="E196" s="385">
        <f t="shared" ref="E196:M196" si="75">SUM(E197:E199)</f>
        <v>0</v>
      </c>
      <c r="F196" s="386">
        <f t="shared" si="75"/>
        <v>0</v>
      </c>
      <c r="G196" s="386">
        <f t="shared" si="75"/>
        <v>0</v>
      </c>
      <c r="H196" s="386">
        <f t="shared" si="75"/>
        <v>0</v>
      </c>
      <c r="I196" s="386">
        <f t="shared" si="75"/>
        <v>0</v>
      </c>
      <c r="J196" s="386">
        <f t="shared" si="75"/>
        <v>0</v>
      </c>
      <c r="K196" s="386">
        <f t="shared" si="75"/>
        <v>0</v>
      </c>
      <c r="L196" s="387">
        <f t="shared" si="75"/>
        <v>0</v>
      </c>
      <c r="M196" s="388">
        <f t="shared" si="75"/>
        <v>0</v>
      </c>
    </row>
    <row r="197" spans="2:13">
      <c r="B197" s="589" t="str">
        <f>"48"</f>
        <v>48</v>
      </c>
      <c r="C197" s="260" t="s">
        <v>88</v>
      </c>
      <c r="D197" s="352" t="str">
        <f>'Tab.G2.1-3'!$D$106</f>
        <v>[szt.]</v>
      </c>
      <c r="E197" s="373"/>
      <c r="F197" s="374"/>
      <c r="G197" s="374"/>
      <c r="H197" s="374"/>
      <c r="I197" s="374"/>
      <c r="J197" s="374"/>
      <c r="K197" s="374"/>
      <c r="L197" s="375"/>
      <c r="M197" s="376">
        <f>SUM(E197:L197)</f>
        <v>0</v>
      </c>
    </row>
    <row r="198" spans="2:13">
      <c r="B198" s="590" t="str">
        <f>"49"</f>
        <v>49</v>
      </c>
      <c r="C198" s="262" t="s">
        <v>89</v>
      </c>
      <c r="D198" s="353" t="str">
        <f>'Tab.G2.1-3'!$D$106</f>
        <v>[szt.]</v>
      </c>
      <c r="E198" s="377"/>
      <c r="F198" s="378"/>
      <c r="G198" s="378"/>
      <c r="H198" s="378"/>
      <c r="I198" s="378"/>
      <c r="J198" s="378"/>
      <c r="K198" s="378"/>
      <c r="L198" s="379"/>
      <c r="M198" s="380">
        <f>SUM(E198:L198)</f>
        <v>0</v>
      </c>
    </row>
    <row r="199" spans="2:13">
      <c r="B199" s="591" t="str">
        <f>"50"</f>
        <v>50</v>
      </c>
      <c r="C199" s="269" t="s">
        <v>90</v>
      </c>
      <c r="D199" s="354" t="str">
        <f>'Tab.G2.1-3'!$D$106</f>
        <v>[szt.]</v>
      </c>
      <c r="E199" s="381"/>
      <c r="F199" s="382"/>
      <c r="G199" s="382"/>
      <c r="H199" s="382"/>
      <c r="I199" s="382"/>
      <c r="J199" s="382"/>
      <c r="K199" s="382"/>
      <c r="L199" s="383"/>
      <c r="M199" s="384">
        <f>SUM(E199:L199)</f>
        <v>0</v>
      </c>
    </row>
    <row r="200" spans="2:13">
      <c r="B200" s="599" t="str">
        <f>"51"</f>
        <v>51</v>
      </c>
      <c r="C200" s="342" t="s">
        <v>193</v>
      </c>
      <c r="D200" s="357" t="str">
        <f>'Tab.G2.1-3'!$D$106</f>
        <v>[szt.]</v>
      </c>
      <c r="E200" s="385">
        <f t="shared" ref="E200:M200" si="76">SUM(E201:E203)</f>
        <v>0</v>
      </c>
      <c r="F200" s="386">
        <f t="shared" si="76"/>
        <v>0</v>
      </c>
      <c r="G200" s="386">
        <f t="shared" si="76"/>
        <v>0</v>
      </c>
      <c r="H200" s="386">
        <f t="shared" si="76"/>
        <v>0</v>
      </c>
      <c r="I200" s="386">
        <f t="shared" si="76"/>
        <v>0</v>
      </c>
      <c r="J200" s="386">
        <f t="shared" si="76"/>
        <v>0</v>
      </c>
      <c r="K200" s="386">
        <f t="shared" si="76"/>
        <v>0</v>
      </c>
      <c r="L200" s="387">
        <f t="shared" si="76"/>
        <v>0</v>
      </c>
      <c r="M200" s="388">
        <f t="shared" si="76"/>
        <v>0</v>
      </c>
    </row>
    <row r="201" spans="2:13">
      <c r="B201" s="593" t="str">
        <f>"52"</f>
        <v>52</v>
      </c>
      <c r="C201" s="260" t="s">
        <v>88</v>
      </c>
      <c r="D201" s="352" t="str">
        <f>'Tab.G2.1-3'!$D$106</f>
        <v>[szt.]</v>
      </c>
      <c r="E201" s="389"/>
      <c r="F201" s="390"/>
      <c r="G201" s="390"/>
      <c r="H201" s="390"/>
      <c r="I201" s="390"/>
      <c r="J201" s="390"/>
      <c r="K201" s="390"/>
      <c r="L201" s="391"/>
      <c r="M201" s="376">
        <f t="shared" ref="M201:M206" si="77">SUM(E201:L201)</f>
        <v>0</v>
      </c>
    </row>
    <row r="202" spans="2:13">
      <c r="B202" s="594" t="str">
        <f>"53"</f>
        <v>53</v>
      </c>
      <c r="C202" s="262" t="s">
        <v>89</v>
      </c>
      <c r="D202" s="353" t="str">
        <f>'Tab.G2.1-3'!$D$106</f>
        <v>[szt.]</v>
      </c>
      <c r="E202" s="392"/>
      <c r="F202" s="393"/>
      <c r="G202" s="393"/>
      <c r="H202" s="393"/>
      <c r="I202" s="393"/>
      <c r="J202" s="393"/>
      <c r="K202" s="393"/>
      <c r="L202" s="394"/>
      <c r="M202" s="380">
        <f t="shared" si="77"/>
        <v>0</v>
      </c>
    </row>
    <row r="203" spans="2:13">
      <c r="B203" s="595" t="str">
        <f>"54"</f>
        <v>54</v>
      </c>
      <c r="C203" s="269" t="s">
        <v>90</v>
      </c>
      <c r="D203" s="354" t="str">
        <f>'Tab.G2.1-3'!$D$106</f>
        <v>[szt.]</v>
      </c>
      <c r="E203" s="395"/>
      <c r="F203" s="396"/>
      <c r="G203" s="396"/>
      <c r="H203" s="396"/>
      <c r="I203" s="396"/>
      <c r="J203" s="396"/>
      <c r="K203" s="396"/>
      <c r="L203" s="397"/>
      <c r="M203" s="384">
        <f t="shared" si="77"/>
        <v>0</v>
      </c>
    </row>
    <row r="204" spans="2:13">
      <c r="B204" s="600" t="str">
        <f>"55"</f>
        <v>55</v>
      </c>
      <c r="C204" s="341" t="s">
        <v>194</v>
      </c>
      <c r="D204" s="358" t="str">
        <f>'Tab.G2.1-3'!$D$106</f>
        <v>[szt.]</v>
      </c>
      <c r="E204" s="398"/>
      <c r="F204" s="399"/>
      <c r="G204" s="399"/>
      <c r="H204" s="399"/>
      <c r="I204" s="399"/>
      <c r="J204" s="399"/>
      <c r="K204" s="399"/>
      <c r="L204" s="400"/>
      <c r="M204" s="401">
        <f t="shared" si="77"/>
        <v>0</v>
      </c>
    </row>
    <row r="205" spans="2:13">
      <c r="B205" s="600" t="str">
        <f>"56"</f>
        <v>56</v>
      </c>
      <c r="C205" s="341" t="s">
        <v>195</v>
      </c>
      <c r="D205" s="358" t="str">
        <f>'Tab.G2.1-3'!$D$106</f>
        <v>[szt.]</v>
      </c>
      <c r="E205" s="398"/>
      <c r="F205" s="399"/>
      <c r="G205" s="399"/>
      <c r="H205" s="399"/>
      <c r="I205" s="399"/>
      <c r="J205" s="399"/>
      <c r="K205" s="399"/>
      <c r="L205" s="400"/>
      <c r="M205" s="401">
        <f t="shared" si="77"/>
        <v>0</v>
      </c>
    </row>
    <row r="206" spans="2:13" ht="16.5" thickBot="1">
      <c r="B206" s="367" t="str">
        <f>"57"</f>
        <v>57</v>
      </c>
      <c r="C206" s="343" t="s">
        <v>190</v>
      </c>
      <c r="D206" s="359" t="str">
        <f>'Tab.G2.1-3'!$D$106</f>
        <v>[szt.]</v>
      </c>
      <c r="E206" s="402"/>
      <c r="F206" s="403"/>
      <c r="G206" s="403"/>
      <c r="H206" s="403"/>
      <c r="I206" s="403"/>
      <c r="J206" s="403"/>
      <c r="K206" s="403"/>
      <c r="L206" s="404"/>
      <c r="M206" s="405">
        <f t="shared" si="77"/>
        <v>0</v>
      </c>
    </row>
    <row r="207" spans="2:13" ht="16.5" thickBot="1">
      <c r="B207" s="557" t="str">
        <f>"58"</f>
        <v>58</v>
      </c>
      <c r="C207" s="552" t="s">
        <v>126</v>
      </c>
      <c r="D207" s="558" t="str">
        <f>'Tab.G2.1-3'!$D$106</f>
        <v>[szt.]</v>
      </c>
      <c r="E207" s="554">
        <f>SUM(E208,E211:E213)</f>
        <v>0</v>
      </c>
      <c r="F207" s="559">
        <f>SUM(F208,F211:F213)</f>
        <v>0</v>
      </c>
      <c r="G207" s="559">
        <f t="shared" ref="G207" si="78">SUM(G208,G211:G213)</f>
        <v>0</v>
      </c>
      <c r="H207" s="559">
        <f t="shared" ref="H207" si="79">SUM(H208,H211:H213)</f>
        <v>0</v>
      </c>
      <c r="I207" s="559">
        <f t="shared" ref="I207" si="80">SUM(I208,I211:I213)</f>
        <v>0</v>
      </c>
      <c r="J207" s="559">
        <f t="shared" ref="J207" si="81">SUM(J208,J211:J213)</f>
        <v>0</v>
      </c>
      <c r="K207" s="559">
        <f t="shared" ref="K207" si="82">SUM(K208,K211:K213)</f>
        <v>0</v>
      </c>
      <c r="L207" s="560">
        <f>SUM(L208,L211:L213)</f>
        <v>0</v>
      </c>
      <c r="M207" s="368">
        <f t="shared" ref="M207" si="83">SUM(M208:M212)</f>
        <v>0</v>
      </c>
    </row>
    <row r="208" spans="2:13">
      <c r="B208" s="601" t="str">
        <f>"59"</f>
        <v>59</v>
      </c>
      <c r="C208" s="340" t="s">
        <v>127</v>
      </c>
      <c r="D208" s="360" t="str">
        <f>'Tab.G2.1-3'!$D$106</f>
        <v>[szt.]</v>
      </c>
      <c r="E208" s="406">
        <f t="shared" ref="E208:L208" si="84">SUM(E209:E210)</f>
        <v>0</v>
      </c>
      <c r="F208" s="407">
        <f t="shared" si="84"/>
        <v>0</v>
      </c>
      <c r="G208" s="407">
        <f t="shared" si="84"/>
        <v>0</v>
      </c>
      <c r="H208" s="407">
        <f t="shared" si="84"/>
        <v>0</v>
      </c>
      <c r="I208" s="407">
        <f t="shared" si="84"/>
        <v>0</v>
      </c>
      <c r="J208" s="407">
        <f t="shared" si="84"/>
        <v>0</v>
      </c>
      <c r="K208" s="407">
        <f t="shared" si="84"/>
        <v>0</v>
      </c>
      <c r="L208" s="408">
        <f t="shared" si="84"/>
        <v>0</v>
      </c>
      <c r="M208" s="409">
        <f t="shared" ref="M208:M213" si="85">SUM(E208:L208)</f>
        <v>0</v>
      </c>
    </row>
    <row r="209" spans="2:13">
      <c r="B209" s="602" t="str">
        <f>"60"</f>
        <v>60</v>
      </c>
      <c r="C209" s="263" t="s">
        <v>128</v>
      </c>
      <c r="D209" s="361" t="str">
        <f>'Tab.G2.1-3'!$D$106</f>
        <v>[szt.]</v>
      </c>
      <c r="E209" s="374"/>
      <c r="F209" s="410"/>
      <c r="G209" s="410"/>
      <c r="H209" s="410"/>
      <c r="I209" s="410"/>
      <c r="J209" s="410"/>
      <c r="K209" s="410"/>
      <c r="L209" s="411"/>
      <c r="M209" s="376">
        <f t="shared" si="85"/>
        <v>0</v>
      </c>
    </row>
    <row r="210" spans="2:13">
      <c r="B210" s="603" t="str">
        <f>"61"</f>
        <v>61</v>
      </c>
      <c r="C210" s="336" t="s">
        <v>129</v>
      </c>
      <c r="D210" s="362" t="str">
        <f>'Tab.G2.1-3'!$D$106</f>
        <v>[szt.]</v>
      </c>
      <c r="E210" s="382"/>
      <c r="F210" s="412"/>
      <c r="G210" s="412"/>
      <c r="H210" s="412"/>
      <c r="I210" s="412"/>
      <c r="J210" s="412"/>
      <c r="K210" s="412"/>
      <c r="L210" s="413"/>
      <c r="M210" s="384">
        <f t="shared" si="85"/>
        <v>0</v>
      </c>
    </row>
    <row r="211" spans="2:13">
      <c r="B211" s="604" t="str">
        <f>"62"</f>
        <v>62</v>
      </c>
      <c r="C211" s="341" t="s">
        <v>130</v>
      </c>
      <c r="D211" s="363" t="str">
        <f>'Tab.G2.1-3'!$D$106</f>
        <v>[szt.]</v>
      </c>
      <c r="E211" s="414"/>
      <c r="F211" s="399"/>
      <c r="G211" s="399"/>
      <c r="H211" s="399"/>
      <c r="I211" s="399"/>
      <c r="J211" s="399"/>
      <c r="K211" s="399"/>
      <c r="L211" s="400"/>
      <c r="M211" s="401">
        <f t="shared" si="85"/>
        <v>0</v>
      </c>
    </row>
    <row r="212" spans="2:13">
      <c r="B212" s="604" t="str">
        <f>"63"</f>
        <v>63</v>
      </c>
      <c r="C212" s="341" t="s">
        <v>131</v>
      </c>
      <c r="D212" s="363" t="str">
        <f>'Tab.G2.1-3'!$D$106</f>
        <v>[szt.]</v>
      </c>
      <c r="E212" s="414"/>
      <c r="F212" s="399"/>
      <c r="G212" s="399"/>
      <c r="H212" s="399"/>
      <c r="I212" s="399"/>
      <c r="J212" s="399"/>
      <c r="K212" s="399"/>
      <c r="L212" s="400"/>
      <c r="M212" s="401">
        <f t="shared" si="85"/>
        <v>0</v>
      </c>
    </row>
    <row r="213" spans="2:13" ht="16.5" thickBot="1">
      <c r="B213" s="367" t="str">
        <f>"64"</f>
        <v>64</v>
      </c>
      <c r="C213" s="343" t="s">
        <v>132</v>
      </c>
      <c r="D213" s="364" t="str">
        <f>'Tab.G2.1-3'!$D$106</f>
        <v>[szt.]</v>
      </c>
      <c r="E213" s="415"/>
      <c r="F213" s="415"/>
      <c r="G213" s="415"/>
      <c r="H213" s="415"/>
      <c r="I213" s="415"/>
      <c r="J213" s="415"/>
      <c r="K213" s="415"/>
      <c r="L213" s="416"/>
      <c r="M213" s="405">
        <f t="shared" si="85"/>
        <v>0</v>
      </c>
    </row>
    <row r="216" spans="2:13" ht="16.5" thickBot="1">
      <c r="B216" s="951" t="s">
        <v>289</v>
      </c>
      <c r="C216" s="952"/>
      <c r="D216" s="952"/>
      <c r="E216" s="953"/>
      <c r="F216" s="953"/>
      <c r="G216" s="944"/>
      <c r="H216" s="944"/>
      <c r="I216" s="944"/>
      <c r="J216" s="944"/>
      <c r="K216" s="944"/>
      <c r="L216" s="944"/>
      <c r="M216" s="944"/>
    </row>
    <row r="217" spans="2:13" ht="16.5" thickBot="1">
      <c r="B217" s="1171" t="str">
        <f>'Tab.G1.1-4'!$B$8</f>
        <v>LP</v>
      </c>
      <c r="C217" s="1174" t="str">
        <f>"Składnik majątku sieciowego"</f>
        <v>Składnik majątku sieciowego</v>
      </c>
      <c r="D217" s="1175"/>
      <c r="E217" s="1180" t="str">
        <f>"Wiek składnika majątku sieciowego na koniec roku sprawozdawczego"</f>
        <v>Wiek składnika majątku sieciowego na koniec roku sprawozdawczego</v>
      </c>
      <c r="F217" s="1181"/>
      <c r="G217" s="1181"/>
      <c r="H217" s="1181"/>
      <c r="I217" s="1181"/>
      <c r="J217" s="1181"/>
      <c r="K217" s="1181"/>
      <c r="L217" s="1181"/>
      <c r="M217" s="1182" t="str">
        <f>"RAZEM"</f>
        <v>RAZEM</v>
      </c>
    </row>
    <row r="218" spans="2:13" ht="16.5" thickBot="1">
      <c r="B218" s="1172"/>
      <c r="C218" s="1176"/>
      <c r="D218" s="1177"/>
      <c r="E218" s="41" t="str">
        <f>"[lata]"</f>
        <v>[lata]</v>
      </c>
      <c r="F218" s="42" t="str">
        <f t="shared" ref="F218:L218" si="86">$E$8</f>
        <v>[lata]</v>
      </c>
      <c r="G218" s="42" t="str">
        <f t="shared" si="86"/>
        <v>[lata]</v>
      </c>
      <c r="H218" s="42" t="str">
        <f t="shared" si="86"/>
        <v>[lata]</v>
      </c>
      <c r="I218" s="42" t="str">
        <f t="shared" si="86"/>
        <v>[lata]</v>
      </c>
      <c r="J218" s="42" t="str">
        <f t="shared" si="86"/>
        <v>[lata]</v>
      </c>
      <c r="K218" s="42" t="str">
        <f t="shared" si="86"/>
        <v>[lata]</v>
      </c>
      <c r="L218" s="43" t="str">
        <f t="shared" si="86"/>
        <v>[lata]</v>
      </c>
      <c r="M218" s="1183"/>
    </row>
    <row r="219" spans="2:13" ht="16.5" thickBot="1">
      <c r="B219" s="1173"/>
      <c r="C219" s="1178"/>
      <c r="D219" s="1179"/>
      <c r="E219" s="44" t="str">
        <f>"36 i więcej"</f>
        <v>36 i więcej</v>
      </c>
      <c r="F219" s="45" t="str">
        <f>"31 - 35"</f>
        <v>31 - 35</v>
      </c>
      <c r="G219" s="45" t="str">
        <f>"26 - 30"</f>
        <v>26 - 30</v>
      </c>
      <c r="H219" s="45" t="str">
        <f>"21 - 25"</f>
        <v>21 - 25</v>
      </c>
      <c r="I219" s="45" t="str">
        <f>"16 - 20"</f>
        <v>16 - 20</v>
      </c>
      <c r="J219" s="459" t="str">
        <f>"11 - 15"</f>
        <v>11 - 15</v>
      </c>
      <c r="K219" s="459" t="str">
        <f>"6 - 10"</f>
        <v>6 - 10</v>
      </c>
      <c r="L219" s="460" t="str">
        <f>"0 - 5"</f>
        <v>0 - 5</v>
      </c>
      <c r="M219" s="1184"/>
    </row>
    <row r="220" spans="2:13" ht="16.5" thickBot="1">
      <c r="B220" s="586" t="str">
        <f>"01"</f>
        <v>01</v>
      </c>
      <c r="C220" s="1185" t="str">
        <f>$B$11</f>
        <v>02</v>
      </c>
      <c r="D220" s="1186"/>
      <c r="E220" s="586" t="str">
        <f t="array" ref="E220:M220">TRANSPOSE($B$12:$B$20)</f>
        <v>03</v>
      </c>
      <c r="F220" s="962" t="str">
        <v>04</v>
      </c>
      <c r="G220" s="962" t="str">
        <v>05</v>
      </c>
      <c r="H220" s="962" t="str">
        <v>06</v>
      </c>
      <c r="I220" s="962" t="str">
        <v>07</v>
      </c>
      <c r="J220" s="962" t="str">
        <v>08</v>
      </c>
      <c r="K220" s="962" t="str">
        <v>09</v>
      </c>
      <c r="L220" s="606" t="str">
        <v>10</v>
      </c>
      <c r="M220" s="607" t="str">
        <v>11</v>
      </c>
    </row>
    <row r="221" spans="2:13" ht="16.5" thickBot="1">
      <c r="B221" s="587" t="str">
        <f>"02"</f>
        <v>02</v>
      </c>
      <c r="C221" s="546" t="s">
        <v>188</v>
      </c>
      <c r="D221" s="547" t="str">
        <f>'Tab.G2.1-3'!$D$72</f>
        <v>[km]</v>
      </c>
      <c r="E221" s="548">
        <f>SUM(E222,E233,E249:E250)</f>
        <v>0</v>
      </c>
      <c r="F221" s="549">
        <f>SUM(F222,F233,F249:F250)</f>
        <v>0</v>
      </c>
      <c r="G221" s="549">
        <f t="shared" ref="G221:M221" si="87">SUM(G222,G233,G249:G250)</f>
        <v>0</v>
      </c>
      <c r="H221" s="549">
        <f t="shared" si="87"/>
        <v>0</v>
      </c>
      <c r="I221" s="549">
        <f t="shared" si="87"/>
        <v>0</v>
      </c>
      <c r="J221" s="549">
        <f t="shared" si="87"/>
        <v>0</v>
      </c>
      <c r="K221" s="549">
        <f t="shared" si="87"/>
        <v>0</v>
      </c>
      <c r="L221" s="550">
        <f t="shared" si="87"/>
        <v>0</v>
      </c>
      <c r="M221" s="417">
        <f t="shared" si="87"/>
        <v>0</v>
      </c>
    </row>
    <row r="222" spans="2:13" ht="16.5" thickBot="1">
      <c r="B222" s="365" t="str">
        <f>"03"</f>
        <v>03</v>
      </c>
      <c r="C222" s="338" t="s">
        <v>120</v>
      </c>
      <c r="D222" s="345" t="str">
        <f>'Tab.G2.1-3'!$D$72</f>
        <v>[km]</v>
      </c>
      <c r="E222" s="418">
        <f>SUM(E223,E228)</f>
        <v>0</v>
      </c>
      <c r="F222" s="419">
        <f>SUM(F223,F228)</f>
        <v>0</v>
      </c>
      <c r="G222" s="419">
        <f t="shared" ref="G222:M222" si="88">SUM(G223,G228)</f>
        <v>0</v>
      </c>
      <c r="H222" s="419">
        <f t="shared" si="88"/>
        <v>0</v>
      </c>
      <c r="I222" s="419">
        <f t="shared" si="88"/>
        <v>0</v>
      </c>
      <c r="J222" s="419">
        <f t="shared" si="88"/>
        <v>0</v>
      </c>
      <c r="K222" s="419">
        <f t="shared" si="88"/>
        <v>0</v>
      </c>
      <c r="L222" s="420">
        <f t="shared" si="88"/>
        <v>0</v>
      </c>
      <c r="M222" s="421">
        <f t="shared" si="88"/>
        <v>0</v>
      </c>
    </row>
    <row r="223" spans="2:13">
      <c r="B223" s="588" t="str">
        <f>"04"</f>
        <v>04</v>
      </c>
      <c r="C223" s="344" t="s">
        <v>72</v>
      </c>
      <c r="D223" s="346" t="str">
        <f>'Tab.G2.1-3'!$D$72</f>
        <v>[km]</v>
      </c>
      <c r="E223" s="422">
        <f>SUM(E224:E227)</f>
        <v>0</v>
      </c>
      <c r="F223" s="423">
        <f>SUM(F224:F227)</f>
        <v>0</v>
      </c>
      <c r="G223" s="423">
        <f t="shared" ref="G223:M223" si="89">SUM(G224:G227)</f>
        <v>0</v>
      </c>
      <c r="H223" s="423">
        <f t="shared" si="89"/>
        <v>0</v>
      </c>
      <c r="I223" s="423">
        <f t="shared" si="89"/>
        <v>0</v>
      </c>
      <c r="J223" s="423">
        <f t="shared" si="89"/>
        <v>0</v>
      </c>
      <c r="K223" s="423">
        <f t="shared" si="89"/>
        <v>0</v>
      </c>
      <c r="L223" s="424">
        <f t="shared" si="89"/>
        <v>0</v>
      </c>
      <c r="M223" s="417">
        <f t="shared" si="89"/>
        <v>0</v>
      </c>
    </row>
    <row r="224" spans="2:13">
      <c r="B224" s="589" t="str">
        <f>"05"</f>
        <v>05</v>
      </c>
      <c r="C224" s="260" t="s">
        <v>73</v>
      </c>
      <c r="D224" s="347" t="str">
        <f>'Tab.G2.1-3'!$D$72</f>
        <v>[km]</v>
      </c>
      <c r="E224" s="425"/>
      <c r="F224" s="426"/>
      <c r="G224" s="426"/>
      <c r="H224" s="426"/>
      <c r="I224" s="426"/>
      <c r="J224" s="426"/>
      <c r="K224" s="426"/>
      <c r="L224" s="427"/>
      <c r="M224" s="428">
        <f>SUM(E224:L224)</f>
        <v>0</v>
      </c>
    </row>
    <row r="225" spans="2:13">
      <c r="B225" s="590" t="str">
        <f>"06"</f>
        <v>06</v>
      </c>
      <c r="C225" s="261" t="s">
        <v>74</v>
      </c>
      <c r="D225" s="348" t="str">
        <f>'Tab.G2.1-3'!$D$72</f>
        <v>[km]</v>
      </c>
      <c r="E225" s="429"/>
      <c r="F225" s="430"/>
      <c r="G225" s="430"/>
      <c r="H225" s="430"/>
      <c r="I225" s="430"/>
      <c r="J225" s="430"/>
      <c r="K225" s="430"/>
      <c r="L225" s="431"/>
      <c r="M225" s="432">
        <f>SUM(E225:L225)</f>
        <v>0</v>
      </c>
    </row>
    <row r="226" spans="2:13">
      <c r="B226" s="590" t="str">
        <f>"07"</f>
        <v>07</v>
      </c>
      <c r="C226" s="261" t="s">
        <v>75</v>
      </c>
      <c r="D226" s="348" t="str">
        <f>'Tab.G2.1-3'!$D$72</f>
        <v>[km]</v>
      </c>
      <c r="E226" s="429"/>
      <c r="F226" s="430"/>
      <c r="G226" s="430"/>
      <c r="H226" s="430"/>
      <c r="I226" s="430"/>
      <c r="J226" s="430"/>
      <c r="K226" s="430"/>
      <c r="L226" s="431"/>
      <c r="M226" s="432">
        <f>SUM(E226:L226)</f>
        <v>0</v>
      </c>
    </row>
    <row r="227" spans="2:13">
      <c r="B227" s="591" t="str">
        <f>"08"</f>
        <v>08</v>
      </c>
      <c r="C227" s="264" t="s">
        <v>76</v>
      </c>
      <c r="D227" s="349" t="str">
        <f>'Tab.G2.1-3'!$D$72</f>
        <v>[km]</v>
      </c>
      <c r="E227" s="433"/>
      <c r="F227" s="434"/>
      <c r="G227" s="434"/>
      <c r="H227" s="434"/>
      <c r="I227" s="434"/>
      <c r="J227" s="434"/>
      <c r="K227" s="434"/>
      <c r="L227" s="435"/>
      <c r="M227" s="436">
        <f>SUM(E227:L227)</f>
        <v>0</v>
      </c>
    </row>
    <row r="228" spans="2:13">
      <c r="B228" s="588" t="str">
        <f>"09"</f>
        <v>09</v>
      </c>
      <c r="C228" s="344" t="s">
        <v>77</v>
      </c>
      <c r="D228" s="346" t="str">
        <f>'Tab.G2.1-3'!$D$72</f>
        <v>[km]</v>
      </c>
      <c r="E228" s="422">
        <f t="shared" ref="E228:M228" si="90">SUM(E229:E232)</f>
        <v>0</v>
      </c>
      <c r="F228" s="423">
        <f t="shared" si="90"/>
        <v>0</v>
      </c>
      <c r="G228" s="423">
        <f t="shared" si="90"/>
        <v>0</v>
      </c>
      <c r="H228" s="423">
        <f t="shared" si="90"/>
        <v>0</v>
      </c>
      <c r="I228" s="423">
        <f t="shared" si="90"/>
        <v>0</v>
      </c>
      <c r="J228" s="423">
        <f t="shared" si="90"/>
        <v>0</v>
      </c>
      <c r="K228" s="423">
        <f t="shared" si="90"/>
        <v>0</v>
      </c>
      <c r="L228" s="424">
        <f t="shared" si="90"/>
        <v>0</v>
      </c>
      <c r="M228" s="437">
        <f t="shared" si="90"/>
        <v>0</v>
      </c>
    </row>
    <row r="229" spans="2:13">
      <c r="B229" s="589" t="str">
        <f>"10"</f>
        <v>10</v>
      </c>
      <c r="C229" s="260" t="s">
        <v>73</v>
      </c>
      <c r="D229" s="347" t="str">
        <f>'Tab.G2.1-3'!$D$72</f>
        <v>[km]</v>
      </c>
      <c r="E229" s="425"/>
      <c r="F229" s="426"/>
      <c r="G229" s="426"/>
      <c r="H229" s="426"/>
      <c r="I229" s="426"/>
      <c r="J229" s="426"/>
      <c r="K229" s="426"/>
      <c r="L229" s="427"/>
      <c r="M229" s="428">
        <f>SUM(E229:L229)</f>
        <v>0</v>
      </c>
    </row>
    <row r="230" spans="2:13">
      <c r="B230" s="590" t="str">
        <f>"11"</f>
        <v>11</v>
      </c>
      <c r="C230" s="261" t="s">
        <v>74</v>
      </c>
      <c r="D230" s="348" t="str">
        <f>'Tab.G2.1-3'!$D$72</f>
        <v>[km]</v>
      </c>
      <c r="E230" s="429"/>
      <c r="F230" s="430"/>
      <c r="G230" s="430"/>
      <c r="H230" s="430"/>
      <c r="I230" s="430"/>
      <c r="J230" s="430"/>
      <c r="K230" s="430"/>
      <c r="L230" s="431"/>
      <c r="M230" s="432">
        <f>SUM(E230:L230)</f>
        <v>0</v>
      </c>
    </row>
    <row r="231" spans="2:13">
      <c r="B231" s="590" t="str">
        <f>"12"</f>
        <v>12</v>
      </c>
      <c r="C231" s="261" t="s">
        <v>75</v>
      </c>
      <c r="D231" s="348" t="str">
        <f>'Tab.G2.1-3'!$D$72</f>
        <v>[km]</v>
      </c>
      <c r="E231" s="429"/>
      <c r="F231" s="430"/>
      <c r="G231" s="430"/>
      <c r="H231" s="430"/>
      <c r="I231" s="430"/>
      <c r="J231" s="430"/>
      <c r="K231" s="430"/>
      <c r="L231" s="431"/>
      <c r="M231" s="432">
        <f>SUM(E231:L231)</f>
        <v>0</v>
      </c>
    </row>
    <row r="232" spans="2:13" ht="16.5" thickBot="1">
      <c r="B232" s="592" t="str">
        <f>"13"</f>
        <v>13</v>
      </c>
      <c r="C232" s="265" t="s">
        <v>76</v>
      </c>
      <c r="D232" s="350" t="str">
        <f>'Tab.G2.1-3'!$D$72</f>
        <v>[km]</v>
      </c>
      <c r="E232" s="438"/>
      <c r="F232" s="439"/>
      <c r="G232" s="439"/>
      <c r="H232" s="439"/>
      <c r="I232" s="439"/>
      <c r="J232" s="439"/>
      <c r="K232" s="439"/>
      <c r="L232" s="440"/>
      <c r="M232" s="441">
        <f>SUM(E232:L232)</f>
        <v>0</v>
      </c>
    </row>
    <row r="233" spans="2:13" ht="16.5" thickBot="1">
      <c r="B233" s="365" t="str">
        <f>"14"</f>
        <v>14</v>
      </c>
      <c r="C233" s="339" t="s">
        <v>121</v>
      </c>
      <c r="D233" s="345" t="str">
        <f>'Tab.G2.1-3'!$D$72</f>
        <v>[km]</v>
      </c>
      <c r="E233" s="418">
        <f>SUM(E234,E239,E244)</f>
        <v>0</v>
      </c>
      <c r="F233" s="419">
        <f>SUM(F234,F239,F244)</f>
        <v>0</v>
      </c>
      <c r="G233" s="419">
        <f t="shared" ref="G233:K233" si="91">SUM(G234,G239,G244)</f>
        <v>0</v>
      </c>
      <c r="H233" s="419">
        <f t="shared" si="91"/>
        <v>0</v>
      </c>
      <c r="I233" s="419">
        <f t="shared" si="91"/>
        <v>0</v>
      </c>
      <c r="J233" s="419">
        <f t="shared" si="91"/>
        <v>0</v>
      </c>
      <c r="K233" s="419">
        <f t="shared" si="91"/>
        <v>0</v>
      </c>
      <c r="L233" s="420">
        <f>SUM(L234,L239,L244)</f>
        <v>0</v>
      </c>
      <c r="M233" s="421">
        <f>SUM(M234,M239,M244)</f>
        <v>0</v>
      </c>
    </row>
    <row r="234" spans="2:13">
      <c r="B234" s="588" t="str">
        <f>"15"</f>
        <v>15</v>
      </c>
      <c r="C234" s="344" t="s">
        <v>72</v>
      </c>
      <c r="D234" s="346" t="str">
        <f>'Tab.G2.1-3'!$D$72</f>
        <v>[km]</v>
      </c>
      <c r="E234" s="422">
        <f>SUM(E235:E238)</f>
        <v>0</v>
      </c>
      <c r="F234" s="423">
        <f>SUM(F235:F238)</f>
        <v>0</v>
      </c>
      <c r="G234" s="423">
        <f t="shared" ref="G234:K234" si="92">SUM(G235:G238)</f>
        <v>0</v>
      </c>
      <c r="H234" s="423">
        <f t="shared" si="92"/>
        <v>0</v>
      </c>
      <c r="I234" s="423">
        <f t="shared" si="92"/>
        <v>0</v>
      </c>
      <c r="J234" s="423">
        <f t="shared" si="92"/>
        <v>0</v>
      </c>
      <c r="K234" s="423">
        <f t="shared" si="92"/>
        <v>0</v>
      </c>
      <c r="L234" s="424">
        <f>SUM(L235:L238)</f>
        <v>0</v>
      </c>
      <c r="M234" s="417">
        <f>SUM(M235:M238)</f>
        <v>0</v>
      </c>
    </row>
    <row r="235" spans="2:13">
      <c r="B235" s="589" t="str">
        <f>"16"</f>
        <v>16</v>
      </c>
      <c r="C235" s="260" t="s">
        <v>78</v>
      </c>
      <c r="D235" s="347" t="str">
        <f>'Tab.G2.1-3'!$D$72</f>
        <v>[km]</v>
      </c>
      <c r="E235" s="425"/>
      <c r="F235" s="426"/>
      <c r="G235" s="426"/>
      <c r="H235" s="426"/>
      <c r="I235" s="426"/>
      <c r="J235" s="426"/>
      <c r="K235" s="426"/>
      <c r="L235" s="427"/>
      <c r="M235" s="428">
        <f>SUM(E235:L235)</f>
        <v>0</v>
      </c>
    </row>
    <row r="236" spans="2:13">
      <c r="B236" s="590" t="str">
        <f>"17"</f>
        <v>17</v>
      </c>
      <c r="C236" s="261" t="s">
        <v>75</v>
      </c>
      <c r="D236" s="348" t="str">
        <f>'Tab.G2.1-3'!$D$72</f>
        <v>[km]</v>
      </c>
      <c r="E236" s="429"/>
      <c r="F236" s="430"/>
      <c r="G236" s="430"/>
      <c r="H236" s="430"/>
      <c r="I236" s="430"/>
      <c r="J236" s="430"/>
      <c r="K236" s="430"/>
      <c r="L236" s="431"/>
      <c r="M236" s="432">
        <f>SUM(E236:L236)</f>
        <v>0</v>
      </c>
    </row>
    <row r="237" spans="2:13">
      <c r="B237" s="590" t="str">
        <f>"18"</f>
        <v>18</v>
      </c>
      <c r="C237" s="262" t="s">
        <v>79</v>
      </c>
      <c r="D237" s="348" t="str">
        <f>'Tab.G2.1-3'!$D$72</f>
        <v>[km]</v>
      </c>
      <c r="E237" s="429"/>
      <c r="F237" s="430"/>
      <c r="G237" s="430"/>
      <c r="H237" s="430"/>
      <c r="I237" s="430"/>
      <c r="J237" s="430"/>
      <c r="K237" s="430"/>
      <c r="L237" s="431"/>
      <c r="M237" s="432">
        <f>SUM(E237:L237)</f>
        <v>0</v>
      </c>
    </row>
    <row r="238" spans="2:13">
      <c r="B238" s="591" t="str">
        <f>"19"</f>
        <v>19</v>
      </c>
      <c r="C238" s="264" t="s">
        <v>80</v>
      </c>
      <c r="D238" s="349" t="str">
        <f>'Tab.G2.1-3'!$D$72</f>
        <v>[km]</v>
      </c>
      <c r="E238" s="433"/>
      <c r="F238" s="434"/>
      <c r="G238" s="434"/>
      <c r="H238" s="434"/>
      <c r="I238" s="434"/>
      <c r="J238" s="434"/>
      <c r="K238" s="434"/>
      <c r="L238" s="435"/>
      <c r="M238" s="436">
        <f>SUM(E238:L238)</f>
        <v>0</v>
      </c>
    </row>
    <row r="239" spans="2:13">
      <c r="B239" s="588" t="str">
        <f>"20"</f>
        <v>20</v>
      </c>
      <c r="C239" s="344" t="s">
        <v>77</v>
      </c>
      <c r="D239" s="346" t="str">
        <f>'Tab.G2.1-3'!$D$72</f>
        <v>[km]</v>
      </c>
      <c r="E239" s="422">
        <f t="shared" ref="E239:M239" si="93">SUM(E240:E243)</f>
        <v>0</v>
      </c>
      <c r="F239" s="423">
        <f t="shared" si="93"/>
        <v>0</v>
      </c>
      <c r="G239" s="423">
        <f t="shared" si="93"/>
        <v>0</v>
      </c>
      <c r="H239" s="423">
        <f t="shared" si="93"/>
        <v>0</v>
      </c>
      <c r="I239" s="423">
        <f t="shared" si="93"/>
        <v>0</v>
      </c>
      <c r="J239" s="423">
        <f t="shared" si="93"/>
        <v>0</v>
      </c>
      <c r="K239" s="423">
        <f t="shared" si="93"/>
        <v>0</v>
      </c>
      <c r="L239" s="424">
        <f t="shared" si="93"/>
        <v>0</v>
      </c>
      <c r="M239" s="437">
        <f t="shared" si="93"/>
        <v>0</v>
      </c>
    </row>
    <row r="240" spans="2:13">
      <c r="B240" s="589" t="str">
        <f>"21"</f>
        <v>21</v>
      </c>
      <c r="C240" s="260" t="s">
        <v>78</v>
      </c>
      <c r="D240" s="347" t="str">
        <f>'Tab.G2.1-3'!$D$72</f>
        <v>[km]</v>
      </c>
      <c r="E240" s="425"/>
      <c r="F240" s="426"/>
      <c r="G240" s="426"/>
      <c r="H240" s="426"/>
      <c r="I240" s="426"/>
      <c r="J240" s="426"/>
      <c r="K240" s="426"/>
      <c r="L240" s="427"/>
      <c r="M240" s="428">
        <f>SUM(E240:L240)</f>
        <v>0</v>
      </c>
    </row>
    <row r="241" spans="2:13">
      <c r="B241" s="590" t="str">
        <f>"22"</f>
        <v>22</v>
      </c>
      <c r="C241" s="261" t="s">
        <v>75</v>
      </c>
      <c r="D241" s="348" t="str">
        <f>'Tab.G2.1-3'!$D$72</f>
        <v>[km]</v>
      </c>
      <c r="E241" s="429"/>
      <c r="F241" s="430"/>
      <c r="G241" s="430"/>
      <c r="H241" s="430"/>
      <c r="I241" s="430"/>
      <c r="J241" s="430"/>
      <c r="K241" s="430"/>
      <c r="L241" s="431"/>
      <c r="M241" s="432">
        <f>SUM(E241:L241)</f>
        <v>0</v>
      </c>
    </row>
    <row r="242" spans="2:13">
      <c r="B242" s="590" t="str">
        <f>"23"</f>
        <v>23</v>
      </c>
      <c r="C242" s="262" t="s">
        <v>79</v>
      </c>
      <c r="D242" s="348" t="str">
        <f>'Tab.G2.1-3'!$D$72</f>
        <v>[km]</v>
      </c>
      <c r="E242" s="429"/>
      <c r="F242" s="430"/>
      <c r="G242" s="430"/>
      <c r="H242" s="430"/>
      <c r="I242" s="430"/>
      <c r="J242" s="430"/>
      <c r="K242" s="430"/>
      <c r="L242" s="431"/>
      <c r="M242" s="432">
        <f>SUM(E242:L242)</f>
        <v>0</v>
      </c>
    </row>
    <row r="243" spans="2:13">
      <c r="B243" s="591" t="str">
        <f>"24"</f>
        <v>24</v>
      </c>
      <c r="C243" s="264" t="s">
        <v>80</v>
      </c>
      <c r="D243" s="349" t="str">
        <f>'Tab.G2.1-3'!$D$72</f>
        <v>[km]</v>
      </c>
      <c r="E243" s="433"/>
      <c r="F243" s="434"/>
      <c r="G243" s="434"/>
      <c r="H243" s="434"/>
      <c r="I243" s="434"/>
      <c r="J243" s="434"/>
      <c r="K243" s="434"/>
      <c r="L243" s="435"/>
      <c r="M243" s="436">
        <f>SUM(E243:L243)</f>
        <v>0</v>
      </c>
    </row>
    <row r="244" spans="2:13">
      <c r="B244" s="588" t="str">
        <f>"25"</f>
        <v>25</v>
      </c>
      <c r="C244" s="344" t="s">
        <v>167</v>
      </c>
      <c r="D244" s="346" t="str">
        <f>'Tab.G2.1-3'!$D$72</f>
        <v>[km]</v>
      </c>
      <c r="E244" s="422">
        <f>SUM(E245:E248)</f>
        <v>0</v>
      </c>
      <c r="F244" s="423">
        <f>SUM(F245:F248)</f>
        <v>0</v>
      </c>
      <c r="G244" s="423">
        <f t="shared" ref="G244:K244" si="94">SUM(G245:G248)</f>
        <v>0</v>
      </c>
      <c r="H244" s="423">
        <f t="shared" si="94"/>
        <v>0</v>
      </c>
      <c r="I244" s="423">
        <f t="shared" si="94"/>
        <v>0</v>
      </c>
      <c r="J244" s="423">
        <f t="shared" si="94"/>
        <v>0</v>
      </c>
      <c r="K244" s="423">
        <f t="shared" si="94"/>
        <v>0</v>
      </c>
      <c r="L244" s="424">
        <f>SUM(L245:L248)</f>
        <v>0</v>
      </c>
      <c r="M244" s="437">
        <f>SUM(M245:M248)</f>
        <v>0</v>
      </c>
    </row>
    <row r="245" spans="2:13">
      <c r="B245" s="589" t="str">
        <f>"26"</f>
        <v>26</v>
      </c>
      <c r="C245" s="260" t="s">
        <v>78</v>
      </c>
      <c r="D245" s="347" t="str">
        <f>'Tab.G2.1-3'!$D$72</f>
        <v>[km]</v>
      </c>
      <c r="E245" s="425"/>
      <c r="F245" s="426"/>
      <c r="G245" s="426"/>
      <c r="H245" s="426"/>
      <c r="I245" s="426"/>
      <c r="J245" s="426"/>
      <c r="K245" s="426"/>
      <c r="L245" s="427"/>
      <c r="M245" s="428">
        <f>SUM(E245:L245)</f>
        <v>0</v>
      </c>
    </row>
    <row r="246" spans="2:13">
      <c r="B246" s="590" t="str">
        <f>"27"</f>
        <v>27</v>
      </c>
      <c r="C246" s="261" t="s">
        <v>75</v>
      </c>
      <c r="D246" s="348" t="str">
        <f>'Tab.G2.1-3'!$D$72</f>
        <v>[km]</v>
      </c>
      <c r="E246" s="429"/>
      <c r="F246" s="430"/>
      <c r="G246" s="430"/>
      <c r="H246" s="430"/>
      <c r="I246" s="430"/>
      <c r="J246" s="430"/>
      <c r="K246" s="430"/>
      <c r="L246" s="431"/>
      <c r="M246" s="432">
        <f>SUM(E246:L246)</f>
        <v>0</v>
      </c>
    </row>
    <row r="247" spans="2:13">
      <c r="B247" s="590" t="str">
        <f>"28"</f>
        <v>28</v>
      </c>
      <c r="C247" s="262" t="s">
        <v>79</v>
      </c>
      <c r="D247" s="348" t="str">
        <f>'Tab.G2.1-3'!$D$72</f>
        <v>[km]</v>
      </c>
      <c r="E247" s="429"/>
      <c r="F247" s="430"/>
      <c r="G247" s="430"/>
      <c r="H247" s="430"/>
      <c r="I247" s="430"/>
      <c r="J247" s="430"/>
      <c r="K247" s="430"/>
      <c r="L247" s="431"/>
      <c r="M247" s="432">
        <f>SUM(E247:L247)</f>
        <v>0</v>
      </c>
    </row>
    <row r="248" spans="2:13" ht="16.5" thickBot="1">
      <c r="B248" s="592" t="str">
        <f>"29"</f>
        <v>29</v>
      </c>
      <c r="C248" s="265" t="s">
        <v>80</v>
      </c>
      <c r="D248" s="350" t="str">
        <f>'Tab.G2.1-3'!$D$72</f>
        <v>[km]</v>
      </c>
      <c r="E248" s="438"/>
      <c r="F248" s="439"/>
      <c r="G248" s="439"/>
      <c r="H248" s="439"/>
      <c r="I248" s="439"/>
      <c r="J248" s="439"/>
      <c r="K248" s="439"/>
      <c r="L248" s="440"/>
      <c r="M248" s="441">
        <f>SUM(E248:L248)</f>
        <v>0</v>
      </c>
    </row>
    <row r="249" spans="2:13" ht="16.5" thickBot="1">
      <c r="B249" s="365" t="str">
        <f>"30"</f>
        <v>30</v>
      </c>
      <c r="C249" s="339" t="s">
        <v>168</v>
      </c>
      <c r="D249" s="345" t="str">
        <f>'Tab.G2.1-3'!$D$72</f>
        <v>[km]</v>
      </c>
      <c r="E249" s="418"/>
      <c r="F249" s="419"/>
      <c r="G249" s="419"/>
      <c r="H249" s="419"/>
      <c r="I249" s="419"/>
      <c r="J249" s="419"/>
      <c r="K249" s="419"/>
      <c r="L249" s="420"/>
      <c r="M249" s="421">
        <f t="shared" ref="M249" si="95">SUM(E249:L249)</f>
        <v>0</v>
      </c>
    </row>
    <row r="250" spans="2:13" ht="16.5" thickBot="1">
      <c r="B250" s="365" t="str">
        <f>"31"</f>
        <v>31</v>
      </c>
      <c r="C250" s="339" t="s">
        <v>189</v>
      </c>
      <c r="D250" s="345" t="str">
        <f>'Tab.G2.1-3'!$D$72</f>
        <v>[km]</v>
      </c>
      <c r="E250" s="418">
        <f>SUM(E251,E256)</f>
        <v>0</v>
      </c>
      <c r="F250" s="442">
        <f>SUM(F251,F256)</f>
        <v>0</v>
      </c>
      <c r="G250" s="442">
        <f t="shared" ref="G250:K250" si="96">SUM(G251,G256)</f>
        <v>0</v>
      </c>
      <c r="H250" s="442">
        <f t="shared" si="96"/>
        <v>0</v>
      </c>
      <c r="I250" s="442">
        <f t="shared" si="96"/>
        <v>0</v>
      </c>
      <c r="J250" s="442">
        <f t="shared" si="96"/>
        <v>0</v>
      </c>
      <c r="K250" s="442">
        <f t="shared" si="96"/>
        <v>0</v>
      </c>
      <c r="L250" s="443">
        <f>SUM(L251,L256)</f>
        <v>0</v>
      </c>
      <c r="M250" s="421">
        <f>SUM(M251,M256)</f>
        <v>0</v>
      </c>
    </row>
    <row r="251" spans="2:13">
      <c r="B251" s="366" t="str">
        <f>"32"</f>
        <v>32</v>
      </c>
      <c r="C251" s="344" t="s">
        <v>72</v>
      </c>
      <c r="D251" s="351" t="str">
        <f>'Tab.G2.1-3'!$D$72</f>
        <v>[km]</v>
      </c>
      <c r="E251" s="444">
        <f>SUM(E252:E255)</f>
        <v>0</v>
      </c>
      <c r="F251" s="445">
        <f>SUM(F252:F255)</f>
        <v>0</v>
      </c>
      <c r="G251" s="445">
        <f t="shared" ref="G251:K251" si="97">SUM(G252:G255)</f>
        <v>0</v>
      </c>
      <c r="H251" s="445">
        <f t="shared" si="97"/>
        <v>0</v>
      </c>
      <c r="I251" s="445">
        <f t="shared" si="97"/>
        <v>0</v>
      </c>
      <c r="J251" s="445">
        <f t="shared" si="97"/>
        <v>0</v>
      </c>
      <c r="K251" s="445">
        <f t="shared" si="97"/>
        <v>0</v>
      </c>
      <c r="L251" s="446">
        <f>SUM(L252:L255)</f>
        <v>0</v>
      </c>
      <c r="M251" s="437">
        <f>SUM(M252:M255)</f>
        <v>0</v>
      </c>
    </row>
    <row r="252" spans="2:13">
      <c r="B252" s="593" t="str">
        <f>"33"</f>
        <v>33</v>
      </c>
      <c r="C252" s="263" t="s">
        <v>81</v>
      </c>
      <c r="D252" s="352" t="str">
        <f>'Tab.G2.1-3'!$D$72</f>
        <v>[km]</v>
      </c>
      <c r="E252" s="447"/>
      <c r="F252" s="448"/>
      <c r="G252" s="448"/>
      <c r="H252" s="448"/>
      <c r="I252" s="448"/>
      <c r="J252" s="448"/>
      <c r="K252" s="448"/>
      <c r="L252" s="449"/>
      <c r="M252" s="428">
        <f>SUM(E252:L252)</f>
        <v>0</v>
      </c>
    </row>
    <row r="253" spans="2:13">
      <c r="B253" s="594" t="str">
        <f>"34"</f>
        <v>34</v>
      </c>
      <c r="C253" s="262" t="s">
        <v>82</v>
      </c>
      <c r="D253" s="353" t="str">
        <f>'Tab.G2.1-3'!$D$72</f>
        <v>[km]</v>
      </c>
      <c r="E253" s="450"/>
      <c r="F253" s="451"/>
      <c r="G253" s="451"/>
      <c r="H253" s="451"/>
      <c r="I253" s="451"/>
      <c r="J253" s="451"/>
      <c r="K253" s="451"/>
      <c r="L253" s="452"/>
      <c r="M253" s="432">
        <f>SUM(E253:L253)</f>
        <v>0</v>
      </c>
    </row>
    <row r="254" spans="2:13">
      <c r="B254" s="594" t="str">
        <f>"35"</f>
        <v>35</v>
      </c>
      <c r="C254" s="262" t="s">
        <v>83</v>
      </c>
      <c r="D254" s="353" t="str">
        <f>'Tab.G2.1-3'!$D$72</f>
        <v>[km]</v>
      </c>
      <c r="E254" s="450"/>
      <c r="F254" s="451"/>
      <c r="G254" s="451"/>
      <c r="H254" s="451"/>
      <c r="I254" s="451"/>
      <c r="J254" s="451"/>
      <c r="K254" s="451"/>
      <c r="L254" s="452"/>
      <c r="M254" s="432">
        <f>SUM(E254:L254)</f>
        <v>0</v>
      </c>
    </row>
    <row r="255" spans="2:13">
      <c r="B255" s="595" t="str">
        <f>"36"</f>
        <v>36</v>
      </c>
      <c r="C255" s="264" t="s">
        <v>84</v>
      </c>
      <c r="D255" s="354" t="str">
        <f>'Tab.G2.1-3'!$D$72</f>
        <v>[km]</v>
      </c>
      <c r="E255" s="453"/>
      <c r="F255" s="454"/>
      <c r="G255" s="454"/>
      <c r="H255" s="454"/>
      <c r="I255" s="454"/>
      <c r="J255" s="454"/>
      <c r="K255" s="454"/>
      <c r="L255" s="455"/>
      <c r="M255" s="436">
        <f>SUM(E255:L255)</f>
        <v>0</v>
      </c>
    </row>
    <row r="256" spans="2:13">
      <c r="B256" s="596" t="str">
        <f>"37"</f>
        <v>37</v>
      </c>
      <c r="C256" s="344" t="s">
        <v>77</v>
      </c>
      <c r="D256" s="351" t="str">
        <f>'Tab.G2.1-3'!$D$72</f>
        <v>[km]</v>
      </c>
      <c r="E256" s="444">
        <f>SUM(E257:E260)</f>
        <v>0</v>
      </c>
      <c r="F256" s="445">
        <f>SUM(F257:F260)</f>
        <v>0</v>
      </c>
      <c r="G256" s="445">
        <f t="shared" ref="G256:K256" si="98">SUM(G257:G260)</f>
        <v>0</v>
      </c>
      <c r="H256" s="445">
        <f t="shared" si="98"/>
        <v>0</v>
      </c>
      <c r="I256" s="445">
        <f t="shared" si="98"/>
        <v>0</v>
      </c>
      <c r="J256" s="445">
        <f t="shared" si="98"/>
        <v>0</v>
      </c>
      <c r="K256" s="445">
        <f t="shared" si="98"/>
        <v>0</v>
      </c>
      <c r="L256" s="446">
        <f>SUM(L257:L260)</f>
        <v>0</v>
      </c>
      <c r="M256" s="437">
        <f>SUM(M257:M260)</f>
        <v>0</v>
      </c>
    </row>
    <row r="257" spans="2:13">
      <c r="B257" s="593" t="str">
        <f>"38"</f>
        <v>38</v>
      </c>
      <c r="C257" s="263" t="s">
        <v>81</v>
      </c>
      <c r="D257" s="352" t="str">
        <f>'Tab.G2.1-3'!$D$72</f>
        <v>[km]</v>
      </c>
      <c r="E257" s="447"/>
      <c r="F257" s="448"/>
      <c r="G257" s="448"/>
      <c r="H257" s="448"/>
      <c r="I257" s="448"/>
      <c r="J257" s="448"/>
      <c r="K257" s="448"/>
      <c r="L257" s="449"/>
      <c r="M257" s="428">
        <f>SUM(E257:L257)</f>
        <v>0</v>
      </c>
    </row>
    <row r="258" spans="2:13">
      <c r="B258" s="594" t="str">
        <f>"39"</f>
        <v>39</v>
      </c>
      <c r="C258" s="262" t="s">
        <v>82</v>
      </c>
      <c r="D258" s="353" t="str">
        <f>'Tab.G2.1-3'!$D$72</f>
        <v>[km]</v>
      </c>
      <c r="E258" s="450"/>
      <c r="F258" s="451"/>
      <c r="G258" s="451"/>
      <c r="H258" s="451"/>
      <c r="I258" s="451"/>
      <c r="J258" s="451"/>
      <c r="K258" s="451"/>
      <c r="L258" s="452"/>
      <c r="M258" s="432">
        <f>SUM(E258:L258)</f>
        <v>0</v>
      </c>
    </row>
    <row r="259" spans="2:13">
      <c r="B259" s="594" t="str">
        <f>"40"</f>
        <v>40</v>
      </c>
      <c r="C259" s="262" t="s">
        <v>83</v>
      </c>
      <c r="D259" s="353" t="str">
        <f>'Tab.G2.1-3'!$D$72</f>
        <v>[km]</v>
      </c>
      <c r="E259" s="450"/>
      <c r="F259" s="451"/>
      <c r="G259" s="451"/>
      <c r="H259" s="451"/>
      <c r="I259" s="451"/>
      <c r="J259" s="451"/>
      <c r="K259" s="451"/>
      <c r="L259" s="452"/>
      <c r="M259" s="432">
        <f>SUM(E259:L259)</f>
        <v>0</v>
      </c>
    </row>
    <row r="260" spans="2:13" ht="16.5" thickBot="1">
      <c r="B260" s="597" t="str">
        <f>"41"</f>
        <v>41</v>
      </c>
      <c r="C260" s="265" t="s">
        <v>84</v>
      </c>
      <c r="D260" s="355" t="str">
        <f>'Tab.G2.1-3'!$D$72</f>
        <v>[km]</v>
      </c>
      <c r="E260" s="456"/>
      <c r="F260" s="457"/>
      <c r="G260" s="457"/>
      <c r="H260" s="457"/>
      <c r="I260" s="457"/>
      <c r="J260" s="457"/>
      <c r="K260" s="457"/>
      <c r="L260" s="458"/>
      <c r="M260" s="441">
        <f>SUM(E260:L260)</f>
        <v>0</v>
      </c>
    </row>
    <row r="261" spans="2:13" ht="16.5" thickBot="1">
      <c r="B261" s="551" t="str">
        <f>"42"</f>
        <v>42</v>
      </c>
      <c r="C261" s="552" t="s">
        <v>113</v>
      </c>
      <c r="D261" s="553" t="str">
        <f>'Tab.G2.1-3'!$D$106</f>
        <v>[szt.]</v>
      </c>
      <c r="E261" s="554">
        <f>SUM(E262,E266,E270,E274:E276)</f>
        <v>0</v>
      </c>
      <c r="F261" s="555">
        <f>SUM(F262,F266,F270,F274:F276)</f>
        <v>0</v>
      </c>
      <c r="G261" s="555">
        <f t="shared" ref="G261:K261" si="99">SUM(G262,G266,G270,G274:G276)</f>
        <v>0</v>
      </c>
      <c r="H261" s="555">
        <f t="shared" si="99"/>
        <v>0</v>
      </c>
      <c r="I261" s="555">
        <f t="shared" si="99"/>
        <v>0</v>
      </c>
      <c r="J261" s="555">
        <f t="shared" si="99"/>
        <v>0</v>
      </c>
      <c r="K261" s="555">
        <f t="shared" si="99"/>
        <v>0</v>
      </c>
      <c r="L261" s="556">
        <f>SUM(L262,L266,L270,L274:L276)</f>
        <v>0</v>
      </c>
      <c r="M261" s="368">
        <f>SUM(M262,M266,M270,M274:M276)</f>
        <v>0</v>
      </c>
    </row>
    <row r="262" spans="2:13">
      <c r="B262" s="598" t="str">
        <f>"43"</f>
        <v>43</v>
      </c>
      <c r="C262" s="342" t="s">
        <v>191</v>
      </c>
      <c r="D262" s="356" t="str">
        <f>'Tab.G2.1-3'!$D$106</f>
        <v>[szt.]</v>
      </c>
      <c r="E262" s="369">
        <f>SUM(E263:E265)</f>
        <v>0</v>
      </c>
      <c r="F262" s="370">
        <f>SUM(F263:F265)</f>
        <v>0</v>
      </c>
      <c r="G262" s="370">
        <f t="shared" ref="G262:K262" si="100">SUM(G263:G265)</f>
        <v>0</v>
      </c>
      <c r="H262" s="370">
        <f t="shared" si="100"/>
        <v>0</v>
      </c>
      <c r="I262" s="370">
        <f t="shared" si="100"/>
        <v>0</v>
      </c>
      <c r="J262" s="370">
        <f t="shared" si="100"/>
        <v>0</v>
      </c>
      <c r="K262" s="370">
        <f t="shared" si="100"/>
        <v>0</v>
      </c>
      <c r="L262" s="371">
        <f>SUM(L263:L265)</f>
        <v>0</v>
      </c>
      <c r="M262" s="372">
        <f>SUM(M263:M265)</f>
        <v>0</v>
      </c>
    </row>
    <row r="263" spans="2:13">
      <c r="B263" s="589" t="str">
        <f>"44"</f>
        <v>44</v>
      </c>
      <c r="C263" s="260" t="s">
        <v>85</v>
      </c>
      <c r="D263" s="352" t="str">
        <f>'Tab.G2.1-3'!$D$106</f>
        <v>[szt.]</v>
      </c>
      <c r="E263" s="373"/>
      <c r="F263" s="374"/>
      <c r="G263" s="374"/>
      <c r="H263" s="374"/>
      <c r="I263" s="374"/>
      <c r="J263" s="374"/>
      <c r="K263" s="374"/>
      <c r="L263" s="375"/>
      <c r="M263" s="376">
        <f>SUM(E263:L263)</f>
        <v>0</v>
      </c>
    </row>
    <row r="264" spans="2:13">
      <c r="B264" s="590" t="str">
        <f>"45"</f>
        <v>45</v>
      </c>
      <c r="C264" s="261" t="s">
        <v>86</v>
      </c>
      <c r="D264" s="353" t="str">
        <f>'Tab.G2.1-3'!$D$106</f>
        <v>[szt.]</v>
      </c>
      <c r="E264" s="377"/>
      <c r="F264" s="378"/>
      <c r="G264" s="378"/>
      <c r="H264" s="378"/>
      <c r="I264" s="378"/>
      <c r="J264" s="378"/>
      <c r="K264" s="378"/>
      <c r="L264" s="379"/>
      <c r="M264" s="380">
        <f>SUM(E264:L264)</f>
        <v>0</v>
      </c>
    </row>
    <row r="265" spans="2:13">
      <c r="B265" s="591" t="str">
        <f>"46"</f>
        <v>46</v>
      </c>
      <c r="C265" s="269" t="s">
        <v>87</v>
      </c>
      <c r="D265" s="354" t="str">
        <f>'Tab.G2.1-3'!$D$106</f>
        <v>[szt.]</v>
      </c>
      <c r="E265" s="381"/>
      <c r="F265" s="382"/>
      <c r="G265" s="382"/>
      <c r="H265" s="382"/>
      <c r="I265" s="382"/>
      <c r="J265" s="382"/>
      <c r="K265" s="382"/>
      <c r="L265" s="383"/>
      <c r="M265" s="384">
        <f>SUM(E265:L265)</f>
        <v>0</v>
      </c>
    </row>
    <row r="266" spans="2:13">
      <c r="B266" s="599" t="str">
        <f>"47"</f>
        <v>47</v>
      </c>
      <c r="C266" s="342" t="s">
        <v>192</v>
      </c>
      <c r="D266" s="357" t="str">
        <f>'Tab.G2.1-3'!$D$106</f>
        <v>[szt.]</v>
      </c>
      <c r="E266" s="385">
        <f t="shared" ref="E266:M266" si="101">SUM(E267:E269)</f>
        <v>0</v>
      </c>
      <c r="F266" s="386">
        <f t="shared" si="101"/>
        <v>0</v>
      </c>
      <c r="G266" s="386">
        <f t="shared" si="101"/>
        <v>0</v>
      </c>
      <c r="H266" s="386">
        <f t="shared" si="101"/>
        <v>0</v>
      </c>
      <c r="I266" s="386">
        <f t="shared" si="101"/>
        <v>0</v>
      </c>
      <c r="J266" s="386">
        <f t="shared" si="101"/>
        <v>0</v>
      </c>
      <c r="K266" s="386">
        <f t="shared" si="101"/>
        <v>0</v>
      </c>
      <c r="L266" s="387">
        <f t="shared" si="101"/>
        <v>0</v>
      </c>
      <c r="M266" s="388">
        <f t="shared" si="101"/>
        <v>0</v>
      </c>
    </row>
    <row r="267" spans="2:13">
      <c r="B267" s="589" t="str">
        <f>"48"</f>
        <v>48</v>
      </c>
      <c r="C267" s="260" t="s">
        <v>88</v>
      </c>
      <c r="D267" s="352" t="str">
        <f>'Tab.G2.1-3'!$D$106</f>
        <v>[szt.]</v>
      </c>
      <c r="E267" s="373"/>
      <c r="F267" s="374"/>
      <c r="G267" s="374"/>
      <c r="H267" s="374"/>
      <c r="I267" s="374"/>
      <c r="J267" s="374"/>
      <c r="K267" s="374"/>
      <c r="L267" s="375"/>
      <c r="M267" s="376">
        <f>SUM(E267:L267)</f>
        <v>0</v>
      </c>
    </row>
    <row r="268" spans="2:13">
      <c r="B268" s="590" t="str">
        <f>"49"</f>
        <v>49</v>
      </c>
      <c r="C268" s="262" t="s">
        <v>89</v>
      </c>
      <c r="D268" s="353" t="str">
        <f>'Tab.G2.1-3'!$D$106</f>
        <v>[szt.]</v>
      </c>
      <c r="E268" s="377"/>
      <c r="F268" s="378"/>
      <c r="G268" s="378"/>
      <c r="H268" s="378"/>
      <c r="I268" s="378"/>
      <c r="J268" s="378"/>
      <c r="K268" s="378"/>
      <c r="L268" s="379"/>
      <c r="M268" s="380">
        <f>SUM(E268:L268)</f>
        <v>0</v>
      </c>
    </row>
    <row r="269" spans="2:13">
      <c r="B269" s="591" t="str">
        <f>"50"</f>
        <v>50</v>
      </c>
      <c r="C269" s="269" t="s">
        <v>90</v>
      </c>
      <c r="D269" s="354" t="str">
        <f>'Tab.G2.1-3'!$D$106</f>
        <v>[szt.]</v>
      </c>
      <c r="E269" s="381"/>
      <c r="F269" s="382"/>
      <c r="G269" s="382"/>
      <c r="H269" s="382"/>
      <c r="I269" s="382"/>
      <c r="J269" s="382"/>
      <c r="K269" s="382"/>
      <c r="L269" s="383"/>
      <c r="M269" s="384">
        <f>SUM(E269:L269)</f>
        <v>0</v>
      </c>
    </row>
    <row r="270" spans="2:13">
      <c r="B270" s="599" t="str">
        <f>"51"</f>
        <v>51</v>
      </c>
      <c r="C270" s="342" t="s">
        <v>193</v>
      </c>
      <c r="D270" s="357" t="str">
        <f>'Tab.G2.1-3'!$D$106</f>
        <v>[szt.]</v>
      </c>
      <c r="E270" s="385">
        <f t="shared" ref="E270:M270" si="102">SUM(E271:E273)</f>
        <v>0</v>
      </c>
      <c r="F270" s="386">
        <f t="shared" si="102"/>
        <v>0</v>
      </c>
      <c r="G270" s="386">
        <f t="shared" si="102"/>
        <v>0</v>
      </c>
      <c r="H270" s="386">
        <f t="shared" si="102"/>
        <v>0</v>
      </c>
      <c r="I270" s="386">
        <f t="shared" si="102"/>
        <v>0</v>
      </c>
      <c r="J270" s="386">
        <f t="shared" si="102"/>
        <v>0</v>
      </c>
      <c r="K270" s="386">
        <f t="shared" si="102"/>
        <v>0</v>
      </c>
      <c r="L270" s="387">
        <f t="shared" si="102"/>
        <v>0</v>
      </c>
      <c r="M270" s="388">
        <f t="shared" si="102"/>
        <v>0</v>
      </c>
    </row>
    <row r="271" spans="2:13">
      <c r="B271" s="593" t="str">
        <f>"52"</f>
        <v>52</v>
      </c>
      <c r="C271" s="260" t="s">
        <v>88</v>
      </c>
      <c r="D271" s="352" t="str">
        <f>'Tab.G2.1-3'!$D$106</f>
        <v>[szt.]</v>
      </c>
      <c r="E271" s="389"/>
      <c r="F271" s="390"/>
      <c r="G271" s="390"/>
      <c r="H271" s="390"/>
      <c r="I271" s="390"/>
      <c r="J271" s="390"/>
      <c r="K271" s="390"/>
      <c r="L271" s="391"/>
      <c r="M271" s="376">
        <f t="shared" ref="M271:M276" si="103">SUM(E271:L271)</f>
        <v>0</v>
      </c>
    </row>
    <row r="272" spans="2:13">
      <c r="B272" s="594" t="str">
        <f>"53"</f>
        <v>53</v>
      </c>
      <c r="C272" s="262" t="s">
        <v>89</v>
      </c>
      <c r="D272" s="353" t="str">
        <f>'Tab.G2.1-3'!$D$106</f>
        <v>[szt.]</v>
      </c>
      <c r="E272" s="392"/>
      <c r="F272" s="393"/>
      <c r="G272" s="393"/>
      <c r="H272" s="393"/>
      <c r="I272" s="393"/>
      <c r="J272" s="393"/>
      <c r="K272" s="393"/>
      <c r="L272" s="394"/>
      <c r="M272" s="380">
        <f t="shared" si="103"/>
        <v>0</v>
      </c>
    </row>
    <row r="273" spans="2:13">
      <c r="B273" s="595" t="str">
        <f>"54"</f>
        <v>54</v>
      </c>
      <c r="C273" s="269" t="s">
        <v>90</v>
      </c>
      <c r="D273" s="354" t="str">
        <f>'Tab.G2.1-3'!$D$106</f>
        <v>[szt.]</v>
      </c>
      <c r="E273" s="395"/>
      <c r="F273" s="396"/>
      <c r="G273" s="396"/>
      <c r="H273" s="396"/>
      <c r="I273" s="396"/>
      <c r="J273" s="396"/>
      <c r="K273" s="396"/>
      <c r="L273" s="397"/>
      <c r="M273" s="384">
        <f t="shared" si="103"/>
        <v>0</v>
      </c>
    </row>
    <row r="274" spans="2:13">
      <c r="B274" s="600" t="str">
        <f>"55"</f>
        <v>55</v>
      </c>
      <c r="C274" s="341" t="s">
        <v>194</v>
      </c>
      <c r="D274" s="358" t="str">
        <f>'Tab.G2.1-3'!$D$106</f>
        <v>[szt.]</v>
      </c>
      <c r="E274" s="398"/>
      <c r="F274" s="399"/>
      <c r="G274" s="399"/>
      <c r="H274" s="399"/>
      <c r="I274" s="399"/>
      <c r="J274" s="399"/>
      <c r="K274" s="399"/>
      <c r="L274" s="400"/>
      <c r="M274" s="401">
        <f t="shared" si="103"/>
        <v>0</v>
      </c>
    </row>
    <row r="275" spans="2:13">
      <c r="B275" s="600" t="str">
        <f>"56"</f>
        <v>56</v>
      </c>
      <c r="C275" s="341" t="s">
        <v>195</v>
      </c>
      <c r="D275" s="358" t="str">
        <f>'Tab.G2.1-3'!$D$106</f>
        <v>[szt.]</v>
      </c>
      <c r="E275" s="398"/>
      <c r="F275" s="399"/>
      <c r="G275" s="399"/>
      <c r="H275" s="399"/>
      <c r="I275" s="399"/>
      <c r="J275" s="399"/>
      <c r="K275" s="399"/>
      <c r="L275" s="400"/>
      <c r="M275" s="401">
        <f t="shared" si="103"/>
        <v>0</v>
      </c>
    </row>
    <row r="276" spans="2:13" ht="16.5" thickBot="1">
      <c r="B276" s="367" t="str">
        <f>"57"</f>
        <v>57</v>
      </c>
      <c r="C276" s="343" t="s">
        <v>190</v>
      </c>
      <c r="D276" s="359" t="str">
        <f>'Tab.G2.1-3'!$D$106</f>
        <v>[szt.]</v>
      </c>
      <c r="E276" s="402"/>
      <c r="F276" s="403"/>
      <c r="G276" s="403"/>
      <c r="H276" s="403"/>
      <c r="I276" s="403"/>
      <c r="J276" s="403"/>
      <c r="K276" s="403"/>
      <c r="L276" s="404"/>
      <c r="M276" s="405">
        <f t="shared" si="103"/>
        <v>0</v>
      </c>
    </row>
    <row r="277" spans="2:13" ht="16.5" thickBot="1">
      <c r="B277" s="557" t="str">
        <f>"58"</f>
        <v>58</v>
      </c>
      <c r="C277" s="552" t="s">
        <v>126</v>
      </c>
      <c r="D277" s="558" t="str">
        <f>'Tab.G2.1-3'!$D$106</f>
        <v>[szt.]</v>
      </c>
      <c r="E277" s="554">
        <f>SUM(E278,E281:E283)</f>
        <v>0</v>
      </c>
      <c r="F277" s="559">
        <f>SUM(F278,F281:F283)</f>
        <v>0</v>
      </c>
      <c r="G277" s="559">
        <f t="shared" ref="G277" si="104">SUM(G278,G281:G283)</f>
        <v>0</v>
      </c>
      <c r="H277" s="559">
        <f t="shared" ref="H277" si="105">SUM(H278,H281:H283)</f>
        <v>0</v>
      </c>
      <c r="I277" s="559">
        <f t="shared" ref="I277" si="106">SUM(I278,I281:I283)</f>
        <v>0</v>
      </c>
      <c r="J277" s="559">
        <f t="shared" ref="J277" si="107">SUM(J278,J281:J283)</f>
        <v>0</v>
      </c>
      <c r="K277" s="559">
        <f t="shared" ref="K277" si="108">SUM(K278,K281:K283)</f>
        <v>0</v>
      </c>
      <c r="L277" s="560">
        <f>SUM(L278,L281:L283)</f>
        <v>0</v>
      </c>
      <c r="M277" s="368">
        <f t="shared" ref="M277" si="109">SUM(M278:M282)</f>
        <v>0</v>
      </c>
    </row>
    <row r="278" spans="2:13">
      <c r="B278" s="601" t="str">
        <f>"59"</f>
        <v>59</v>
      </c>
      <c r="C278" s="340" t="s">
        <v>127</v>
      </c>
      <c r="D278" s="360" t="str">
        <f>'Tab.G2.1-3'!$D$106</f>
        <v>[szt.]</v>
      </c>
      <c r="E278" s="406">
        <f t="shared" ref="E278:L278" si="110">SUM(E279:E280)</f>
        <v>0</v>
      </c>
      <c r="F278" s="407">
        <f t="shared" si="110"/>
        <v>0</v>
      </c>
      <c r="G278" s="407">
        <f t="shared" si="110"/>
        <v>0</v>
      </c>
      <c r="H278" s="407">
        <f t="shared" si="110"/>
        <v>0</v>
      </c>
      <c r="I278" s="407">
        <f t="shared" si="110"/>
        <v>0</v>
      </c>
      <c r="J278" s="407">
        <f t="shared" si="110"/>
        <v>0</v>
      </c>
      <c r="K278" s="407">
        <f t="shared" si="110"/>
        <v>0</v>
      </c>
      <c r="L278" s="408">
        <f t="shared" si="110"/>
        <v>0</v>
      </c>
      <c r="M278" s="409">
        <f t="shared" ref="M278:M283" si="111">SUM(E278:L278)</f>
        <v>0</v>
      </c>
    </row>
    <row r="279" spans="2:13">
      <c r="B279" s="602" t="str">
        <f>"60"</f>
        <v>60</v>
      </c>
      <c r="C279" s="263" t="s">
        <v>128</v>
      </c>
      <c r="D279" s="361" t="str">
        <f>'Tab.G2.1-3'!$D$106</f>
        <v>[szt.]</v>
      </c>
      <c r="E279" s="374"/>
      <c r="F279" s="410"/>
      <c r="G279" s="410"/>
      <c r="H279" s="410"/>
      <c r="I279" s="410"/>
      <c r="J279" s="410"/>
      <c r="K279" s="410"/>
      <c r="L279" s="411"/>
      <c r="M279" s="376">
        <f t="shared" si="111"/>
        <v>0</v>
      </c>
    </row>
    <row r="280" spans="2:13">
      <c r="B280" s="603" t="str">
        <f>"61"</f>
        <v>61</v>
      </c>
      <c r="C280" s="336" t="s">
        <v>129</v>
      </c>
      <c r="D280" s="362" t="str">
        <f>'Tab.G2.1-3'!$D$106</f>
        <v>[szt.]</v>
      </c>
      <c r="E280" s="382"/>
      <c r="F280" s="412"/>
      <c r="G280" s="412"/>
      <c r="H280" s="412"/>
      <c r="I280" s="412"/>
      <c r="J280" s="412"/>
      <c r="K280" s="412"/>
      <c r="L280" s="413"/>
      <c r="M280" s="384">
        <f t="shared" si="111"/>
        <v>0</v>
      </c>
    </row>
    <row r="281" spans="2:13">
      <c r="B281" s="604" t="str">
        <f>"62"</f>
        <v>62</v>
      </c>
      <c r="C281" s="341" t="s">
        <v>130</v>
      </c>
      <c r="D281" s="363" t="str">
        <f>'Tab.G2.1-3'!$D$106</f>
        <v>[szt.]</v>
      </c>
      <c r="E281" s="414"/>
      <c r="F281" s="399"/>
      <c r="G281" s="399"/>
      <c r="H281" s="399"/>
      <c r="I281" s="399"/>
      <c r="J281" s="399"/>
      <c r="K281" s="399"/>
      <c r="L281" s="400"/>
      <c r="M281" s="401">
        <f t="shared" si="111"/>
        <v>0</v>
      </c>
    </row>
    <row r="282" spans="2:13">
      <c r="B282" s="604" t="str">
        <f>"63"</f>
        <v>63</v>
      </c>
      <c r="C282" s="341" t="s">
        <v>131</v>
      </c>
      <c r="D282" s="363" t="str">
        <f>'Tab.G2.1-3'!$D$106</f>
        <v>[szt.]</v>
      </c>
      <c r="E282" s="414"/>
      <c r="F282" s="399"/>
      <c r="G282" s="399"/>
      <c r="H282" s="399"/>
      <c r="I282" s="399"/>
      <c r="J282" s="399"/>
      <c r="K282" s="399"/>
      <c r="L282" s="400"/>
      <c r="M282" s="401">
        <f t="shared" si="111"/>
        <v>0</v>
      </c>
    </row>
    <row r="283" spans="2:13" ht="16.5" thickBot="1">
      <c r="B283" s="367" t="str">
        <f>"64"</f>
        <v>64</v>
      </c>
      <c r="C283" s="343" t="s">
        <v>132</v>
      </c>
      <c r="D283" s="364" t="str">
        <f>'Tab.G2.1-3'!$D$106</f>
        <v>[szt.]</v>
      </c>
      <c r="E283" s="415"/>
      <c r="F283" s="415"/>
      <c r="G283" s="415"/>
      <c r="H283" s="415"/>
      <c r="I283" s="415"/>
      <c r="J283" s="415"/>
      <c r="K283" s="415"/>
      <c r="L283" s="416"/>
      <c r="M283" s="405">
        <f t="shared" si="111"/>
        <v>0</v>
      </c>
    </row>
    <row r="286" spans="2:13" ht="16.5" thickBot="1">
      <c r="B286" s="951" t="s">
        <v>290</v>
      </c>
      <c r="C286" s="952"/>
      <c r="D286" s="952"/>
      <c r="E286" s="953"/>
      <c r="F286" s="953"/>
      <c r="G286" s="944"/>
      <c r="H286" s="944"/>
      <c r="I286" s="944"/>
      <c r="J286" s="944"/>
      <c r="K286" s="944"/>
      <c r="L286" s="944"/>
      <c r="M286" s="944"/>
    </row>
    <row r="287" spans="2:13" ht="16.5" thickBot="1">
      <c r="B287" s="1171" t="str">
        <f>'Tab.G1.1-4'!$B$8</f>
        <v>LP</v>
      </c>
      <c r="C287" s="1174" t="str">
        <f>"Składnik majątku sieciowego"</f>
        <v>Składnik majątku sieciowego</v>
      </c>
      <c r="D287" s="1175"/>
      <c r="E287" s="1180" t="str">
        <f>"Wiek składnika majątku sieciowego na koniec roku sprawozdawczego"</f>
        <v>Wiek składnika majątku sieciowego na koniec roku sprawozdawczego</v>
      </c>
      <c r="F287" s="1181"/>
      <c r="G287" s="1181"/>
      <c r="H287" s="1181"/>
      <c r="I287" s="1181"/>
      <c r="J287" s="1181"/>
      <c r="K287" s="1181"/>
      <c r="L287" s="1181"/>
      <c r="M287" s="1182" t="str">
        <f>"RAZEM"</f>
        <v>RAZEM</v>
      </c>
    </row>
    <row r="288" spans="2:13" ht="16.5" thickBot="1">
      <c r="B288" s="1172"/>
      <c r="C288" s="1176"/>
      <c r="D288" s="1177"/>
      <c r="E288" s="41" t="str">
        <f>"[lata]"</f>
        <v>[lata]</v>
      </c>
      <c r="F288" s="42" t="str">
        <f t="shared" ref="F288:L288" si="112">$E$8</f>
        <v>[lata]</v>
      </c>
      <c r="G288" s="42" t="str">
        <f t="shared" si="112"/>
        <v>[lata]</v>
      </c>
      <c r="H288" s="42" t="str">
        <f t="shared" si="112"/>
        <v>[lata]</v>
      </c>
      <c r="I288" s="42" t="str">
        <f t="shared" si="112"/>
        <v>[lata]</v>
      </c>
      <c r="J288" s="42" t="str">
        <f t="shared" si="112"/>
        <v>[lata]</v>
      </c>
      <c r="K288" s="42" t="str">
        <f t="shared" si="112"/>
        <v>[lata]</v>
      </c>
      <c r="L288" s="43" t="str">
        <f t="shared" si="112"/>
        <v>[lata]</v>
      </c>
      <c r="M288" s="1183"/>
    </row>
    <row r="289" spans="2:13" ht="16.5" thickBot="1">
      <c r="B289" s="1173"/>
      <c r="C289" s="1178"/>
      <c r="D289" s="1179"/>
      <c r="E289" s="44" t="str">
        <f>"36 i więcej"</f>
        <v>36 i więcej</v>
      </c>
      <c r="F289" s="45" t="str">
        <f>"31 - 35"</f>
        <v>31 - 35</v>
      </c>
      <c r="G289" s="45" t="str">
        <f>"26 - 30"</f>
        <v>26 - 30</v>
      </c>
      <c r="H289" s="45" t="str">
        <f>"21 - 25"</f>
        <v>21 - 25</v>
      </c>
      <c r="I289" s="45" t="str">
        <f>"16 - 20"</f>
        <v>16 - 20</v>
      </c>
      <c r="J289" s="459" t="str">
        <f>"11 - 15"</f>
        <v>11 - 15</v>
      </c>
      <c r="K289" s="459" t="str">
        <f>"6 - 10"</f>
        <v>6 - 10</v>
      </c>
      <c r="L289" s="460" t="str">
        <f>"0 - 5"</f>
        <v>0 - 5</v>
      </c>
      <c r="M289" s="1184"/>
    </row>
    <row r="290" spans="2:13" ht="16.5" thickBot="1">
      <c r="B290" s="586" t="str">
        <f>"01"</f>
        <v>01</v>
      </c>
      <c r="C290" s="1185" t="str">
        <f>$B$11</f>
        <v>02</v>
      </c>
      <c r="D290" s="1186"/>
      <c r="E290" s="586" t="str">
        <f t="array" ref="E290:M290">TRANSPOSE($B$12:$B$20)</f>
        <v>03</v>
      </c>
      <c r="F290" s="962" t="str">
        <v>04</v>
      </c>
      <c r="G290" s="962" t="str">
        <v>05</v>
      </c>
      <c r="H290" s="962" t="str">
        <v>06</v>
      </c>
      <c r="I290" s="962" t="str">
        <v>07</v>
      </c>
      <c r="J290" s="962" t="str">
        <v>08</v>
      </c>
      <c r="K290" s="962" t="str">
        <v>09</v>
      </c>
      <c r="L290" s="606" t="str">
        <v>10</v>
      </c>
      <c r="M290" s="607" t="str">
        <v>11</v>
      </c>
    </row>
    <row r="291" spans="2:13" ht="16.5" thickBot="1">
      <c r="B291" s="587" t="str">
        <f>"02"</f>
        <v>02</v>
      </c>
      <c r="C291" s="546" t="s">
        <v>188</v>
      </c>
      <c r="D291" s="547" t="str">
        <f>'Tab.G2.1-3'!$D$72</f>
        <v>[km]</v>
      </c>
      <c r="E291" s="548">
        <f>SUM(E292,E303,E319:E320)</f>
        <v>0</v>
      </c>
      <c r="F291" s="549">
        <f>SUM(F292,F303,F319:F320)</f>
        <v>0</v>
      </c>
      <c r="G291" s="549">
        <f t="shared" ref="G291:M291" si="113">SUM(G292,G303,G319:G320)</f>
        <v>0</v>
      </c>
      <c r="H291" s="549">
        <f t="shared" si="113"/>
        <v>0</v>
      </c>
      <c r="I291" s="549">
        <f t="shared" si="113"/>
        <v>0</v>
      </c>
      <c r="J291" s="549">
        <f t="shared" si="113"/>
        <v>0</v>
      </c>
      <c r="K291" s="549">
        <f t="shared" si="113"/>
        <v>0</v>
      </c>
      <c r="L291" s="550">
        <f t="shared" si="113"/>
        <v>0</v>
      </c>
      <c r="M291" s="417">
        <f t="shared" si="113"/>
        <v>0</v>
      </c>
    </row>
    <row r="292" spans="2:13" ht="16.5" thickBot="1">
      <c r="B292" s="365" t="str">
        <f>"03"</f>
        <v>03</v>
      </c>
      <c r="C292" s="338" t="s">
        <v>120</v>
      </c>
      <c r="D292" s="345" t="str">
        <f>'Tab.G2.1-3'!$D$72</f>
        <v>[km]</v>
      </c>
      <c r="E292" s="418">
        <f>SUM(E293,E298)</f>
        <v>0</v>
      </c>
      <c r="F292" s="419">
        <f>SUM(F293,F298)</f>
        <v>0</v>
      </c>
      <c r="G292" s="419">
        <f t="shared" ref="G292:M292" si="114">SUM(G293,G298)</f>
        <v>0</v>
      </c>
      <c r="H292" s="419">
        <f t="shared" si="114"/>
        <v>0</v>
      </c>
      <c r="I292" s="419">
        <f t="shared" si="114"/>
        <v>0</v>
      </c>
      <c r="J292" s="419">
        <f t="shared" si="114"/>
        <v>0</v>
      </c>
      <c r="K292" s="419">
        <f t="shared" si="114"/>
        <v>0</v>
      </c>
      <c r="L292" s="420">
        <f t="shared" si="114"/>
        <v>0</v>
      </c>
      <c r="M292" s="421">
        <f t="shared" si="114"/>
        <v>0</v>
      </c>
    </row>
    <row r="293" spans="2:13">
      <c r="B293" s="588" t="str">
        <f>"04"</f>
        <v>04</v>
      </c>
      <c r="C293" s="344" t="s">
        <v>72</v>
      </c>
      <c r="D293" s="346" t="str">
        <f>'Tab.G2.1-3'!$D$72</f>
        <v>[km]</v>
      </c>
      <c r="E293" s="422">
        <f>SUM(E294:E297)</f>
        <v>0</v>
      </c>
      <c r="F293" s="423">
        <f>SUM(F294:F297)</f>
        <v>0</v>
      </c>
      <c r="G293" s="423">
        <f t="shared" ref="G293:M293" si="115">SUM(G294:G297)</f>
        <v>0</v>
      </c>
      <c r="H293" s="423">
        <f t="shared" si="115"/>
        <v>0</v>
      </c>
      <c r="I293" s="423">
        <f t="shared" si="115"/>
        <v>0</v>
      </c>
      <c r="J293" s="423">
        <f t="shared" si="115"/>
        <v>0</v>
      </c>
      <c r="K293" s="423">
        <f t="shared" si="115"/>
        <v>0</v>
      </c>
      <c r="L293" s="424">
        <f t="shared" si="115"/>
        <v>0</v>
      </c>
      <c r="M293" s="417">
        <f t="shared" si="115"/>
        <v>0</v>
      </c>
    </row>
    <row r="294" spans="2:13">
      <c r="B294" s="589" t="str">
        <f>"05"</f>
        <v>05</v>
      </c>
      <c r="C294" s="260" t="s">
        <v>73</v>
      </c>
      <c r="D294" s="347" t="str">
        <f>'Tab.G2.1-3'!$D$72</f>
        <v>[km]</v>
      </c>
      <c r="E294" s="425"/>
      <c r="F294" s="426"/>
      <c r="G294" s="426"/>
      <c r="H294" s="426"/>
      <c r="I294" s="426"/>
      <c r="J294" s="426"/>
      <c r="K294" s="426"/>
      <c r="L294" s="427"/>
      <c r="M294" s="428">
        <f>SUM(E294:L294)</f>
        <v>0</v>
      </c>
    </row>
    <row r="295" spans="2:13">
      <c r="B295" s="590" t="str">
        <f>"06"</f>
        <v>06</v>
      </c>
      <c r="C295" s="261" t="s">
        <v>74</v>
      </c>
      <c r="D295" s="348" t="str">
        <f>'Tab.G2.1-3'!$D$72</f>
        <v>[km]</v>
      </c>
      <c r="E295" s="429"/>
      <c r="F295" s="430"/>
      <c r="G295" s="430"/>
      <c r="H295" s="430"/>
      <c r="I295" s="430"/>
      <c r="J295" s="430"/>
      <c r="K295" s="430"/>
      <c r="L295" s="431"/>
      <c r="M295" s="432">
        <f>SUM(E295:L295)</f>
        <v>0</v>
      </c>
    </row>
    <row r="296" spans="2:13">
      <c r="B296" s="590" t="str">
        <f>"07"</f>
        <v>07</v>
      </c>
      <c r="C296" s="261" t="s">
        <v>75</v>
      </c>
      <c r="D296" s="348" t="str">
        <f>'Tab.G2.1-3'!$D$72</f>
        <v>[km]</v>
      </c>
      <c r="E296" s="429"/>
      <c r="F296" s="430"/>
      <c r="G296" s="430"/>
      <c r="H296" s="430"/>
      <c r="I296" s="430"/>
      <c r="J296" s="430"/>
      <c r="K296" s="430"/>
      <c r="L296" s="431"/>
      <c r="M296" s="432">
        <f>SUM(E296:L296)</f>
        <v>0</v>
      </c>
    </row>
    <row r="297" spans="2:13">
      <c r="B297" s="591" t="str">
        <f>"08"</f>
        <v>08</v>
      </c>
      <c r="C297" s="264" t="s">
        <v>76</v>
      </c>
      <c r="D297" s="349" t="str">
        <f>'Tab.G2.1-3'!$D$72</f>
        <v>[km]</v>
      </c>
      <c r="E297" s="433"/>
      <c r="F297" s="434"/>
      <c r="G297" s="434"/>
      <c r="H297" s="434"/>
      <c r="I297" s="434"/>
      <c r="J297" s="434"/>
      <c r="K297" s="434"/>
      <c r="L297" s="435"/>
      <c r="M297" s="436">
        <f>SUM(E297:L297)</f>
        <v>0</v>
      </c>
    </row>
    <row r="298" spans="2:13">
      <c r="B298" s="588" t="str">
        <f>"09"</f>
        <v>09</v>
      </c>
      <c r="C298" s="344" t="s">
        <v>77</v>
      </c>
      <c r="D298" s="346" t="str">
        <f>'Tab.G2.1-3'!$D$72</f>
        <v>[km]</v>
      </c>
      <c r="E298" s="422">
        <f t="shared" ref="E298:M298" si="116">SUM(E299:E302)</f>
        <v>0</v>
      </c>
      <c r="F298" s="423">
        <f t="shared" si="116"/>
        <v>0</v>
      </c>
      <c r="G298" s="423">
        <f t="shared" si="116"/>
        <v>0</v>
      </c>
      <c r="H298" s="423">
        <f t="shared" si="116"/>
        <v>0</v>
      </c>
      <c r="I298" s="423">
        <f t="shared" si="116"/>
        <v>0</v>
      </c>
      <c r="J298" s="423">
        <f t="shared" si="116"/>
        <v>0</v>
      </c>
      <c r="K298" s="423">
        <f t="shared" si="116"/>
        <v>0</v>
      </c>
      <c r="L298" s="424">
        <f t="shared" si="116"/>
        <v>0</v>
      </c>
      <c r="M298" s="437">
        <f t="shared" si="116"/>
        <v>0</v>
      </c>
    </row>
    <row r="299" spans="2:13">
      <c r="B299" s="589" t="str">
        <f>"10"</f>
        <v>10</v>
      </c>
      <c r="C299" s="260" t="s">
        <v>73</v>
      </c>
      <c r="D299" s="347" t="str">
        <f>'Tab.G2.1-3'!$D$72</f>
        <v>[km]</v>
      </c>
      <c r="E299" s="425"/>
      <c r="F299" s="426"/>
      <c r="G299" s="426"/>
      <c r="H299" s="426"/>
      <c r="I299" s="426"/>
      <c r="J299" s="426"/>
      <c r="K299" s="426"/>
      <c r="L299" s="427"/>
      <c r="M299" s="428">
        <f>SUM(E299:L299)</f>
        <v>0</v>
      </c>
    </row>
    <row r="300" spans="2:13">
      <c r="B300" s="590" t="str">
        <f>"11"</f>
        <v>11</v>
      </c>
      <c r="C300" s="261" t="s">
        <v>74</v>
      </c>
      <c r="D300" s="348" t="str">
        <f>'Tab.G2.1-3'!$D$72</f>
        <v>[km]</v>
      </c>
      <c r="E300" s="429"/>
      <c r="F300" s="430"/>
      <c r="G300" s="430"/>
      <c r="H300" s="430"/>
      <c r="I300" s="430"/>
      <c r="J300" s="430"/>
      <c r="K300" s="430"/>
      <c r="L300" s="431"/>
      <c r="M300" s="432">
        <f>SUM(E300:L300)</f>
        <v>0</v>
      </c>
    </row>
    <row r="301" spans="2:13">
      <c r="B301" s="590" t="str">
        <f>"12"</f>
        <v>12</v>
      </c>
      <c r="C301" s="261" t="s">
        <v>75</v>
      </c>
      <c r="D301" s="348" t="str">
        <f>'Tab.G2.1-3'!$D$72</f>
        <v>[km]</v>
      </c>
      <c r="E301" s="429"/>
      <c r="F301" s="430"/>
      <c r="G301" s="430"/>
      <c r="H301" s="430"/>
      <c r="I301" s="430"/>
      <c r="J301" s="430"/>
      <c r="K301" s="430"/>
      <c r="L301" s="431"/>
      <c r="M301" s="432">
        <f>SUM(E301:L301)</f>
        <v>0</v>
      </c>
    </row>
    <row r="302" spans="2:13" ht="16.5" thickBot="1">
      <c r="B302" s="592" t="str">
        <f>"13"</f>
        <v>13</v>
      </c>
      <c r="C302" s="265" t="s">
        <v>76</v>
      </c>
      <c r="D302" s="350" t="str">
        <f>'Tab.G2.1-3'!$D$72</f>
        <v>[km]</v>
      </c>
      <c r="E302" s="438"/>
      <c r="F302" s="439"/>
      <c r="G302" s="439"/>
      <c r="H302" s="439"/>
      <c r="I302" s="439"/>
      <c r="J302" s="439"/>
      <c r="K302" s="439"/>
      <c r="L302" s="440"/>
      <c r="M302" s="441">
        <f>SUM(E302:L302)</f>
        <v>0</v>
      </c>
    </row>
    <row r="303" spans="2:13" ht="16.5" thickBot="1">
      <c r="B303" s="365" t="str">
        <f>"14"</f>
        <v>14</v>
      </c>
      <c r="C303" s="339" t="s">
        <v>121</v>
      </c>
      <c r="D303" s="345" t="str">
        <f>'Tab.G2.1-3'!$D$72</f>
        <v>[km]</v>
      </c>
      <c r="E303" s="418">
        <f>SUM(E304,E309,E314)</f>
        <v>0</v>
      </c>
      <c r="F303" s="419">
        <f>SUM(F304,F309,F314)</f>
        <v>0</v>
      </c>
      <c r="G303" s="419">
        <f t="shared" ref="G303:K303" si="117">SUM(G304,G309,G314)</f>
        <v>0</v>
      </c>
      <c r="H303" s="419">
        <f t="shared" si="117"/>
        <v>0</v>
      </c>
      <c r="I303" s="419">
        <f t="shared" si="117"/>
        <v>0</v>
      </c>
      <c r="J303" s="419">
        <f t="shared" si="117"/>
        <v>0</v>
      </c>
      <c r="K303" s="419">
        <f t="shared" si="117"/>
        <v>0</v>
      </c>
      <c r="L303" s="420">
        <f>SUM(L304,L309,L314)</f>
        <v>0</v>
      </c>
      <c r="M303" s="421">
        <f>SUM(M304,M309,M314)</f>
        <v>0</v>
      </c>
    </row>
    <row r="304" spans="2:13">
      <c r="B304" s="588" t="str">
        <f>"15"</f>
        <v>15</v>
      </c>
      <c r="C304" s="344" t="s">
        <v>72</v>
      </c>
      <c r="D304" s="346" t="str">
        <f>'Tab.G2.1-3'!$D$72</f>
        <v>[km]</v>
      </c>
      <c r="E304" s="422">
        <f>SUM(E305:E308)</f>
        <v>0</v>
      </c>
      <c r="F304" s="423">
        <f>SUM(F305:F308)</f>
        <v>0</v>
      </c>
      <c r="G304" s="423">
        <f t="shared" ref="G304:K304" si="118">SUM(G305:G308)</f>
        <v>0</v>
      </c>
      <c r="H304" s="423">
        <f t="shared" si="118"/>
        <v>0</v>
      </c>
      <c r="I304" s="423">
        <f t="shared" si="118"/>
        <v>0</v>
      </c>
      <c r="J304" s="423">
        <f t="shared" si="118"/>
        <v>0</v>
      </c>
      <c r="K304" s="423">
        <f t="shared" si="118"/>
        <v>0</v>
      </c>
      <c r="L304" s="424">
        <f>SUM(L305:L308)</f>
        <v>0</v>
      </c>
      <c r="M304" s="417">
        <f>SUM(M305:M308)</f>
        <v>0</v>
      </c>
    </row>
    <row r="305" spans="2:13">
      <c r="B305" s="589" t="str">
        <f>"16"</f>
        <v>16</v>
      </c>
      <c r="C305" s="260" t="s">
        <v>78</v>
      </c>
      <c r="D305" s="347" t="str">
        <f>'Tab.G2.1-3'!$D$72</f>
        <v>[km]</v>
      </c>
      <c r="E305" s="425"/>
      <c r="F305" s="426"/>
      <c r="G305" s="426"/>
      <c r="H305" s="426"/>
      <c r="I305" s="426"/>
      <c r="J305" s="426"/>
      <c r="K305" s="426"/>
      <c r="L305" s="427"/>
      <c r="M305" s="428">
        <f>SUM(E305:L305)</f>
        <v>0</v>
      </c>
    </row>
    <row r="306" spans="2:13">
      <c r="B306" s="590" t="str">
        <f>"17"</f>
        <v>17</v>
      </c>
      <c r="C306" s="261" t="s">
        <v>75</v>
      </c>
      <c r="D306" s="348" t="str">
        <f>'Tab.G2.1-3'!$D$72</f>
        <v>[km]</v>
      </c>
      <c r="E306" s="429"/>
      <c r="F306" s="430"/>
      <c r="G306" s="430"/>
      <c r="H306" s="430"/>
      <c r="I306" s="430"/>
      <c r="J306" s="430"/>
      <c r="K306" s="430"/>
      <c r="L306" s="431"/>
      <c r="M306" s="432">
        <f>SUM(E306:L306)</f>
        <v>0</v>
      </c>
    </row>
    <row r="307" spans="2:13">
      <c r="B307" s="590" t="str">
        <f>"18"</f>
        <v>18</v>
      </c>
      <c r="C307" s="262" t="s">
        <v>79</v>
      </c>
      <c r="D307" s="348" t="str">
        <f>'Tab.G2.1-3'!$D$72</f>
        <v>[km]</v>
      </c>
      <c r="E307" s="429"/>
      <c r="F307" s="430"/>
      <c r="G307" s="430"/>
      <c r="H307" s="430"/>
      <c r="I307" s="430"/>
      <c r="J307" s="430"/>
      <c r="K307" s="430"/>
      <c r="L307" s="431"/>
      <c r="M307" s="432">
        <f>SUM(E307:L307)</f>
        <v>0</v>
      </c>
    </row>
    <row r="308" spans="2:13">
      <c r="B308" s="591" t="str">
        <f>"19"</f>
        <v>19</v>
      </c>
      <c r="C308" s="264" t="s">
        <v>80</v>
      </c>
      <c r="D308" s="349" t="str">
        <f>'Tab.G2.1-3'!$D$72</f>
        <v>[km]</v>
      </c>
      <c r="E308" s="433"/>
      <c r="F308" s="434"/>
      <c r="G308" s="434"/>
      <c r="H308" s="434"/>
      <c r="I308" s="434"/>
      <c r="J308" s="434"/>
      <c r="K308" s="434"/>
      <c r="L308" s="435"/>
      <c r="M308" s="436">
        <f>SUM(E308:L308)</f>
        <v>0</v>
      </c>
    </row>
    <row r="309" spans="2:13">
      <c r="B309" s="588" t="str">
        <f>"20"</f>
        <v>20</v>
      </c>
      <c r="C309" s="344" t="s">
        <v>77</v>
      </c>
      <c r="D309" s="346" t="str">
        <f>'Tab.G2.1-3'!$D$72</f>
        <v>[km]</v>
      </c>
      <c r="E309" s="422">
        <f t="shared" ref="E309:M309" si="119">SUM(E310:E313)</f>
        <v>0</v>
      </c>
      <c r="F309" s="423">
        <f t="shared" si="119"/>
        <v>0</v>
      </c>
      <c r="G309" s="423">
        <f t="shared" si="119"/>
        <v>0</v>
      </c>
      <c r="H309" s="423">
        <f t="shared" si="119"/>
        <v>0</v>
      </c>
      <c r="I309" s="423">
        <f t="shared" si="119"/>
        <v>0</v>
      </c>
      <c r="J309" s="423">
        <f t="shared" si="119"/>
        <v>0</v>
      </c>
      <c r="K309" s="423">
        <f t="shared" si="119"/>
        <v>0</v>
      </c>
      <c r="L309" s="424">
        <f t="shared" si="119"/>
        <v>0</v>
      </c>
      <c r="M309" s="437">
        <f t="shared" si="119"/>
        <v>0</v>
      </c>
    </row>
    <row r="310" spans="2:13">
      <c r="B310" s="589" t="str">
        <f>"21"</f>
        <v>21</v>
      </c>
      <c r="C310" s="260" t="s">
        <v>78</v>
      </c>
      <c r="D310" s="347" t="str">
        <f>'Tab.G2.1-3'!$D$72</f>
        <v>[km]</v>
      </c>
      <c r="E310" s="425"/>
      <c r="F310" s="426"/>
      <c r="G310" s="426"/>
      <c r="H310" s="426"/>
      <c r="I310" s="426"/>
      <c r="J310" s="426"/>
      <c r="K310" s="426"/>
      <c r="L310" s="427"/>
      <c r="M310" s="428">
        <f>SUM(E310:L310)</f>
        <v>0</v>
      </c>
    </row>
    <row r="311" spans="2:13">
      <c r="B311" s="590" t="str">
        <f>"22"</f>
        <v>22</v>
      </c>
      <c r="C311" s="261" t="s">
        <v>75</v>
      </c>
      <c r="D311" s="348" t="str">
        <f>'Tab.G2.1-3'!$D$72</f>
        <v>[km]</v>
      </c>
      <c r="E311" s="429"/>
      <c r="F311" s="430"/>
      <c r="G311" s="430"/>
      <c r="H311" s="430"/>
      <c r="I311" s="430"/>
      <c r="J311" s="430"/>
      <c r="K311" s="430"/>
      <c r="L311" s="431"/>
      <c r="M311" s="432">
        <f>SUM(E311:L311)</f>
        <v>0</v>
      </c>
    </row>
    <row r="312" spans="2:13">
      <c r="B312" s="590" t="str">
        <f>"23"</f>
        <v>23</v>
      </c>
      <c r="C312" s="262" t="s">
        <v>79</v>
      </c>
      <c r="D312" s="348" t="str">
        <f>'Tab.G2.1-3'!$D$72</f>
        <v>[km]</v>
      </c>
      <c r="E312" s="429"/>
      <c r="F312" s="430"/>
      <c r="G312" s="430"/>
      <c r="H312" s="430"/>
      <c r="I312" s="430"/>
      <c r="J312" s="430"/>
      <c r="K312" s="430"/>
      <c r="L312" s="431"/>
      <c r="M312" s="432">
        <f>SUM(E312:L312)</f>
        <v>0</v>
      </c>
    </row>
    <row r="313" spans="2:13">
      <c r="B313" s="591" t="str">
        <f>"24"</f>
        <v>24</v>
      </c>
      <c r="C313" s="264" t="s">
        <v>80</v>
      </c>
      <c r="D313" s="349" t="str">
        <f>'Tab.G2.1-3'!$D$72</f>
        <v>[km]</v>
      </c>
      <c r="E313" s="433"/>
      <c r="F313" s="434"/>
      <c r="G313" s="434"/>
      <c r="H313" s="434"/>
      <c r="I313" s="434"/>
      <c r="J313" s="434"/>
      <c r="K313" s="434"/>
      <c r="L313" s="435"/>
      <c r="M313" s="436">
        <f>SUM(E313:L313)</f>
        <v>0</v>
      </c>
    </row>
    <row r="314" spans="2:13">
      <c r="B314" s="588" t="str">
        <f>"25"</f>
        <v>25</v>
      </c>
      <c r="C314" s="344" t="s">
        <v>167</v>
      </c>
      <c r="D314" s="346" t="str">
        <f>'Tab.G2.1-3'!$D$72</f>
        <v>[km]</v>
      </c>
      <c r="E314" s="422">
        <f>SUM(E315:E318)</f>
        <v>0</v>
      </c>
      <c r="F314" s="423">
        <f>SUM(F315:F318)</f>
        <v>0</v>
      </c>
      <c r="G314" s="423">
        <f t="shared" ref="G314:K314" si="120">SUM(G315:G318)</f>
        <v>0</v>
      </c>
      <c r="H314" s="423">
        <f t="shared" si="120"/>
        <v>0</v>
      </c>
      <c r="I314" s="423">
        <f t="shared" si="120"/>
        <v>0</v>
      </c>
      <c r="J314" s="423">
        <f t="shared" si="120"/>
        <v>0</v>
      </c>
      <c r="K314" s="423">
        <f t="shared" si="120"/>
        <v>0</v>
      </c>
      <c r="L314" s="424">
        <f>SUM(L315:L318)</f>
        <v>0</v>
      </c>
      <c r="M314" s="437">
        <f>SUM(M315:M318)</f>
        <v>0</v>
      </c>
    </row>
    <row r="315" spans="2:13">
      <c r="B315" s="589" t="str">
        <f>"26"</f>
        <v>26</v>
      </c>
      <c r="C315" s="260" t="s">
        <v>78</v>
      </c>
      <c r="D315" s="347" t="str">
        <f>'Tab.G2.1-3'!$D$72</f>
        <v>[km]</v>
      </c>
      <c r="E315" s="425"/>
      <c r="F315" s="426"/>
      <c r="G315" s="426"/>
      <c r="H315" s="426"/>
      <c r="I315" s="426"/>
      <c r="J315" s="426"/>
      <c r="K315" s="426"/>
      <c r="L315" s="427"/>
      <c r="M315" s="428">
        <f>SUM(E315:L315)</f>
        <v>0</v>
      </c>
    </row>
    <row r="316" spans="2:13">
      <c r="B316" s="590" t="str">
        <f>"27"</f>
        <v>27</v>
      </c>
      <c r="C316" s="261" t="s">
        <v>75</v>
      </c>
      <c r="D316" s="348" t="str">
        <f>'Tab.G2.1-3'!$D$72</f>
        <v>[km]</v>
      </c>
      <c r="E316" s="429"/>
      <c r="F316" s="430"/>
      <c r="G316" s="430"/>
      <c r="H316" s="430"/>
      <c r="I316" s="430"/>
      <c r="J316" s="430"/>
      <c r="K316" s="430"/>
      <c r="L316" s="431"/>
      <c r="M316" s="432">
        <f>SUM(E316:L316)</f>
        <v>0</v>
      </c>
    </row>
    <row r="317" spans="2:13">
      <c r="B317" s="590" t="str">
        <f>"28"</f>
        <v>28</v>
      </c>
      <c r="C317" s="262" t="s">
        <v>79</v>
      </c>
      <c r="D317" s="348" t="str">
        <f>'Tab.G2.1-3'!$D$72</f>
        <v>[km]</v>
      </c>
      <c r="E317" s="429"/>
      <c r="F317" s="430"/>
      <c r="G317" s="430"/>
      <c r="H317" s="430"/>
      <c r="I317" s="430"/>
      <c r="J317" s="430"/>
      <c r="K317" s="430"/>
      <c r="L317" s="431"/>
      <c r="M317" s="432">
        <f>SUM(E317:L317)</f>
        <v>0</v>
      </c>
    </row>
    <row r="318" spans="2:13" ht="16.5" thickBot="1">
      <c r="B318" s="592" t="str">
        <f>"29"</f>
        <v>29</v>
      </c>
      <c r="C318" s="265" t="s">
        <v>80</v>
      </c>
      <c r="D318" s="350" t="str">
        <f>'Tab.G2.1-3'!$D$72</f>
        <v>[km]</v>
      </c>
      <c r="E318" s="438"/>
      <c r="F318" s="439"/>
      <c r="G318" s="439"/>
      <c r="H318" s="439"/>
      <c r="I318" s="439"/>
      <c r="J318" s="439"/>
      <c r="K318" s="439"/>
      <c r="L318" s="440"/>
      <c r="M318" s="441">
        <f>SUM(E318:L318)</f>
        <v>0</v>
      </c>
    </row>
    <row r="319" spans="2:13" ht="16.5" thickBot="1">
      <c r="B319" s="365" t="str">
        <f>"30"</f>
        <v>30</v>
      </c>
      <c r="C319" s="339" t="s">
        <v>168</v>
      </c>
      <c r="D319" s="345" t="str">
        <f>'Tab.G2.1-3'!$D$72</f>
        <v>[km]</v>
      </c>
      <c r="E319" s="418"/>
      <c r="F319" s="419"/>
      <c r="G319" s="419"/>
      <c r="H319" s="419"/>
      <c r="I319" s="419"/>
      <c r="J319" s="419"/>
      <c r="K319" s="419"/>
      <c r="L319" s="420"/>
      <c r="M319" s="421">
        <f t="shared" ref="M319" si="121">SUM(E319:L319)</f>
        <v>0</v>
      </c>
    </row>
    <row r="320" spans="2:13" ht="16.5" thickBot="1">
      <c r="B320" s="365" t="str">
        <f>"31"</f>
        <v>31</v>
      </c>
      <c r="C320" s="339" t="s">
        <v>189</v>
      </c>
      <c r="D320" s="345" t="str">
        <f>'Tab.G2.1-3'!$D$72</f>
        <v>[km]</v>
      </c>
      <c r="E320" s="418">
        <f>SUM(E321,E326)</f>
        <v>0</v>
      </c>
      <c r="F320" s="442">
        <f>SUM(F321,F326)</f>
        <v>0</v>
      </c>
      <c r="G320" s="442">
        <f t="shared" ref="G320:K320" si="122">SUM(G321,G326)</f>
        <v>0</v>
      </c>
      <c r="H320" s="442">
        <f t="shared" si="122"/>
        <v>0</v>
      </c>
      <c r="I320" s="442">
        <f t="shared" si="122"/>
        <v>0</v>
      </c>
      <c r="J320" s="442">
        <f t="shared" si="122"/>
        <v>0</v>
      </c>
      <c r="K320" s="442">
        <f t="shared" si="122"/>
        <v>0</v>
      </c>
      <c r="L320" s="443">
        <f>SUM(L321,L326)</f>
        <v>0</v>
      </c>
      <c r="M320" s="421">
        <f>SUM(M321,M326)</f>
        <v>0</v>
      </c>
    </row>
    <row r="321" spans="2:13">
      <c r="B321" s="366" t="str">
        <f>"32"</f>
        <v>32</v>
      </c>
      <c r="C321" s="344" t="s">
        <v>72</v>
      </c>
      <c r="D321" s="351" t="str">
        <f>'Tab.G2.1-3'!$D$72</f>
        <v>[km]</v>
      </c>
      <c r="E321" s="444">
        <f>SUM(E322:E325)</f>
        <v>0</v>
      </c>
      <c r="F321" s="445">
        <f>SUM(F322:F325)</f>
        <v>0</v>
      </c>
      <c r="G321" s="445">
        <f t="shared" ref="G321:K321" si="123">SUM(G322:G325)</f>
        <v>0</v>
      </c>
      <c r="H321" s="445">
        <f t="shared" si="123"/>
        <v>0</v>
      </c>
      <c r="I321" s="445">
        <f t="shared" si="123"/>
        <v>0</v>
      </c>
      <c r="J321" s="445">
        <f t="shared" si="123"/>
        <v>0</v>
      </c>
      <c r="K321" s="445">
        <f t="shared" si="123"/>
        <v>0</v>
      </c>
      <c r="L321" s="446">
        <f>SUM(L322:L325)</f>
        <v>0</v>
      </c>
      <c r="M321" s="437">
        <f>SUM(M322:M325)</f>
        <v>0</v>
      </c>
    </row>
    <row r="322" spans="2:13">
      <c r="B322" s="593" t="str">
        <f>"33"</f>
        <v>33</v>
      </c>
      <c r="C322" s="263" t="s">
        <v>81</v>
      </c>
      <c r="D322" s="352" t="str">
        <f>'Tab.G2.1-3'!$D$72</f>
        <v>[km]</v>
      </c>
      <c r="E322" s="447"/>
      <c r="F322" s="448"/>
      <c r="G322" s="448"/>
      <c r="H322" s="448"/>
      <c r="I322" s="448"/>
      <c r="J322" s="448"/>
      <c r="K322" s="448"/>
      <c r="L322" s="449"/>
      <c r="M322" s="428">
        <f>SUM(E322:L322)</f>
        <v>0</v>
      </c>
    </row>
    <row r="323" spans="2:13">
      <c r="B323" s="594" t="str">
        <f>"34"</f>
        <v>34</v>
      </c>
      <c r="C323" s="262" t="s">
        <v>82</v>
      </c>
      <c r="D323" s="353" t="str">
        <f>'Tab.G2.1-3'!$D$72</f>
        <v>[km]</v>
      </c>
      <c r="E323" s="450"/>
      <c r="F323" s="451"/>
      <c r="G323" s="451"/>
      <c r="H323" s="451"/>
      <c r="I323" s="451"/>
      <c r="J323" s="451"/>
      <c r="K323" s="451"/>
      <c r="L323" s="452"/>
      <c r="M323" s="432">
        <f>SUM(E323:L323)</f>
        <v>0</v>
      </c>
    </row>
    <row r="324" spans="2:13">
      <c r="B324" s="594" t="str">
        <f>"35"</f>
        <v>35</v>
      </c>
      <c r="C324" s="262" t="s">
        <v>83</v>
      </c>
      <c r="D324" s="353" t="str">
        <f>'Tab.G2.1-3'!$D$72</f>
        <v>[km]</v>
      </c>
      <c r="E324" s="450"/>
      <c r="F324" s="451"/>
      <c r="G324" s="451"/>
      <c r="H324" s="451"/>
      <c r="I324" s="451"/>
      <c r="J324" s="451"/>
      <c r="K324" s="451"/>
      <c r="L324" s="452"/>
      <c r="M324" s="432">
        <f>SUM(E324:L324)</f>
        <v>0</v>
      </c>
    </row>
    <row r="325" spans="2:13">
      <c r="B325" s="595" t="str">
        <f>"36"</f>
        <v>36</v>
      </c>
      <c r="C325" s="264" t="s">
        <v>84</v>
      </c>
      <c r="D325" s="354" t="str">
        <f>'Tab.G2.1-3'!$D$72</f>
        <v>[km]</v>
      </c>
      <c r="E325" s="453"/>
      <c r="F325" s="454"/>
      <c r="G325" s="454"/>
      <c r="H325" s="454"/>
      <c r="I325" s="454"/>
      <c r="J325" s="454"/>
      <c r="K325" s="454"/>
      <c r="L325" s="455"/>
      <c r="M325" s="436">
        <f>SUM(E325:L325)</f>
        <v>0</v>
      </c>
    </row>
    <row r="326" spans="2:13">
      <c r="B326" s="596" t="str">
        <f>"37"</f>
        <v>37</v>
      </c>
      <c r="C326" s="344" t="s">
        <v>77</v>
      </c>
      <c r="D326" s="351" t="str">
        <f>'Tab.G2.1-3'!$D$72</f>
        <v>[km]</v>
      </c>
      <c r="E326" s="444">
        <f>SUM(E327:E330)</f>
        <v>0</v>
      </c>
      <c r="F326" s="445">
        <f>SUM(F327:F330)</f>
        <v>0</v>
      </c>
      <c r="G326" s="445">
        <f t="shared" ref="G326:K326" si="124">SUM(G327:G330)</f>
        <v>0</v>
      </c>
      <c r="H326" s="445">
        <f t="shared" si="124"/>
        <v>0</v>
      </c>
      <c r="I326" s="445">
        <f t="shared" si="124"/>
        <v>0</v>
      </c>
      <c r="J326" s="445">
        <f t="shared" si="124"/>
        <v>0</v>
      </c>
      <c r="K326" s="445">
        <f t="shared" si="124"/>
        <v>0</v>
      </c>
      <c r="L326" s="446">
        <f>SUM(L327:L330)</f>
        <v>0</v>
      </c>
      <c r="M326" s="437">
        <f>SUM(M327:M330)</f>
        <v>0</v>
      </c>
    </row>
    <row r="327" spans="2:13">
      <c r="B327" s="593" t="str">
        <f>"38"</f>
        <v>38</v>
      </c>
      <c r="C327" s="263" t="s">
        <v>81</v>
      </c>
      <c r="D327" s="352" t="str">
        <f>'Tab.G2.1-3'!$D$72</f>
        <v>[km]</v>
      </c>
      <c r="E327" s="447"/>
      <c r="F327" s="448"/>
      <c r="G327" s="448"/>
      <c r="H327" s="448"/>
      <c r="I327" s="448"/>
      <c r="J327" s="448"/>
      <c r="K327" s="448"/>
      <c r="L327" s="449"/>
      <c r="M327" s="428">
        <f>SUM(E327:L327)</f>
        <v>0</v>
      </c>
    </row>
    <row r="328" spans="2:13">
      <c r="B328" s="594" t="str">
        <f>"39"</f>
        <v>39</v>
      </c>
      <c r="C328" s="262" t="s">
        <v>82</v>
      </c>
      <c r="D328" s="353" t="str">
        <f>'Tab.G2.1-3'!$D$72</f>
        <v>[km]</v>
      </c>
      <c r="E328" s="450"/>
      <c r="F328" s="451"/>
      <c r="G328" s="451"/>
      <c r="H328" s="451"/>
      <c r="I328" s="451"/>
      <c r="J328" s="451"/>
      <c r="K328" s="451"/>
      <c r="L328" s="452"/>
      <c r="M328" s="432">
        <f>SUM(E328:L328)</f>
        <v>0</v>
      </c>
    </row>
    <row r="329" spans="2:13">
      <c r="B329" s="594" t="str">
        <f>"40"</f>
        <v>40</v>
      </c>
      <c r="C329" s="262" t="s">
        <v>83</v>
      </c>
      <c r="D329" s="353" t="str">
        <f>'Tab.G2.1-3'!$D$72</f>
        <v>[km]</v>
      </c>
      <c r="E329" s="450"/>
      <c r="F329" s="451"/>
      <c r="G329" s="451"/>
      <c r="H329" s="451"/>
      <c r="I329" s="451"/>
      <c r="J329" s="451"/>
      <c r="K329" s="451"/>
      <c r="L329" s="452"/>
      <c r="M329" s="432">
        <f>SUM(E329:L329)</f>
        <v>0</v>
      </c>
    </row>
    <row r="330" spans="2:13" ht="16.5" thickBot="1">
      <c r="B330" s="597" t="str">
        <f>"41"</f>
        <v>41</v>
      </c>
      <c r="C330" s="265" t="s">
        <v>84</v>
      </c>
      <c r="D330" s="355" t="str">
        <f>'Tab.G2.1-3'!$D$72</f>
        <v>[km]</v>
      </c>
      <c r="E330" s="456"/>
      <c r="F330" s="457"/>
      <c r="G330" s="457"/>
      <c r="H330" s="457"/>
      <c r="I330" s="457"/>
      <c r="J330" s="457"/>
      <c r="K330" s="457"/>
      <c r="L330" s="458"/>
      <c r="M330" s="441">
        <f>SUM(E330:L330)</f>
        <v>0</v>
      </c>
    </row>
    <row r="331" spans="2:13" ht="16.5" thickBot="1">
      <c r="B331" s="551" t="str">
        <f>"42"</f>
        <v>42</v>
      </c>
      <c r="C331" s="552" t="s">
        <v>113</v>
      </c>
      <c r="D331" s="553" t="str">
        <f>'Tab.G2.1-3'!$D$106</f>
        <v>[szt.]</v>
      </c>
      <c r="E331" s="554">
        <f>SUM(E332,E336,E340,E344:E346)</f>
        <v>0</v>
      </c>
      <c r="F331" s="555">
        <f>SUM(F332,F336,F340,F344:F346)</f>
        <v>0</v>
      </c>
      <c r="G331" s="555">
        <f t="shared" ref="G331:K331" si="125">SUM(G332,G336,G340,G344:G346)</f>
        <v>0</v>
      </c>
      <c r="H331" s="555">
        <f t="shared" si="125"/>
        <v>0</v>
      </c>
      <c r="I331" s="555">
        <f t="shared" si="125"/>
        <v>0</v>
      </c>
      <c r="J331" s="555">
        <f t="shared" si="125"/>
        <v>0</v>
      </c>
      <c r="K331" s="555">
        <f t="shared" si="125"/>
        <v>0</v>
      </c>
      <c r="L331" s="556">
        <f>SUM(L332,L336,L340,L344:L346)</f>
        <v>0</v>
      </c>
      <c r="M331" s="368">
        <f>SUM(M332,M336,M340,M344:M346)</f>
        <v>0</v>
      </c>
    </row>
    <row r="332" spans="2:13">
      <c r="B332" s="598" t="str">
        <f>"43"</f>
        <v>43</v>
      </c>
      <c r="C332" s="342" t="s">
        <v>191</v>
      </c>
      <c r="D332" s="356" t="str">
        <f>'Tab.G2.1-3'!$D$106</f>
        <v>[szt.]</v>
      </c>
      <c r="E332" s="369">
        <f>SUM(E333:E335)</f>
        <v>0</v>
      </c>
      <c r="F332" s="370">
        <f>SUM(F333:F335)</f>
        <v>0</v>
      </c>
      <c r="G332" s="370">
        <f t="shared" ref="G332:K332" si="126">SUM(G333:G335)</f>
        <v>0</v>
      </c>
      <c r="H332" s="370">
        <f t="shared" si="126"/>
        <v>0</v>
      </c>
      <c r="I332" s="370">
        <f t="shared" si="126"/>
        <v>0</v>
      </c>
      <c r="J332" s="370">
        <f t="shared" si="126"/>
        <v>0</v>
      </c>
      <c r="K332" s="370">
        <f t="shared" si="126"/>
        <v>0</v>
      </c>
      <c r="L332" s="371">
        <f>SUM(L333:L335)</f>
        <v>0</v>
      </c>
      <c r="M332" s="372">
        <f>SUM(M333:M335)</f>
        <v>0</v>
      </c>
    </row>
    <row r="333" spans="2:13">
      <c r="B333" s="589" t="str">
        <f>"44"</f>
        <v>44</v>
      </c>
      <c r="C333" s="260" t="s">
        <v>85</v>
      </c>
      <c r="D333" s="352" t="str">
        <f>'Tab.G2.1-3'!$D$106</f>
        <v>[szt.]</v>
      </c>
      <c r="E333" s="373"/>
      <c r="F333" s="374"/>
      <c r="G333" s="374"/>
      <c r="H333" s="374"/>
      <c r="I333" s="374"/>
      <c r="J333" s="374"/>
      <c r="K333" s="374"/>
      <c r="L333" s="375"/>
      <c r="M333" s="376">
        <f>SUM(E333:L333)</f>
        <v>0</v>
      </c>
    </row>
    <row r="334" spans="2:13">
      <c r="B334" s="590" t="str">
        <f>"45"</f>
        <v>45</v>
      </c>
      <c r="C334" s="261" t="s">
        <v>86</v>
      </c>
      <c r="D334" s="353" t="str">
        <f>'Tab.G2.1-3'!$D$106</f>
        <v>[szt.]</v>
      </c>
      <c r="E334" s="377"/>
      <c r="F334" s="378"/>
      <c r="G334" s="378"/>
      <c r="H334" s="378"/>
      <c r="I334" s="378"/>
      <c r="J334" s="378"/>
      <c r="K334" s="378"/>
      <c r="L334" s="379"/>
      <c r="M334" s="380">
        <f>SUM(E334:L334)</f>
        <v>0</v>
      </c>
    </row>
    <row r="335" spans="2:13">
      <c r="B335" s="591" t="str">
        <f>"46"</f>
        <v>46</v>
      </c>
      <c r="C335" s="269" t="s">
        <v>87</v>
      </c>
      <c r="D335" s="354" t="str">
        <f>'Tab.G2.1-3'!$D$106</f>
        <v>[szt.]</v>
      </c>
      <c r="E335" s="381"/>
      <c r="F335" s="382"/>
      <c r="G335" s="382"/>
      <c r="H335" s="382"/>
      <c r="I335" s="382"/>
      <c r="J335" s="382"/>
      <c r="K335" s="382"/>
      <c r="L335" s="383"/>
      <c r="M335" s="384">
        <f>SUM(E335:L335)</f>
        <v>0</v>
      </c>
    </row>
    <row r="336" spans="2:13">
      <c r="B336" s="599" t="str">
        <f>"47"</f>
        <v>47</v>
      </c>
      <c r="C336" s="342" t="s">
        <v>192</v>
      </c>
      <c r="D336" s="357" t="str">
        <f>'Tab.G2.1-3'!$D$106</f>
        <v>[szt.]</v>
      </c>
      <c r="E336" s="385">
        <f t="shared" ref="E336:M336" si="127">SUM(E337:E339)</f>
        <v>0</v>
      </c>
      <c r="F336" s="386">
        <f t="shared" si="127"/>
        <v>0</v>
      </c>
      <c r="G336" s="386">
        <f t="shared" si="127"/>
        <v>0</v>
      </c>
      <c r="H336" s="386">
        <f t="shared" si="127"/>
        <v>0</v>
      </c>
      <c r="I336" s="386">
        <f t="shared" si="127"/>
        <v>0</v>
      </c>
      <c r="J336" s="386">
        <f t="shared" si="127"/>
        <v>0</v>
      </c>
      <c r="K336" s="386">
        <f t="shared" si="127"/>
        <v>0</v>
      </c>
      <c r="L336" s="387">
        <f t="shared" si="127"/>
        <v>0</v>
      </c>
      <c r="M336" s="388">
        <f t="shared" si="127"/>
        <v>0</v>
      </c>
    </row>
    <row r="337" spans="2:13">
      <c r="B337" s="589" t="str">
        <f>"48"</f>
        <v>48</v>
      </c>
      <c r="C337" s="260" t="s">
        <v>88</v>
      </c>
      <c r="D337" s="352" t="str">
        <f>'Tab.G2.1-3'!$D$106</f>
        <v>[szt.]</v>
      </c>
      <c r="E337" s="373"/>
      <c r="F337" s="374"/>
      <c r="G337" s="374"/>
      <c r="H337" s="374"/>
      <c r="I337" s="374"/>
      <c r="J337" s="374"/>
      <c r="K337" s="374"/>
      <c r="L337" s="375"/>
      <c r="M337" s="376">
        <f>SUM(E337:L337)</f>
        <v>0</v>
      </c>
    </row>
    <row r="338" spans="2:13">
      <c r="B338" s="590" t="str">
        <f>"49"</f>
        <v>49</v>
      </c>
      <c r="C338" s="262" t="s">
        <v>89</v>
      </c>
      <c r="D338" s="353" t="str">
        <f>'Tab.G2.1-3'!$D$106</f>
        <v>[szt.]</v>
      </c>
      <c r="E338" s="377"/>
      <c r="F338" s="378"/>
      <c r="G338" s="378"/>
      <c r="H338" s="378"/>
      <c r="I338" s="378"/>
      <c r="J338" s="378"/>
      <c r="K338" s="378"/>
      <c r="L338" s="379"/>
      <c r="M338" s="380">
        <f>SUM(E338:L338)</f>
        <v>0</v>
      </c>
    </row>
    <row r="339" spans="2:13">
      <c r="B339" s="591" t="str">
        <f>"50"</f>
        <v>50</v>
      </c>
      <c r="C339" s="269" t="s">
        <v>90</v>
      </c>
      <c r="D339" s="354" t="str">
        <f>'Tab.G2.1-3'!$D$106</f>
        <v>[szt.]</v>
      </c>
      <c r="E339" s="381"/>
      <c r="F339" s="382"/>
      <c r="G339" s="382"/>
      <c r="H339" s="382"/>
      <c r="I339" s="382"/>
      <c r="J339" s="382"/>
      <c r="K339" s="382"/>
      <c r="L339" s="383"/>
      <c r="M339" s="384">
        <f>SUM(E339:L339)</f>
        <v>0</v>
      </c>
    </row>
    <row r="340" spans="2:13">
      <c r="B340" s="599" t="str">
        <f>"51"</f>
        <v>51</v>
      </c>
      <c r="C340" s="342" t="s">
        <v>193</v>
      </c>
      <c r="D340" s="357" t="str">
        <f>'Tab.G2.1-3'!$D$106</f>
        <v>[szt.]</v>
      </c>
      <c r="E340" s="385">
        <f t="shared" ref="E340:M340" si="128">SUM(E341:E343)</f>
        <v>0</v>
      </c>
      <c r="F340" s="386">
        <f t="shared" si="128"/>
        <v>0</v>
      </c>
      <c r="G340" s="386">
        <f t="shared" si="128"/>
        <v>0</v>
      </c>
      <c r="H340" s="386">
        <f t="shared" si="128"/>
        <v>0</v>
      </c>
      <c r="I340" s="386">
        <f t="shared" si="128"/>
        <v>0</v>
      </c>
      <c r="J340" s="386">
        <f t="shared" si="128"/>
        <v>0</v>
      </c>
      <c r="K340" s="386">
        <f t="shared" si="128"/>
        <v>0</v>
      </c>
      <c r="L340" s="387">
        <f t="shared" si="128"/>
        <v>0</v>
      </c>
      <c r="M340" s="388">
        <f t="shared" si="128"/>
        <v>0</v>
      </c>
    </row>
    <row r="341" spans="2:13">
      <c r="B341" s="593" t="str">
        <f>"52"</f>
        <v>52</v>
      </c>
      <c r="C341" s="260" t="s">
        <v>88</v>
      </c>
      <c r="D341" s="352" t="str">
        <f>'Tab.G2.1-3'!$D$106</f>
        <v>[szt.]</v>
      </c>
      <c r="E341" s="389"/>
      <c r="F341" s="390"/>
      <c r="G341" s="390"/>
      <c r="H341" s="390"/>
      <c r="I341" s="390"/>
      <c r="J341" s="390"/>
      <c r="K341" s="390"/>
      <c r="L341" s="391"/>
      <c r="M341" s="376">
        <f t="shared" ref="M341:M346" si="129">SUM(E341:L341)</f>
        <v>0</v>
      </c>
    </row>
    <row r="342" spans="2:13">
      <c r="B342" s="594" t="str">
        <f>"53"</f>
        <v>53</v>
      </c>
      <c r="C342" s="262" t="s">
        <v>89</v>
      </c>
      <c r="D342" s="353" t="str">
        <f>'Tab.G2.1-3'!$D$106</f>
        <v>[szt.]</v>
      </c>
      <c r="E342" s="392"/>
      <c r="F342" s="393"/>
      <c r="G342" s="393"/>
      <c r="H342" s="393"/>
      <c r="I342" s="393"/>
      <c r="J342" s="393"/>
      <c r="K342" s="393"/>
      <c r="L342" s="394"/>
      <c r="M342" s="380">
        <f t="shared" si="129"/>
        <v>0</v>
      </c>
    </row>
    <row r="343" spans="2:13">
      <c r="B343" s="595" t="str">
        <f>"54"</f>
        <v>54</v>
      </c>
      <c r="C343" s="269" t="s">
        <v>90</v>
      </c>
      <c r="D343" s="354" t="str">
        <f>'Tab.G2.1-3'!$D$106</f>
        <v>[szt.]</v>
      </c>
      <c r="E343" s="395"/>
      <c r="F343" s="396"/>
      <c r="G343" s="396"/>
      <c r="H343" s="396"/>
      <c r="I343" s="396"/>
      <c r="J343" s="396"/>
      <c r="K343" s="396"/>
      <c r="L343" s="397"/>
      <c r="M343" s="384">
        <f t="shared" si="129"/>
        <v>0</v>
      </c>
    </row>
    <row r="344" spans="2:13">
      <c r="B344" s="600" t="str">
        <f>"55"</f>
        <v>55</v>
      </c>
      <c r="C344" s="341" t="s">
        <v>194</v>
      </c>
      <c r="D344" s="358" t="str">
        <f>'Tab.G2.1-3'!$D$106</f>
        <v>[szt.]</v>
      </c>
      <c r="E344" s="398"/>
      <c r="F344" s="399"/>
      <c r="G344" s="399"/>
      <c r="H344" s="399"/>
      <c r="I344" s="399"/>
      <c r="J344" s="399"/>
      <c r="K344" s="399"/>
      <c r="L344" s="400"/>
      <c r="M344" s="401">
        <f t="shared" si="129"/>
        <v>0</v>
      </c>
    </row>
    <row r="345" spans="2:13">
      <c r="B345" s="600" t="str">
        <f>"56"</f>
        <v>56</v>
      </c>
      <c r="C345" s="341" t="s">
        <v>195</v>
      </c>
      <c r="D345" s="358" t="str">
        <f>'Tab.G2.1-3'!$D$106</f>
        <v>[szt.]</v>
      </c>
      <c r="E345" s="398"/>
      <c r="F345" s="399"/>
      <c r="G345" s="399"/>
      <c r="H345" s="399"/>
      <c r="I345" s="399"/>
      <c r="J345" s="399"/>
      <c r="K345" s="399"/>
      <c r="L345" s="400"/>
      <c r="M345" s="401">
        <f t="shared" si="129"/>
        <v>0</v>
      </c>
    </row>
    <row r="346" spans="2:13" ht="16.5" thickBot="1">
      <c r="B346" s="367" t="str">
        <f>"57"</f>
        <v>57</v>
      </c>
      <c r="C346" s="343" t="s">
        <v>190</v>
      </c>
      <c r="D346" s="359" t="str">
        <f>'Tab.G2.1-3'!$D$106</f>
        <v>[szt.]</v>
      </c>
      <c r="E346" s="402"/>
      <c r="F346" s="403"/>
      <c r="G346" s="403"/>
      <c r="H346" s="403"/>
      <c r="I346" s="403"/>
      <c r="J346" s="403"/>
      <c r="K346" s="403"/>
      <c r="L346" s="404"/>
      <c r="M346" s="405">
        <f t="shared" si="129"/>
        <v>0</v>
      </c>
    </row>
    <row r="347" spans="2:13" ht="16.5" thickBot="1">
      <c r="B347" s="557" t="str">
        <f>"58"</f>
        <v>58</v>
      </c>
      <c r="C347" s="552" t="s">
        <v>126</v>
      </c>
      <c r="D347" s="558" t="str">
        <f>'Tab.G2.1-3'!$D$106</f>
        <v>[szt.]</v>
      </c>
      <c r="E347" s="554">
        <f>SUM(E348,E351:E353)</f>
        <v>0</v>
      </c>
      <c r="F347" s="559">
        <f>SUM(F348,F351:F353)</f>
        <v>0</v>
      </c>
      <c r="G347" s="559">
        <f t="shared" ref="G347" si="130">SUM(G348,G351:G353)</f>
        <v>0</v>
      </c>
      <c r="H347" s="559">
        <f t="shared" ref="H347" si="131">SUM(H348,H351:H353)</f>
        <v>0</v>
      </c>
      <c r="I347" s="559">
        <f t="shared" ref="I347" si="132">SUM(I348,I351:I353)</f>
        <v>0</v>
      </c>
      <c r="J347" s="559">
        <f t="shared" ref="J347" si="133">SUM(J348,J351:J353)</f>
        <v>0</v>
      </c>
      <c r="K347" s="559">
        <f t="shared" ref="K347" si="134">SUM(K348,K351:K353)</f>
        <v>0</v>
      </c>
      <c r="L347" s="560">
        <f>SUM(L348,L351:L353)</f>
        <v>0</v>
      </c>
      <c r="M347" s="368">
        <f t="shared" ref="M347" si="135">SUM(M348:M352)</f>
        <v>0</v>
      </c>
    </row>
    <row r="348" spans="2:13">
      <c r="B348" s="601" t="str">
        <f>"59"</f>
        <v>59</v>
      </c>
      <c r="C348" s="340" t="s">
        <v>127</v>
      </c>
      <c r="D348" s="360" t="str">
        <f>'Tab.G2.1-3'!$D$106</f>
        <v>[szt.]</v>
      </c>
      <c r="E348" s="406">
        <f t="shared" ref="E348:L348" si="136">SUM(E349:E350)</f>
        <v>0</v>
      </c>
      <c r="F348" s="407">
        <f t="shared" si="136"/>
        <v>0</v>
      </c>
      <c r="G348" s="407">
        <f t="shared" si="136"/>
        <v>0</v>
      </c>
      <c r="H348" s="407">
        <f t="shared" si="136"/>
        <v>0</v>
      </c>
      <c r="I348" s="407">
        <f t="shared" si="136"/>
        <v>0</v>
      </c>
      <c r="J348" s="407">
        <f t="shared" si="136"/>
        <v>0</v>
      </c>
      <c r="K348" s="407">
        <f t="shared" si="136"/>
        <v>0</v>
      </c>
      <c r="L348" s="408">
        <f t="shared" si="136"/>
        <v>0</v>
      </c>
      <c r="M348" s="409">
        <f t="shared" ref="M348:M353" si="137">SUM(E348:L348)</f>
        <v>0</v>
      </c>
    </row>
    <row r="349" spans="2:13">
      <c r="B349" s="602" t="str">
        <f>"60"</f>
        <v>60</v>
      </c>
      <c r="C349" s="263" t="s">
        <v>128</v>
      </c>
      <c r="D349" s="361" t="str">
        <f>'Tab.G2.1-3'!$D$106</f>
        <v>[szt.]</v>
      </c>
      <c r="E349" s="374"/>
      <c r="F349" s="410"/>
      <c r="G349" s="410"/>
      <c r="H349" s="410"/>
      <c r="I349" s="410"/>
      <c r="J349" s="410"/>
      <c r="K349" s="410"/>
      <c r="L349" s="411"/>
      <c r="M349" s="376">
        <f t="shared" si="137"/>
        <v>0</v>
      </c>
    </row>
    <row r="350" spans="2:13">
      <c r="B350" s="603" t="str">
        <f>"61"</f>
        <v>61</v>
      </c>
      <c r="C350" s="336" t="s">
        <v>129</v>
      </c>
      <c r="D350" s="362" t="str">
        <f>'Tab.G2.1-3'!$D$106</f>
        <v>[szt.]</v>
      </c>
      <c r="E350" s="382"/>
      <c r="F350" s="412"/>
      <c r="G350" s="412"/>
      <c r="H350" s="412"/>
      <c r="I350" s="412"/>
      <c r="J350" s="412"/>
      <c r="K350" s="412"/>
      <c r="L350" s="413"/>
      <c r="M350" s="384">
        <f t="shared" si="137"/>
        <v>0</v>
      </c>
    </row>
    <row r="351" spans="2:13">
      <c r="B351" s="604" t="str">
        <f>"62"</f>
        <v>62</v>
      </c>
      <c r="C351" s="341" t="s">
        <v>130</v>
      </c>
      <c r="D351" s="363" t="str">
        <f>'Tab.G2.1-3'!$D$106</f>
        <v>[szt.]</v>
      </c>
      <c r="E351" s="414"/>
      <c r="F351" s="399"/>
      <c r="G351" s="399"/>
      <c r="H351" s="399"/>
      <c r="I351" s="399"/>
      <c r="J351" s="399"/>
      <c r="K351" s="399"/>
      <c r="L351" s="400"/>
      <c r="M351" s="401">
        <f t="shared" si="137"/>
        <v>0</v>
      </c>
    </row>
    <row r="352" spans="2:13">
      <c r="B352" s="604" t="str">
        <f>"63"</f>
        <v>63</v>
      </c>
      <c r="C352" s="341" t="s">
        <v>131</v>
      </c>
      <c r="D352" s="363" t="str">
        <f>'Tab.G2.1-3'!$D$106</f>
        <v>[szt.]</v>
      </c>
      <c r="E352" s="414"/>
      <c r="F352" s="399"/>
      <c r="G352" s="399"/>
      <c r="H352" s="399"/>
      <c r="I352" s="399"/>
      <c r="J352" s="399"/>
      <c r="K352" s="399"/>
      <c r="L352" s="400"/>
      <c r="M352" s="401">
        <f t="shared" si="137"/>
        <v>0</v>
      </c>
    </row>
    <row r="353" spans="2:13" ht="16.5" thickBot="1">
      <c r="B353" s="367" t="str">
        <f>"64"</f>
        <v>64</v>
      </c>
      <c r="C353" s="343" t="s">
        <v>132</v>
      </c>
      <c r="D353" s="364" t="str">
        <f>'Tab.G2.1-3'!$D$106</f>
        <v>[szt.]</v>
      </c>
      <c r="E353" s="415"/>
      <c r="F353" s="415"/>
      <c r="G353" s="415"/>
      <c r="H353" s="415"/>
      <c r="I353" s="415"/>
      <c r="J353" s="415"/>
      <c r="K353" s="415"/>
      <c r="L353" s="416"/>
      <c r="M353" s="405">
        <f t="shared" si="137"/>
        <v>0</v>
      </c>
    </row>
  </sheetData>
  <mergeCells count="26">
    <mergeCell ref="C3:J3"/>
    <mergeCell ref="C10:D10"/>
    <mergeCell ref="E7:L7"/>
    <mergeCell ref="M7:M9"/>
    <mergeCell ref="B7:B9"/>
    <mergeCell ref="C7:D9"/>
    <mergeCell ref="B77:B79"/>
    <mergeCell ref="C77:D79"/>
    <mergeCell ref="E77:L77"/>
    <mergeCell ref="M77:M79"/>
    <mergeCell ref="C80:D80"/>
    <mergeCell ref="B147:B149"/>
    <mergeCell ref="C147:D149"/>
    <mergeCell ref="E147:L147"/>
    <mergeCell ref="M147:M149"/>
    <mergeCell ref="C150:D150"/>
    <mergeCell ref="B217:B219"/>
    <mergeCell ref="C217:D219"/>
    <mergeCell ref="E217:L217"/>
    <mergeCell ref="M217:M219"/>
    <mergeCell ref="C220:D220"/>
    <mergeCell ref="B287:B289"/>
    <mergeCell ref="C287:D289"/>
    <mergeCell ref="E287:L287"/>
    <mergeCell ref="M287:M289"/>
    <mergeCell ref="C290:D290"/>
  </mergeCells>
  <phoneticPr fontId="0" type="noConversion"/>
  <hyperlinks>
    <hyperlink ref="C1" location="Spis!B55" display="&gt;&gt; powrót do spisu treści" xr:uid="{00000000-0004-0000-1E00-000000000000}"/>
  </hyperlinks>
  <pageMargins left="0.74803149606299213" right="0.74803149606299213" top="0.98425196850393704" bottom="0.98425196850393704" header="0.51181102362204722" footer="0.51181102362204722"/>
  <pageSetup paperSize="9" scale="45" fitToHeight="114" orientation="portrait" r:id="rId1"/>
  <headerFooter alignWithMargins="0">
    <oddFooter>&amp;LModuł raportu z wykonania planu inwestycyjnego&amp;C&amp;P/&amp;N&amp;R&amp;A</oddFooter>
  </headerFooter>
  <rowBreaks count="1" manualBreakCount="1">
    <brk id="67" max="13" man="1"/>
  </rowBreaks>
  <colBreaks count="1" manualBreakCount="1">
    <brk id="3" min="1" max="43"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9">
    <pageSetUpPr fitToPage="1"/>
  </sheetPr>
  <dimension ref="A1:L34"/>
  <sheetViews>
    <sheetView zoomScaleNormal="100" zoomScaleSheetLayoutView="75" workbookViewId="0">
      <pane ySplit="4" topLeftCell="A5" activePane="bottomLeft" state="frozen"/>
      <selection pane="bottomLeft" activeCell="F13" sqref="F13"/>
    </sheetView>
  </sheetViews>
  <sheetFormatPr defaultColWidth="8.88671875" defaultRowHeight="15.75"/>
  <cols>
    <col min="1" max="1" width="3.77734375" style="461" customWidth="1"/>
    <col min="2" max="2" width="4.77734375" style="461" customWidth="1"/>
    <col min="3" max="3" width="60.77734375" style="461" customWidth="1"/>
    <col min="4" max="4" width="8.77734375" style="461" customWidth="1"/>
    <col min="5" max="11" width="15.77734375" style="461" customWidth="1"/>
    <col min="12" max="13" width="15.33203125" style="461" customWidth="1"/>
    <col min="14" max="17" width="11.88671875" style="461" customWidth="1"/>
    <col min="18" max="16384" width="8.88671875" style="461"/>
  </cols>
  <sheetData>
    <row r="1" spans="1:12">
      <c r="A1" s="954"/>
      <c r="B1" s="20"/>
      <c r="C1" s="930" t="s">
        <v>9</v>
      </c>
      <c r="D1" s="20"/>
      <c r="E1" s="20"/>
      <c r="F1" s="20"/>
      <c r="G1" s="20"/>
      <c r="H1" s="20"/>
      <c r="I1" s="20"/>
      <c r="J1" s="20"/>
      <c r="K1" s="20"/>
      <c r="L1" s="20"/>
    </row>
    <row r="2" spans="1:12" ht="9.9499999999999993" customHeight="1">
      <c r="A2" s="954"/>
      <c r="B2" s="20"/>
      <c r="C2" s="462"/>
      <c r="D2" s="20"/>
      <c r="E2" s="20"/>
      <c r="F2" s="20"/>
      <c r="G2" s="20"/>
      <c r="H2" s="20"/>
      <c r="I2" s="20"/>
      <c r="J2" s="20"/>
      <c r="K2" s="20"/>
      <c r="L2" s="20"/>
    </row>
    <row r="3" spans="1:12" ht="15" customHeight="1">
      <c r="A3" s="954"/>
      <c r="B3" s="835" t="s">
        <v>13</v>
      </c>
      <c r="C3" s="955" t="str">
        <f>"W kolumnie [09] należy podać wartość netto majątku na koniec "&amp;Rok_ZPR&amp;" r."</f>
        <v>W kolumnie [09] należy podać wartość netto majątku na koniec 2023 r.</v>
      </c>
      <c r="D3" s="20"/>
      <c r="E3" s="20"/>
      <c r="F3" s="20"/>
      <c r="G3" s="20"/>
      <c r="H3" s="20"/>
      <c r="I3" s="20"/>
      <c r="J3" s="20"/>
      <c r="K3" s="20"/>
      <c r="L3" s="20"/>
    </row>
    <row r="4" spans="1:12" ht="9.9499999999999993" customHeight="1">
      <c r="A4" s="954"/>
      <c r="B4" s="20"/>
      <c r="C4" s="462"/>
      <c r="D4" s="20"/>
      <c r="E4" s="20"/>
      <c r="F4" s="20"/>
      <c r="G4" s="20"/>
      <c r="H4" s="20"/>
      <c r="I4" s="20"/>
      <c r="J4" s="20"/>
      <c r="K4" s="20"/>
      <c r="L4" s="20"/>
    </row>
    <row r="5" spans="1:12" ht="30" customHeight="1" thickBot="1">
      <c r="A5" s="954"/>
      <c r="B5" s="777" t="s">
        <v>196</v>
      </c>
      <c r="D5" s="20"/>
      <c r="E5" s="20"/>
      <c r="F5" s="20"/>
      <c r="G5" s="20"/>
      <c r="H5" s="20"/>
      <c r="I5" s="20"/>
      <c r="J5" s="20"/>
      <c r="K5" s="20"/>
      <c r="L5" s="20"/>
    </row>
    <row r="6" spans="1:12" ht="20.100000000000001" customHeight="1">
      <c r="A6" s="954"/>
      <c r="B6" s="1190" t="str">
        <f>'Tab.G1.1-4'!$B$8</f>
        <v>LP</v>
      </c>
      <c r="C6" s="1192" t="str">
        <f>'Tab.G1.1-4'!$C$8</f>
        <v>Wyszczególnienie</v>
      </c>
      <c r="D6" s="1194" t="str">
        <f>"Ilość razem (wszystkie gazy)"</f>
        <v>Ilość razem (wszystkie gazy)</v>
      </c>
      <c r="E6" s="1195"/>
      <c r="F6" s="1200" t="s">
        <v>291</v>
      </c>
      <c r="G6" s="1201"/>
      <c r="H6" s="1201"/>
      <c r="I6" s="1202"/>
      <c r="J6" s="1198" t="str">
        <f>"Wartość"</f>
        <v>Wartość</v>
      </c>
      <c r="K6" s="1199"/>
      <c r="L6" s="20"/>
    </row>
    <row r="7" spans="1:12" ht="20.100000000000001" customHeight="1">
      <c r="A7" s="954"/>
      <c r="B7" s="1191"/>
      <c r="C7" s="1193"/>
      <c r="D7" s="1196"/>
      <c r="E7" s="1197"/>
      <c r="F7" s="1203" t="s">
        <v>282</v>
      </c>
      <c r="G7" s="1205" t="s">
        <v>283</v>
      </c>
      <c r="H7" s="1205" t="s">
        <v>284</v>
      </c>
      <c r="I7" s="1207" t="s">
        <v>285</v>
      </c>
      <c r="J7" s="968" t="str">
        <f>"początkowa"</f>
        <v>początkowa</v>
      </c>
      <c r="K7" s="468" t="str">
        <f>"netto"</f>
        <v>netto</v>
      </c>
      <c r="L7" s="20"/>
    </row>
    <row r="8" spans="1:12" ht="20.100000000000001" customHeight="1">
      <c r="A8" s="954"/>
      <c r="B8" s="1191"/>
      <c r="C8" s="1193"/>
      <c r="D8" s="1196"/>
      <c r="E8" s="1197"/>
      <c r="F8" s="1204"/>
      <c r="G8" s="1206"/>
      <c r="H8" s="1206"/>
      <c r="I8" s="1208"/>
      <c r="J8" s="561" t="str">
        <f>'Tab.G1.1-4'!$D$11</f>
        <v>[tys. zł]</v>
      </c>
      <c r="K8" s="562" t="str">
        <f>'Tab.G1.1-4'!$D$11</f>
        <v>[tys. zł]</v>
      </c>
      <c r="L8" s="20"/>
    </row>
    <row r="9" spans="1:12" ht="16.5" thickBot="1">
      <c r="A9" s="954"/>
      <c r="B9" s="608" t="str">
        <f>Tab.G17!$B$10</f>
        <v>01</v>
      </c>
      <c r="C9" s="617" t="str">
        <f>Tab.G17!$B$11</f>
        <v>02</v>
      </c>
      <c r="D9" s="1189" t="str">
        <f>Tab.G17!$B$12</f>
        <v>03</v>
      </c>
      <c r="E9" s="1058"/>
      <c r="F9" s="982" t="str">
        <f>Tab.G17!F10</f>
        <v>04</v>
      </c>
      <c r="G9" s="983" t="str">
        <f>Tab.G17!G10</f>
        <v>05</v>
      </c>
      <c r="H9" s="983" t="str">
        <f>Tab.G17!H10</f>
        <v>06</v>
      </c>
      <c r="I9" s="988" t="str">
        <f>Tab.G17!I10</f>
        <v>07</v>
      </c>
      <c r="J9" s="984" t="str">
        <f>Tab.G17!J10</f>
        <v>08</v>
      </c>
      <c r="K9" s="985" t="str">
        <f>Tab.G17!K10</f>
        <v>09</v>
      </c>
      <c r="L9" s="20"/>
    </row>
    <row r="10" spans="1:12" ht="16.5" thickBot="1">
      <c r="A10" s="954"/>
      <c r="B10" s="609" t="str">
        <f t="array" ref="B10:B31">Tab.G17!$B$11:$B$32</f>
        <v>02</v>
      </c>
      <c r="C10" s="563" t="s">
        <v>197</v>
      </c>
      <c r="D10" s="465" t="str">
        <f>'Tab.G2.1-3'!$D$72</f>
        <v>[km]</v>
      </c>
      <c r="E10" s="485">
        <f>SUM(E11:E14)</f>
        <v>0</v>
      </c>
      <c r="F10" s="969">
        <f>SUM(F11:F14)</f>
        <v>0</v>
      </c>
      <c r="G10" s="970">
        <f>SUM(G11:G14)</f>
        <v>0</v>
      </c>
      <c r="H10" s="970">
        <f t="shared" ref="H10:I10" si="0">SUM(H11:H14)</f>
        <v>0</v>
      </c>
      <c r="I10" s="485">
        <f t="shared" si="0"/>
        <v>0</v>
      </c>
      <c r="J10" s="488">
        <f>SUM(J11:J14)</f>
        <v>0</v>
      </c>
      <c r="K10" s="489">
        <f>SUM(K11:K14)</f>
        <v>0</v>
      </c>
      <c r="L10" s="20"/>
    </row>
    <row r="11" spans="1:12" ht="16.5" customHeight="1">
      <c r="A11" s="954"/>
      <c r="B11" s="610" t="str">
        <v>03</v>
      </c>
      <c r="C11" s="564" t="s">
        <v>198</v>
      </c>
      <c r="D11" s="466" t="str">
        <f>'Tab.G2.1-3'!$D$72</f>
        <v>[km]</v>
      </c>
      <c r="E11" s="486">
        <f>Tab.G17!M12</f>
        <v>0</v>
      </c>
      <c r="F11" s="971">
        <f>Tab.G17!M82</f>
        <v>0</v>
      </c>
      <c r="G11" s="972">
        <f>Tab.G17!M222</f>
        <v>0</v>
      </c>
      <c r="H11" s="972">
        <f>Tab.G17!M222</f>
        <v>0</v>
      </c>
      <c r="I11" s="486">
        <f>Tab.G17!M292</f>
        <v>0</v>
      </c>
      <c r="J11" s="490"/>
      <c r="K11" s="491"/>
      <c r="L11" s="20"/>
    </row>
    <row r="12" spans="1:12">
      <c r="A12" s="954"/>
      <c r="B12" s="611" t="str">
        <v>04</v>
      </c>
      <c r="C12" s="565" t="s">
        <v>121</v>
      </c>
      <c r="D12" s="464" t="str">
        <f>'Tab.G2.1-3'!$D$72</f>
        <v>[km]</v>
      </c>
      <c r="E12" s="487">
        <f>Tab.G17!M23</f>
        <v>0</v>
      </c>
      <c r="F12" s="973">
        <f>Tab.G17!M93</f>
        <v>0</v>
      </c>
      <c r="G12" s="972">
        <f>Tab.G17!M163</f>
        <v>0</v>
      </c>
      <c r="H12" s="972">
        <f>Tab.G17!M233</f>
        <v>0</v>
      </c>
      <c r="I12" s="486">
        <f>Tab.G17!M303</f>
        <v>0</v>
      </c>
      <c r="J12" s="492"/>
      <c r="K12" s="493"/>
      <c r="L12" s="20"/>
    </row>
    <row r="13" spans="1:12">
      <c r="A13" s="954"/>
      <c r="B13" s="611" t="str">
        <v>05</v>
      </c>
      <c r="C13" s="565" t="s">
        <v>168</v>
      </c>
      <c r="D13" s="464" t="str">
        <f>'Tab.G2.1-3'!$D$72</f>
        <v>[km]</v>
      </c>
      <c r="E13" s="487">
        <f>Tab.G17!M39</f>
        <v>0</v>
      </c>
      <c r="F13" s="973">
        <f>Tab.G17!M109</f>
        <v>0</v>
      </c>
      <c r="G13" s="972">
        <f>Tab.G17!M179</f>
        <v>0</v>
      </c>
      <c r="H13" s="972">
        <f>Tab.G17!M249</f>
        <v>0</v>
      </c>
      <c r="I13" s="486">
        <f>Tab.G17!M319</f>
        <v>0</v>
      </c>
      <c r="J13" s="492"/>
      <c r="K13" s="493"/>
      <c r="L13" s="20"/>
    </row>
    <row r="14" spans="1:12" ht="16.5" thickBot="1">
      <c r="A14" s="954"/>
      <c r="B14" s="612" t="str">
        <v>06</v>
      </c>
      <c r="C14" s="566" t="s">
        <v>189</v>
      </c>
      <c r="D14" s="464" t="str">
        <f>'Tab.G2.1-3'!$D$72</f>
        <v>[km]</v>
      </c>
      <c r="E14" s="487">
        <f>Tab.G17!M40</f>
        <v>0</v>
      </c>
      <c r="F14" s="973">
        <f>Tab.G17!M110</f>
        <v>0</v>
      </c>
      <c r="G14" s="972">
        <f>Tab.G17!M180</f>
        <v>0</v>
      </c>
      <c r="H14" s="972">
        <f>Tab.G17!M250</f>
        <v>0</v>
      </c>
      <c r="I14" s="486">
        <f>Tab.G17!M320</f>
        <v>0</v>
      </c>
      <c r="J14" s="492"/>
      <c r="K14" s="493"/>
      <c r="L14" s="20"/>
    </row>
    <row r="15" spans="1:12" ht="16.5" thickBot="1">
      <c r="A15" s="954"/>
      <c r="B15" s="613" t="str">
        <v>07</v>
      </c>
      <c r="C15" s="567" t="s">
        <v>199</v>
      </c>
      <c r="D15" s="465" t="str">
        <f>'Tab.G2.1-3'!$D$106</f>
        <v>[szt.]</v>
      </c>
      <c r="E15" s="479">
        <f>SUM(E16:E21)</f>
        <v>0</v>
      </c>
      <c r="F15" s="974">
        <f>SUM(F16:F21)</f>
        <v>0</v>
      </c>
      <c r="G15" s="975">
        <f>SUM(G16:G21)</f>
        <v>0</v>
      </c>
      <c r="H15" s="975">
        <f t="shared" ref="H15:I15" si="1">SUM(H16:H21)</f>
        <v>0</v>
      </c>
      <c r="I15" s="479">
        <f t="shared" si="1"/>
        <v>0</v>
      </c>
      <c r="J15" s="488">
        <f>SUM(J16:J21)</f>
        <v>0</v>
      </c>
      <c r="K15" s="489">
        <f>SUM(K16:K21)</f>
        <v>0</v>
      </c>
      <c r="L15" s="20"/>
    </row>
    <row r="16" spans="1:12">
      <c r="A16" s="954"/>
      <c r="B16" s="610" t="str">
        <v>08</v>
      </c>
      <c r="C16" s="568" t="s">
        <v>191</v>
      </c>
      <c r="D16" s="463" t="str">
        <f>'Tab.G2.1-3'!$D$106</f>
        <v>[szt.]</v>
      </c>
      <c r="E16" s="480">
        <f>Tab.G17!M52</f>
        <v>0</v>
      </c>
      <c r="F16" s="980">
        <f>Tab.G17!M122</f>
        <v>0</v>
      </c>
      <c r="G16" s="987">
        <f>Tab.G17!M192</f>
        <v>0</v>
      </c>
      <c r="H16" s="987">
        <f>Tab.G17!M262</f>
        <v>0</v>
      </c>
      <c r="I16" s="483">
        <f>Tab.G17!M332</f>
        <v>0</v>
      </c>
      <c r="J16" s="494"/>
      <c r="K16" s="495"/>
      <c r="L16" s="20"/>
    </row>
    <row r="17" spans="1:12">
      <c r="A17" s="954"/>
      <c r="B17" s="611" t="str">
        <v>09</v>
      </c>
      <c r="C17" s="566" t="s">
        <v>192</v>
      </c>
      <c r="D17" s="464" t="str">
        <f>'Tab.G2.1-3'!$D$106</f>
        <v>[szt.]</v>
      </c>
      <c r="E17" s="481">
        <f>Tab.G17!M56</f>
        <v>0</v>
      </c>
      <c r="F17" s="976">
        <f>Tab.G17!M126</f>
        <v>0</v>
      </c>
      <c r="G17" s="987">
        <f>Tab.G17!M196</f>
        <v>0</v>
      </c>
      <c r="H17" s="987">
        <f>Tab.G17!M266</f>
        <v>0</v>
      </c>
      <c r="I17" s="480">
        <f>Tab.G17!M336</f>
        <v>0</v>
      </c>
      <c r="J17" s="492"/>
      <c r="K17" s="493"/>
      <c r="L17" s="20"/>
    </row>
    <row r="18" spans="1:12">
      <c r="A18" s="954"/>
      <c r="B18" s="611" t="str">
        <v>10</v>
      </c>
      <c r="C18" s="566" t="s">
        <v>193</v>
      </c>
      <c r="D18" s="464" t="str">
        <f>'Tab.G2.1-3'!$D$106</f>
        <v>[szt.]</v>
      </c>
      <c r="E18" s="481">
        <f>Tab.G17!M60</f>
        <v>0</v>
      </c>
      <c r="F18" s="976">
        <f>Tab.G17!M130</f>
        <v>0</v>
      </c>
      <c r="G18" s="987">
        <f>Tab.G17!M200</f>
        <v>0</v>
      </c>
      <c r="H18" s="987">
        <f>Tab.G17!M270</f>
        <v>0</v>
      </c>
      <c r="I18" s="480">
        <f>Tab.G17!M340</f>
        <v>0</v>
      </c>
      <c r="J18" s="492"/>
      <c r="K18" s="493"/>
      <c r="L18" s="20"/>
    </row>
    <row r="19" spans="1:12">
      <c r="A19" s="954"/>
      <c r="B19" s="611" t="str">
        <v>11</v>
      </c>
      <c r="C19" s="566" t="s">
        <v>194</v>
      </c>
      <c r="D19" s="464" t="str">
        <f>'Tab.G2.1-3'!$D$106</f>
        <v>[szt.]</v>
      </c>
      <c r="E19" s="481">
        <f>Tab.G17!M64</f>
        <v>0</v>
      </c>
      <c r="F19" s="976">
        <f>Tab.G17!M134</f>
        <v>0</v>
      </c>
      <c r="G19" s="987">
        <f>Tab.G17!M204</f>
        <v>0</v>
      </c>
      <c r="H19" s="987">
        <f>Tab.G17!M274</f>
        <v>0</v>
      </c>
      <c r="I19" s="480">
        <f>Tab.G17!M344</f>
        <v>0</v>
      </c>
      <c r="J19" s="492"/>
      <c r="K19" s="493"/>
      <c r="L19" s="20"/>
    </row>
    <row r="20" spans="1:12">
      <c r="A20" s="954"/>
      <c r="B20" s="611" t="str">
        <v>12</v>
      </c>
      <c r="C20" s="566" t="s">
        <v>195</v>
      </c>
      <c r="D20" s="464" t="str">
        <f>'Tab.G2.1-3'!$D$106</f>
        <v>[szt.]</v>
      </c>
      <c r="E20" s="481">
        <f>Tab.G17!M65</f>
        <v>0</v>
      </c>
      <c r="F20" s="976">
        <f>Tab.G17!M135</f>
        <v>0</v>
      </c>
      <c r="G20" s="987">
        <f>Tab.G17!M205</f>
        <v>0</v>
      </c>
      <c r="H20" s="987">
        <f>Tab.G17!M275</f>
        <v>0</v>
      </c>
      <c r="I20" s="480">
        <f>Tab.G17!M345</f>
        <v>0</v>
      </c>
      <c r="J20" s="492"/>
      <c r="K20" s="493"/>
      <c r="L20" s="20"/>
    </row>
    <row r="21" spans="1:12" ht="16.5" thickBot="1">
      <c r="A21" s="954"/>
      <c r="B21" s="612" t="str">
        <v>13</v>
      </c>
      <c r="C21" s="566" t="s">
        <v>190</v>
      </c>
      <c r="D21" s="464" t="str">
        <f>'Tab.G2.1-3'!$D$106</f>
        <v>[szt.]</v>
      </c>
      <c r="E21" s="481">
        <f>Tab.G17!M66</f>
        <v>0</v>
      </c>
      <c r="F21" s="981">
        <f>Tab.G17!M136</f>
        <v>0</v>
      </c>
      <c r="G21" s="987">
        <f>Tab.G17!M206</f>
        <v>0</v>
      </c>
      <c r="H21" s="987">
        <f>Tab.G17!M276</f>
        <v>0</v>
      </c>
      <c r="I21" s="480">
        <f>Tab.G17!M346</f>
        <v>0</v>
      </c>
      <c r="J21" s="492"/>
      <c r="K21" s="493"/>
      <c r="L21" s="20"/>
    </row>
    <row r="22" spans="1:12" ht="16.5" thickBot="1">
      <c r="A22" s="954"/>
      <c r="B22" s="613" t="str">
        <v>14</v>
      </c>
      <c r="C22" s="569" t="s">
        <v>200</v>
      </c>
      <c r="D22" s="467" t="str">
        <f>'Tab.G2.1-3'!$D$106</f>
        <v>[szt.]</v>
      </c>
      <c r="E22" s="482">
        <f>SUM(E23:E26)</f>
        <v>0</v>
      </c>
      <c r="F22" s="978">
        <f>SUM(F23:F26)</f>
        <v>0</v>
      </c>
      <c r="G22" s="979">
        <f>SUM(G23:G26)</f>
        <v>0</v>
      </c>
      <c r="H22" s="979">
        <f t="shared" ref="H22:I22" si="2">SUM(H23:H26)</f>
        <v>0</v>
      </c>
      <c r="I22" s="482">
        <f t="shared" si="2"/>
        <v>0</v>
      </c>
      <c r="J22" s="488">
        <f>SUM(J23:J26)</f>
        <v>0</v>
      </c>
      <c r="K22" s="489">
        <f>SUM(K23:K26)</f>
        <v>0</v>
      </c>
      <c r="L22" s="20"/>
    </row>
    <row r="23" spans="1:12">
      <c r="A23" s="954"/>
      <c r="B23" s="610" t="str">
        <v>15</v>
      </c>
      <c r="C23" s="570" t="s">
        <v>127</v>
      </c>
      <c r="D23" s="477" t="str">
        <f>'Tab.G2.1-3'!$D$106</f>
        <v>[szt.]</v>
      </c>
      <c r="E23" s="483">
        <f>Tab.G17!M68</f>
        <v>0</v>
      </c>
      <c r="F23" s="980">
        <f>Tab.G17!M138</f>
        <v>0</v>
      </c>
      <c r="G23" s="986">
        <f>Tab.G17!M208</f>
        <v>0</v>
      </c>
      <c r="H23" s="986">
        <f>Tab.G17!M278</f>
        <v>0</v>
      </c>
      <c r="I23" s="483">
        <f>Tab.G17!M348</f>
        <v>0</v>
      </c>
      <c r="J23" s="496"/>
      <c r="K23" s="497"/>
      <c r="L23" s="20"/>
    </row>
    <row r="24" spans="1:12">
      <c r="A24" s="954"/>
      <c r="B24" s="611" t="str">
        <v>16</v>
      </c>
      <c r="C24" s="568" t="s">
        <v>130</v>
      </c>
      <c r="D24" s="463" t="str">
        <f>'Tab.G2.1-3'!$D$106</f>
        <v>[szt.]</v>
      </c>
      <c r="E24" s="480">
        <f>Tab.G17!M71</f>
        <v>0</v>
      </c>
      <c r="F24" s="976">
        <f>Tab.G17!M141</f>
        <v>0</v>
      </c>
      <c r="G24" s="987">
        <f>Tab.G17!M211</f>
        <v>0</v>
      </c>
      <c r="H24" s="977">
        <f>Tab.G17!M281</f>
        <v>0</v>
      </c>
      <c r="I24" s="480">
        <f>Tab.G17!M351</f>
        <v>0</v>
      </c>
      <c r="J24" s="494"/>
      <c r="K24" s="495"/>
      <c r="L24" s="20"/>
    </row>
    <row r="25" spans="1:12">
      <c r="A25" s="954"/>
      <c r="B25" s="611" t="str">
        <v>17</v>
      </c>
      <c r="C25" s="568" t="s">
        <v>131</v>
      </c>
      <c r="D25" s="463" t="str">
        <f>'Tab.G2.1-3'!$D$106</f>
        <v>[szt.]</v>
      </c>
      <c r="E25" s="480">
        <f>Tab.G17!M72</f>
        <v>0</v>
      </c>
      <c r="F25" s="976">
        <f>Tab.G17!M142</f>
        <v>0</v>
      </c>
      <c r="G25" s="987">
        <f>Tab.G17!M212</f>
        <v>0</v>
      </c>
      <c r="H25" s="977">
        <f>Tab.G17!M282</f>
        <v>0</v>
      </c>
      <c r="I25" s="480">
        <f>Tab.G17!M352</f>
        <v>0</v>
      </c>
      <c r="J25" s="494"/>
      <c r="K25" s="495"/>
      <c r="L25" s="20"/>
    </row>
    <row r="26" spans="1:12" ht="16.5" thickBot="1">
      <c r="A26" s="954"/>
      <c r="B26" s="612" t="str">
        <v>18</v>
      </c>
      <c r="C26" s="571" t="s">
        <v>132</v>
      </c>
      <c r="D26" s="478" t="str">
        <f>'Tab.G2.1-3'!$D$106</f>
        <v>[szt.]</v>
      </c>
      <c r="E26" s="484">
        <f>Tab.G17!M73</f>
        <v>0</v>
      </c>
      <c r="F26" s="976">
        <f>Tab.G17!M143</f>
        <v>0</v>
      </c>
      <c r="G26" s="987">
        <f>Tab.G17!M213</f>
        <v>0</v>
      </c>
      <c r="H26" s="977">
        <f>Tab.G17!M283</f>
        <v>0</v>
      </c>
      <c r="I26" s="484">
        <f>Tab.G17!M353</f>
        <v>0</v>
      </c>
      <c r="J26" s="498"/>
      <c r="K26" s="499"/>
      <c r="L26" s="20"/>
    </row>
    <row r="27" spans="1:12" ht="16.5" thickBot="1">
      <c r="A27" s="954"/>
      <c r="B27" s="614" t="str">
        <v>19</v>
      </c>
      <c r="C27" s="572" t="s">
        <v>42</v>
      </c>
      <c r="D27" s="469"/>
      <c r="E27" s="470"/>
      <c r="F27" s="989"/>
      <c r="G27" s="964"/>
      <c r="H27" s="964"/>
      <c r="I27" s="470"/>
      <c r="J27" s="500">
        <f>SUM(J10,J15,J22)</f>
        <v>0</v>
      </c>
      <c r="K27" s="500">
        <f>SUM(K10,K15,K22)</f>
        <v>0</v>
      </c>
      <c r="L27" s="20"/>
    </row>
    <row r="28" spans="1:12" ht="36.75" customHeight="1" thickTop="1" thickBot="1">
      <c r="A28" s="954"/>
      <c r="B28" s="615" t="str">
        <v>20</v>
      </c>
      <c r="C28" s="573" t="s">
        <v>201</v>
      </c>
      <c r="D28" s="471"/>
      <c r="E28" s="472"/>
      <c r="F28" s="471"/>
      <c r="G28" s="965"/>
      <c r="H28" s="965"/>
      <c r="I28" s="472"/>
      <c r="J28" s="501"/>
      <c r="K28" s="502"/>
      <c r="L28" s="20"/>
    </row>
    <row r="29" spans="1:12" ht="15.75" customHeight="1" thickBot="1">
      <c r="A29" s="954"/>
      <c r="B29" s="614" t="str">
        <v>21</v>
      </c>
      <c r="C29" s="572" t="s">
        <v>206</v>
      </c>
      <c r="D29" s="473"/>
      <c r="E29" s="474"/>
      <c r="F29" s="473"/>
      <c r="G29" s="966"/>
      <c r="H29" s="966"/>
      <c r="I29" s="474"/>
      <c r="J29" s="500">
        <f>SUM(J27:J28)</f>
        <v>0</v>
      </c>
      <c r="K29" s="503">
        <f>SUM(K27:K28)</f>
        <v>0</v>
      </c>
      <c r="L29" s="20"/>
    </row>
    <row r="30" spans="1:12" ht="35.1" customHeight="1" thickTop="1" thickBot="1">
      <c r="A30" s="954"/>
      <c r="B30" s="615" t="str">
        <v>22</v>
      </c>
      <c r="C30" s="574" t="s">
        <v>261</v>
      </c>
      <c r="D30" s="471"/>
      <c r="E30" s="472"/>
      <c r="F30" s="471"/>
      <c r="G30" s="965"/>
      <c r="H30" s="965"/>
      <c r="I30" s="472"/>
      <c r="J30" s="504"/>
      <c r="K30" s="505"/>
      <c r="L30" s="20"/>
    </row>
    <row r="31" spans="1:12" ht="16.5" thickBot="1">
      <c r="A31" s="954"/>
      <c r="B31" s="616" t="str">
        <v>23</v>
      </c>
      <c r="C31" s="575" t="s">
        <v>207</v>
      </c>
      <c r="D31" s="475"/>
      <c r="E31" s="476"/>
      <c r="F31" s="475"/>
      <c r="G31" s="967"/>
      <c r="H31" s="967"/>
      <c r="I31" s="476"/>
      <c r="J31" s="506">
        <f>SUM(J29:J30)</f>
        <v>0</v>
      </c>
      <c r="K31" s="507">
        <f>SUM(K29:K30)</f>
        <v>0</v>
      </c>
      <c r="L31" s="20"/>
    </row>
    <row r="32" spans="1:12">
      <c r="A32" s="954"/>
      <c r="B32" s="20"/>
      <c r="C32" s="20"/>
      <c r="D32" s="20"/>
      <c r="E32" s="20"/>
      <c r="F32" s="20"/>
      <c r="G32" s="20"/>
      <c r="H32" s="20"/>
      <c r="I32" s="20"/>
      <c r="J32" s="20"/>
      <c r="K32" s="20"/>
      <c r="L32" s="20"/>
    </row>
    <row r="33" spans="1:12">
      <c r="A33" s="954"/>
      <c r="B33" s="20"/>
      <c r="C33" s="20"/>
      <c r="D33" s="20"/>
      <c r="E33" s="20"/>
      <c r="F33" s="20"/>
      <c r="G33" s="20"/>
      <c r="H33" s="20"/>
      <c r="I33" s="20"/>
      <c r="J33" s="20"/>
      <c r="K33" s="20"/>
      <c r="L33" s="20"/>
    </row>
    <row r="34" spans="1:12">
      <c r="A34" s="954"/>
      <c r="B34" s="20"/>
      <c r="C34" s="20"/>
      <c r="D34" s="20"/>
      <c r="E34" s="20"/>
      <c r="F34" s="20"/>
      <c r="G34" s="20"/>
      <c r="H34" s="20"/>
      <c r="I34" s="20"/>
      <c r="J34" s="20"/>
      <c r="K34" s="20"/>
      <c r="L34" s="20"/>
    </row>
  </sheetData>
  <mergeCells count="10">
    <mergeCell ref="D9:E9"/>
    <mergeCell ref="B6:B8"/>
    <mergeCell ref="C6:C8"/>
    <mergeCell ref="D6:E8"/>
    <mergeCell ref="J6:K6"/>
    <mergeCell ref="F6:I6"/>
    <mergeCell ref="F7:F8"/>
    <mergeCell ref="G7:G8"/>
    <mergeCell ref="H7:H8"/>
    <mergeCell ref="I7:I8"/>
  </mergeCells>
  <phoneticPr fontId="0" type="noConversion"/>
  <hyperlinks>
    <hyperlink ref="C1" location="Spis!B56" display="&gt;&gt; powrót do spisu treści" xr:uid="{00000000-0004-0000-1F00-000000000000}"/>
  </hyperlinks>
  <pageMargins left="0.74803149606299213" right="0.74803149606299213" top="0.98425196850393704" bottom="0.98425196850393704" header="0.51181102362204722" footer="0.51181102362204722"/>
  <pageSetup paperSize="9" scale="65" fitToHeight="114" orientation="portrait" r:id="rId1"/>
  <headerFooter alignWithMargins="0">
    <oddFooter>&amp;LModuł raportu z wykonania planu inwestycyjnego&amp;C&amp;P/&amp;N&amp;R&amp;A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10">
    <pageSetUpPr fitToPage="1"/>
  </sheetPr>
  <dimension ref="A1:H55"/>
  <sheetViews>
    <sheetView zoomScaleNormal="100" zoomScaleSheetLayoutView="75" workbookViewId="0">
      <pane ySplit="3" topLeftCell="A4" activePane="bottomLeft" state="frozen"/>
      <selection pane="bottomLeft" activeCell="B4" sqref="B4"/>
    </sheetView>
  </sheetViews>
  <sheetFormatPr defaultColWidth="8.88671875" defaultRowHeight="12.75"/>
  <cols>
    <col min="1" max="1" width="3.77734375" style="34" customWidth="1"/>
    <col min="2" max="2" width="4.77734375" style="34" customWidth="1"/>
    <col min="3" max="3" width="20.77734375" style="34" customWidth="1"/>
    <col min="4" max="4" width="35.77734375" style="34" customWidth="1"/>
    <col min="5" max="5" width="10.77734375" style="34" customWidth="1"/>
    <col min="6" max="6" width="15.77734375" style="34" customWidth="1"/>
    <col min="7" max="16384" width="8.88671875" style="34"/>
  </cols>
  <sheetData>
    <row r="1" spans="1:8" ht="15.75">
      <c r="A1" s="759"/>
      <c r="C1" s="931" t="s">
        <v>9</v>
      </c>
      <c r="D1" s="759"/>
      <c r="E1" s="759"/>
      <c r="F1" s="759"/>
      <c r="G1" s="759"/>
      <c r="H1" s="759"/>
    </row>
    <row r="2" spans="1:8" ht="9.9499999999999993" customHeight="1">
      <c r="A2" s="759"/>
      <c r="B2" s="759"/>
      <c r="C2" s="874"/>
      <c r="D2" s="956"/>
      <c r="E2" s="956"/>
      <c r="F2" s="957"/>
      <c r="G2" s="759"/>
      <c r="H2" s="759"/>
    </row>
    <row r="3" spans="1:8" ht="50.1" customHeight="1">
      <c r="A3" s="759"/>
      <c r="B3" s="834" t="s">
        <v>13</v>
      </c>
      <c r="C3" s="1147" t="s">
        <v>105</v>
      </c>
      <c r="D3" s="1236"/>
      <c r="E3" s="1236"/>
      <c r="F3" s="1236"/>
      <c r="G3" s="759"/>
      <c r="H3" s="759"/>
    </row>
    <row r="4" spans="1:8" ht="30" customHeight="1" thickBot="1">
      <c r="A4" s="759"/>
      <c r="B4" s="775" t="s">
        <v>204</v>
      </c>
      <c r="C4" s="958"/>
      <c r="D4" s="958"/>
      <c r="E4" s="958"/>
      <c r="F4" s="958"/>
      <c r="G4" s="759"/>
      <c r="H4" s="759"/>
    </row>
    <row r="5" spans="1:8" ht="20.100000000000001" customHeight="1" thickTop="1">
      <c r="A5" s="33"/>
      <c r="B5" s="1241" t="str">
        <f>'Tab.G1.1-4'!$B$8</f>
        <v>LP</v>
      </c>
      <c r="C5" s="1243" t="str">
        <f>'Tab.G1.1-4'!$C$8</f>
        <v>Wyszczególnienie</v>
      </c>
      <c r="D5" s="1244"/>
      <c r="E5" s="1239" t="s">
        <v>43</v>
      </c>
      <c r="F5" s="543" t="str">
        <f>'Tab.G1.1-4'!$E$8</f>
        <v>Wykonanie</v>
      </c>
      <c r="G5" s="33"/>
      <c r="H5" s="33"/>
    </row>
    <row r="6" spans="1:8" ht="20.100000000000001" customHeight="1">
      <c r="A6" s="33"/>
      <c r="B6" s="1242"/>
      <c r="C6" s="1245"/>
      <c r="D6" s="1245"/>
      <c r="E6" s="1240"/>
      <c r="F6" s="544">
        <f>Rok_ZPR</f>
        <v>2023</v>
      </c>
      <c r="G6" s="33"/>
      <c r="H6" s="33"/>
    </row>
    <row r="7" spans="1:8" ht="13.5" thickBot="1">
      <c r="A7" s="33"/>
      <c r="B7" s="545" t="str">
        <f>Tab.G17!$B$10</f>
        <v>01</v>
      </c>
      <c r="C7" s="1237" t="str">
        <f>Tab.G17!$B$11</f>
        <v>02</v>
      </c>
      <c r="D7" s="1238"/>
      <c r="E7" s="619" t="str">
        <f t="array" ref="E7:F7">TRANSPOSE(Tab.G17!$B$12:$B$13)</f>
        <v>03</v>
      </c>
      <c r="F7" s="620" t="str">
        <v>04</v>
      </c>
      <c r="G7" s="33"/>
      <c r="H7" s="33"/>
    </row>
    <row r="8" spans="1:8" ht="16.5" thickBot="1">
      <c r="A8" s="33"/>
      <c r="B8" s="618" t="str">
        <f t="array" ref="B8:B39">Tab.G17!$B$11:$B$42</f>
        <v>02</v>
      </c>
      <c r="C8" s="1234" t="s">
        <v>44</v>
      </c>
      <c r="D8" s="1235"/>
      <c r="E8" s="535" t="str">
        <f>'Tab.G2.1-3'!$D$106</f>
        <v>[szt.]</v>
      </c>
      <c r="F8" s="515">
        <f>SUM(F9:F15)</f>
        <v>0</v>
      </c>
      <c r="G8" s="33"/>
      <c r="H8" s="33"/>
    </row>
    <row r="9" spans="1:8" ht="15.75">
      <c r="A9" s="33"/>
      <c r="B9" s="526" t="str">
        <v>03</v>
      </c>
      <c r="C9" s="1231" t="s">
        <v>45</v>
      </c>
      <c r="D9" s="518" t="s">
        <v>109</v>
      </c>
      <c r="E9" s="536" t="str">
        <f>'Tab.G2.1-3'!$D$106</f>
        <v>[szt.]</v>
      </c>
      <c r="F9" s="513"/>
      <c r="G9" s="33"/>
      <c r="H9" s="33"/>
    </row>
    <row r="10" spans="1:8" ht="16.5" thickBot="1">
      <c r="A10" s="33"/>
      <c r="B10" s="527" t="str">
        <v>04</v>
      </c>
      <c r="C10" s="1232"/>
      <c r="D10" s="519" t="s">
        <v>8</v>
      </c>
      <c r="E10" s="537" t="str">
        <f>'Tab.G2.1-3'!$D$106</f>
        <v>[szt.]</v>
      </c>
      <c r="F10" s="512"/>
      <c r="G10" s="33"/>
      <c r="H10" s="33"/>
    </row>
    <row r="11" spans="1:8" ht="18">
      <c r="A11" s="33"/>
      <c r="B11" s="526" t="str">
        <v>05</v>
      </c>
      <c r="C11" s="1231" t="s">
        <v>46</v>
      </c>
      <c r="D11" s="520" t="s">
        <v>92</v>
      </c>
      <c r="E11" s="536" t="str">
        <f>'Tab.G2.1-3'!$D$106</f>
        <v>[szt.]</v>
      </c>
      <c r="F11" s="514"/>
      <c r="G11" s="33"/>
      <c r="H11" s="33"/>
    </row>
    <row r="12" spans="1:8" ht="18">
      <c r="A12" s="33"/>
      <c r="B12" s="528" t="str">
        <v>06</v>
      </c>
      <c r="C12" s="1233"/>
      <c r="D12" s="521" t="s">
        <v>93</v>
      </c>
      <c r="E12" s="538" t="str">
        <f>'Tab.G2.1-3'!$D$106</f>
        <v>[szt.]</v>
      </c>
      <c r="F12" s="510"/>
      <c r="G12" s="33"/>
      <c r="H12" s="33"/>
    </row>
    <row r="13" spans="1:8" ht="16.5" customHeight="1">
      <c r="A13" s="33"/>
      <c r="B13" s="528" t="str">
        <v>07</v>
      </c>
      <c r="C13" s="1233"/>
      <c r="D13" s="520" t="s">
        <v>203</v>
      </c>
      <c r="E13" s="538" t="str">
        <f>'Tab.G2.1-3'!$D$106</f>
        <v>[szt.]</v>
      </c>
      <c r="F13" s="510"/>
      <c r="G13" s="33"/>
      <c r="H13" s="33"/>
    </row>
    <row r="14" spans="1:8" ht="17.25" customHeight="1" thickBot="1">
      <c r="A14" s="33"/>
      <c r="B14" s="527" t="str">
        <v>08</v>
      </c>
      <c r="C14" s="1232"/>
      <c r="D14" s="521" t="s">
        <v>30</v>
      </c>
      <c r="E14" s="537" t="str">
        <f>'Tab.G2.1-3'!$D$106</f>
        <v>[szt.]</v>
      </c>
      <c r="F14" s="512"/>
      <c r="G14" s="33"/>
      <c r="H14" s="33"/>
    </row>
    <row r="15" spans="1:8" ht="16.5" thickBot="1">
      <c r="A15" s="33"/>
      <c r="B15" s="529" t="str">
        <v>09</v>
      </c>
      <c r="C15" s="522" t="s">
        <v>53</v>
      </c>
      <c r="D15" s="523" t="s">
        <v>54</v>
      </c>
      <c r="E15" s="539" t="str">
        <f>'Tab.G2.1-3'!$D$106</f>
        <v>[szt.]</v>
      </c>
      <c r="F15" s="511"/>
      <c r="G15" s="33"/>
      <c r="H15" s="33"/>
    </row>
    <row r="16" spans="1:8" ht="16.5" thickBot="1">
      <c r="A16" s="33"/>
      <c r="B16" s="530" t="str">
        <v>10</v>
      </c>
      <c r="C16" s="1234" t="s">
        <v>47</v>
      </c>
      <c r="D16" s="1235"/>
      <c r="E16" s="535" t="str">
        <f>'Tab.G2.1-3'!$D$106</f>
        <v>[szt.]</v>
      </c>
      <c r="F16" s="515">
        <f>SUM(F17:F23)</f>
        <v>0</v>
      </c>
      <c r="G16" s="33"/>
      <c r="H16" s="33"/>
    </row>
    <row r="17" spans="1:8" ht="15.75">
      <c r="A17" s="33"/>
      <c r="B17" s="526" t="str">
        <v>11</v>
      </c>
      <c r="C17" s="1231" t="s">
        <v>48</v>
      </c>
      <c r="D17" s="518" t="s">
        <v>109</v>
      </c>
      <c r="E17" s="536" t="str">
        <f>'Tab.G2.1-3'!$D$106</f>
        <v>[szt.]</v>
      </c>
      <c r="F17" s="508"/>
      <c r="G17" s="33"/>
      <c r="H17" s="33"/>
    </row>
    <row r="18" spans="1:8" ht="16.5" thickBot="1">
      <c r="A18" s="33"/>
      <c r="B18" s="527" t="str">
        <v>12</v>
      </c>
      <c r="C18" s="1232"/>
      <c r="D18" s="519" t="s">
        <v>8</v>
      </c>
      <c r="E18" s="540" t="str">
        <f>'Tab.G2.1-3'!$D$106</f>
        <v>[szt.]</v>
      </c>
      <c r="F18" s="509"/>
      <c r="G18" s="33"/>
      <c r="H18" s="33"/>
    </row>
    <row r="19" spans="1:8" ht="18">
      <c r="A19" s="33"/>
      <c r="B19" s="526" t="str">
        <v>13</v>
      </c>
      <c r="C19" s="1231" t="s">
        <v>49</v>
      </c>
      <c r="D19" s="520" t="s">
        <v>92</v>
      </c>
      <c r="E19" s="536" t="str">
        <f>'Tab.G2.1-3'!$D$106</f>
        <v>[szt.]</v>
      </c>
      <c r="F19" s="514"/>
      <c r="G19" s="33"/>
      <c r="H19" s="33"/>
    </row>
    <row r="20" spans="1:8" ht="18">
      <c r="A20" s="33"/>
      <c r="B20" s="528" t="str">
        <v>14</v>
      </c>
      <c r="C20" s="1233"/>
      <c r="D20" s="521" t="s">
        <v>93</v>
      </c>
      <c r="E20" s="538" t="str">
        <f>'Tab.G2.1-3'!$D$106</f>
        <v>[szt.]</v>
      </c>
      <c r="F20" s="510"/>
      <c r="G20" s="33"/>
      <c r="H20" s="33"/>
    </row>
    <row r="21" spans="1:8" ht="15.75">
      <c r="A21" s="33"/>
      <c r="B21" s="528" t="str">
        <v>15</v>
      </c>
      <c r="C21" s="1233"/>
      <c r="D21" s="520" t="s">
        <v>203</v>
      </c>
      <c r="E21" s="538" t="str">
        <f>'Tab.G2.1-3'!$D$106</f>
        <v>[szt.]</v>
      </c>
      <c r="F21" s="510"/>
      <c r="G21" s="33"/>
      <c r="H21" s="33"/>
    </row>
    <row r="22" spans="1:8" ht="16.5" thickBot="1">
      <c r="A22" s="33"/>
      <c r="B22" s="527" t="str">
        <v>16</v>
      </c>
      <c r="C22" s="1232"/>
      <c r="D22" s="521" t="s">
        <v>30</v>
      </c>
      <c r="E22" s="537" t="str">
        <f>'Tab.G2.1-3'!$D$106</f>
        <v>[szt.]</v>
      </c>
      <c r="F22" s="512"/>
      <c r="G22" s="33"/>
      <c r="H22" s="33"/>
    </row>
    <row r="23" spans="1:8" ht="16.5" thickBot="1">
      <c r="A23" s="33"/>
      <c r="B23" s="531" t="str">
        <v>17</v>
      </c>
      <c r="C23" s="524" t="s">
        <v>202</v>
      </c>
      <c r="D23" s="525" t="s">
        <v>54</v>
      </c>
      <c r="E23" s="541" t="str">
        <f>'Tab.G2.1-3'!$D$106</f>
        <v>[szt.]</v>
      </c>
      <c r="F23" s="516"/>
      <c r="G23" s="33"/>
      <c r="H23" s="33"/>
    </row>
    <row r="24" spans="1:8" ht="17.25" thickTop="1" thickBot="1">
      <c r="A24" s="33"/>
      <c r="B24" s="532" t="str">
        <v>18</v>
      </c>
      <c r="C24" s="1229" t="s">
        <v>50</v>
      </c>
      <c r="D24" s="1230"/>
      <c r="E24" s="542" t="str">
        <f>'Tab.G2.1-3'!$D$106</f>
        <v>[szt.]</v>
      </c>
      <c r="F24" s="517">
        <f>SUM(F25:F30)</f>
        <v>0</v>
      </c>
      <c r="G24" s="33"/>
      <c r="H24" s="33"/>
    </row>
    <row r="25" spans="1:8" ht="15.75">
      <c r="A25" s="33"/>
      <c r="B25" s="526" t="str">
        <v>19</v>
      </c>
      <c r="C25" s="1231" t="s">
        <v>45</v>
      </c>
      <c r="D25" s="518" t="s">
        <v>109</v>
      </c>
      <c r="E25" s="536" t="str">
        <f>'Tab.G2.1-3'!$D$106</f>
        <v>[szt.]</v>
      </c>
      <c r="F25" s="513"/>
      <c r="G25" s="33"/>
      <c r="H25" s="33"/>
    </row>
    <row r="26" spans="1:8" ht="16.5" thickBot="1">
      <c r="A26" s="33"/>
      <c r="B26" s="527" t="str">
        <v>20</v>
      </c>
      <c r="C26" s="1232"/>
      <c r="D26" s="519" t="s">
        <v>8</v>
      </c>
      <c r="E26" s="537" t="str">
        <f>'Tab.G2.1-3'!$D$106</f>
        <v>[szt.]</v>
      </c>
      <c r="F26" s="512"/>
      <c r="G26" s="33"/>
      <c r="H26" s="33"/>
    </row>
    <row r="27" spans="1:8" ht="18">
      <c r="A27" s="33"/>
      <c r="B27" s="526" t="str">
        <v>21</v>
      </c>
      <c r="C27" s="1231" t="s">
        <v>46</v>
      </c>
      <c r="D27" s="520" t="s">
        <v>92</v>
      </c>
      <c r="E27" s="536" t="str">
        <f>'Tab.G2.1-3'!$D$106</f>
        <v>[szt.]</v>
      </c>
      <c r="F27" s="514"/>
      <c r="G27" s="33"/>
      <c r="H27" s="33"/>
    </row>
    <row r="28" spans="1:8" ht="18">
      <c r="A28" s="33"/>
      <c r="B28" s="528" t="str">
        <v>22</v>
      </c>
      <c r="C28" s="1233"/>
      <c r="D28" s="521" t="s">
        <v>93</v>
      </c>
      <c r="E28" s="538" t="str">
        <f>'Tab.G2.1-3'!$D$106</f>
        <v>[szt.]</v>
      </c>
      <c r="F28" s="510"/>
      <c r="G28" s="33"/>
      <c r="H28" s="33"/>
    </row>
    <row r="29" spans="1:8" ht="15.75">
      <c r="A29" s="33"/>
      <c r="B29" s="528" t="str">
        <v>23</v>
      </c>
      <c r="C29" s="1233"/>
      <c r="D29" s="520" t="s">
        <v>203</v>
      </c>
      <c r="E29" s="538" t="str">
        <f>'Tab.G2.1-3'!$D$106</f>
        <v>[szt.]</v>
      </c>
      <c r="F29" s="510"/>
      <c r="G29" s="33"/>
      <c r="H29" s="33"/>
    </row>
    <row r="30" spans="1:8" ht="16.5" thickBot="1">
      <c r="A30" s="33"/>
      <c r="B30" s="527" t="str">
        <v>24</v>
      </c>
      <c r="C30" s="1232"/>
      <c r="D30" s="521" t="s">
        <v>30</v>
      </c>
      <c r="E30" s="537" t="str">
        <f>'Tab.G2.1-3'!$D$106</f>
        <v>[szt.]</v>
      </c>
      <c r="F30" s="512"/>
      <c r="G30" s="33"/>
      <c r="H30" s="33"/>
    </row>
    <row r="31" spans="1:8" ht="16.5" thickBot="1">
      <c r="A31" s="33"/>
      <c r="B31" s="533" t="str">
        <v>25</v>
      </c>
      <c r="C31" s="522" t="s">
        <v>53</v>
      </c>
      <c r="D31" s="523" t="s">
        <v>54</v>
      </c>
      <c r="E31" s="539" t="str">
        <f>'Tab.G2.1-3'!$D$106</f>
        <v>[szt.]</v>
      </c>
      <c r="F31" s="511"/>
      <c r="G31" s="33"/>
      <c r="H31" s="33"/>
    </row>
    <row r="32" spans="1:8" ht="16.5" thickBot="1">
      <c r="A32" s="33"/>
      <c r="B32" s="530" t="str">
        <v>26</v>
      </c>
      <c r="C32" s="1234" t="s">
        <v>51</v>
      </c>
      <c r="D32" s="1234"/>
      <c r="E32" s="535" t="str">
        <f>'Tab.G2.1-3'!$D$106</f>
        <v>[szt.]</v>
      </c>
      <c r="F32" s="515">
        <f>SUM(F33:F38)</f>
        <v>0</v>
      </c>
      <c r="G32" s="33"/>
      <c r="H32" s="33"/>
    </row>
    <row r="33" spans="1:8" ht="15.75">
      <c r="A33" s="33"/>
      <c r="B33" s="526" t="str">
        <v>27</v>
      </c>
      <c r="C33" s="1231" t="s">
        <v>48</v>
      </c>
      <c r="D33" s="518" t="s">
        <v>109</v>
      </c>
      <c r="E33" s="536" t="str">
        <f>'Tab.G2.1-3'!$D$106</f>
        <v>[szt.]</v>
      </c>
      <c r="F33" s="508"/>
      <c r="G33" s="33"/>
      <c r="H33" s="33"/>
    </row>
    <row r="34" spans="1:8" ht="16.5" thickBot="1">
      <c r="A34" s="33"/>
      <c r="B34" s="527" t="str">
        <v>28</v>
      </c>
      <c r="C34" s="1232"/>
      <c r="D34" s="519" t="s">
        <v>8</v>
      </c>
      <c r="E34" s="540" t="str">
        <f>'Tab.G2.1-3'!$D$106</f>
        <v>[szt.]</v>
      </c>
      <c r="F34" s="509"/>
      <c r="G34" s="33"/>
      <c r="H34" s="33"/>
    </row>
    <row r="35" spans="1:8" ht="18">
      <c r="A35" s="33"/>
      <c r="B35" s="526" t="str">
        <v>29</v>
      </c>
      <c r="C35" s="1231" t="s">
        <v>49</v>
      </c>
      <c r="D35" s="520" t="s">
        <v>92</v>
      </c>
      <c r="E35" s="536" t="str">
        <f>'Tab.G2.1-3'!$D$106</f>
        <v>[szt.]</v>
      </c>
      <c r="F35" s="514"/>
      <c r="G35" s="33"/>
      <c r="H35" s="33"/>
    </row>
    <row r="36" spans="1:8" ht="18">
      <c r="A36" s="33"/>
      <c r="B36" s="528" t="str">
        <v>30</v>
      </c>
      <c r="C36" s="1233"/>
      <c r="D36" s="521" t="s">
        <v>93</v>
      </c>
      <c r="E36" s="538" t="str">
        <f>'Tab.G2.1-3'!$D$106</f>
        <v>[szt.]</v>
      </c>
      <c r="F36" s="510"/>
      <c r="G36" s="33"/>
      <c r="H36" s="33"/>
    </row>
    <row r="37" spans="1:8" ht="15.75">
      <c r="A37" s="33"/>
      <c r="B37" s="528" t="str">
        <v>31</v>
      </c>
      <c r="C37" s="1233"/>
      <c r="D37" s="520" t="s">
        <v>203</v>
      </c>
      <c r="E37" s="538" t="str">
        <f>'Tab.G2.1-3'!$D$106</f>
        <v>[szt.]</v>
      </c>
      <c r="F37" s="510"/>
      <c r="G37" s="33"/>
      <c r="H37" s="33"/>
    </row>
    <row r="38" spans="1:8" ht="16.5" thickBot="1">
      <c r="A38" s="33"/>
      <c r="B38" s="527" t="str">
        <v>32</v>
      </c>
      <c r="C38" s="1232"/>
      <c r="D38" s="521" t="s">
        <v>30</v>
      </c>
      <c r="E38" s="537" t="str">
        <f>'Tab.G2.1-3'!$D$106</f>
        <v>[szt.]</v>
      </c>
      <c r="F38" s="512"/>
      <c r="G38" s="33"/>
      <c r="H38" s="33"/>
    </row>
    <row r="39" spans="1:8" ht="16.5" thickBot="1">
      <c r="A39" s="33"/>
      <c r="B39" s="534" t="str">
        <v>33</v>
      </c>
      <c r="C39" s="524" t="s">
        <v>202</v>
      </c>
      <c r="D39" s="525" t="s">
        <v>54</v>
      </c>
      <c r="E39" s="541" t="str">
        <f>'Tab.G2.1-3'!$D$106</f>
        <v>[szt.]</v>
      </c>
      <c r="F39" s="516"/>
      <c r="G39" s="33"/>
      <c r="H39" s="33"/>
    </row>
    <row r="40" spans="1:8" ht="13.5" thickTop="1">
      <c r="A40" s="759"/>
      <c r="B40" s="759"/>
      <c r="C40" s="759"/>
      <c r="D40" s="759"/>
      <c r="E40" s="759"/>
      <c r="F40" s="759"/>
      <c r="G40" s="759"/>
      <c r="H40" s="759"/>
    </row>
    <row r="41" spans="1:8" ht="15.75">
      <c r="A41" s="759"/>
      <c r="B41" s="704"/>
      <c r="C41" s="704"/>
      <c r="D41" s="704"/>
      <c r="E41" s="704"/>
      <c r="F41" s="704"/>
      <c r="G41" s="704"/>
      <c r="H41" s="759"/>
    </row>
    <row r="42" spans="1:8" ht="30" customHeight="1" thickBot="1">
      <c r="A42" s="759"/>
      <c r="B42" s="959" t="s">
        <v>205</v>
      </c>
      <c r="C42" s="759"/>
      <c r="D42" s="759"/>
      <c r="E42" s="759"/>
      <c r="F42" s="759"/>
      <c r="G42" s="759"/>
      <c r="H42" s="759"/>
    </row>
    <row r="43" spans="1:8" ht="18" customHeight="1" thickTop="1">
      <c r="A43" s="759"/>
      <c r="B43" s="1215" t="str">
        <f>'Tab.G1.1-4'!$B$8</f>
        <v>LP</v>
      </c>
      <c r="C43" s="1217" t="str">
        <f>'Tab.G1.1-4'!$C$8</f>
        <v>Wyszczególnienie</v>
      </c>
      <c r="D43" s="1218"/>
      <c r="E43" s="1219"/>
      <c r="F43" s="580" t="str">
        <f>'Tab.G1.1-4'!$E$8</f>
        <v>Wykonanie</v>
      </c>
      <c r="G43" s="759"/>
      <c r="H43" s="759"/>
    </row>
    <row r="44" spans="1:8" ht="18" customHeight="1">
      <c r="A44" s="759"/>
      <c r="B44" s="1216"/>
      <c r="C44" s="1220"/>
      <c r="D44" s="1220"/>
      <c r="E44" s="1221"/>
      <c r="F44" s="581">
        <f>Rok_ZPR</f>
        <v>2023</v>
      </c>
      <c r="G44" s="759"/>
      <c r="H44" s="759"/>
    </row>
    <row r="45" spans="1:8" ht="13.5" thickBot="1">
      <c r="A45" s="759"/>
      <c r="B45" s="621" t="str">
        <f t="array" ref="B45:B52">Tab.G17!$B$10:$B$17</f>
        <v>01</v>
      </c>
      <c r="C45" s="1222" t="str">
        <f>Tab.G17!$B$11</f>
        <v>02</v>
      </c>
      <c r="D45" s="1223"/>
      <c r="E45" s="1224"/>
      <c r="F45" s="626" t="str">
        <f>Tab.G17!$B$12</f>
        <v>03</v>
      </c>
      <c r="G45" s="759"/>
      <c r="H45" s="759"/>
    </row>
    <row r="46" spans="1:8" ht="14.25" customHeight="1">
      <c r="A46" s="759"/>
      <c r="B46" s="622" t="str">
        <v>02</v>
      </c>
      <c r="C46" s="1225" t="str">
        <f>"Uszkodzenia mechaniczne"</f>
        <v>Uszkodzenia mechaniczne</v>
      </c>
      <c r="D46" s="1226"/>
      <c r="E46" s="578" t="s">
        <v>222</v>
      </c>
      <c r="F46" s="576"/>
      <c r="G46" s="759"/>
      <c r="H46" s="759"/>
    </row>
    <row r="47" spans="1:8" ht="14.25">
      <c r="A47" s="759"/>
      <c r="B47" s="623" t="str">
        <v>03</v>
      </c>
      <c r="C47" s="1227" t="str">
        <f>" - w tym spowodowane przez strony trzecie"</f>
        <v xml:space="preserve"> - w tym spowodowane przez strony trzecie</v>
      </c>
      <c r="D47" s="1228"/>
      <c r="E47" s="579" t="s">
        <v>222</v>
      </c>
      <c r="F47" s="577"/>
      <c r="G47" s="759"/>
      <c r="H47" s="759"/>
    </row>
    <row r="48" spans="1:8" ht="14.25" customHeight="1">
      <c r="A48" s="759"/>
      <c r="B48" s="623" t="str">
        <v>04</v>
      </c>
      <c r="C48" s="1209" t="str">
        <f>"Korozja rurociągów"</f>
        <v>Korozja rurociągów</v>
      </c>
      <c r="D48" s="1210"/>
      <c r="E48" s="579" t="s">
        <v>222</v>
      </c>
      <c r="F48" s="577"/>
      <c r="G48" s="759"/>
      <c r="H48" s="759"/>
    </row>
    <row r="49" spans="1:8" ht="14.25">
      <c r="A49" s="759"/>
      <c r="B49" s="623" t="str">
        <v>05</v>
      </c>
      <c r="C49" s="1209" t="str">
        <f>"Pęknięcia spoin / rozszczelnienia połączeń"</f>
        <v>Pęknięcia spoin / rozszczelnienia połączeń</v>
      </c>
      <c r="D49" s="1210"/>
      <c r="E49" s="579" t="s">
        <v>222</v>
      </c>
      <c r="F49" s="577"/>
      <c r="G49" s="759"/>
      <c r="H49" s="759"/>
    </row>
    <row r="50" spans="1:8" ht="14.25">
      <c r="A50" s="759"/>
      <c r="B50" s="623" t="str">
        <v>06</v>
      </c>
      <c r="C50" s="1209" t="str">
        <f>"Nieszczelność armatury"</f>
        <v>Nieszczelność armatury</v>
      </c>
      <c r="D50" s="1210"/>
      <c r="E50" s="579" t="s">
        <v>222</v>
      </c>
      <c r="F50" s="577"/>
      <c r="G50" s="759"/>
      <c r="H50" s="759"/>
    </row>
    <row r="51" spans="1:8" ht="15" thickBot="1">
      <c r="A51" s="759"/>
      <c r="B51" s="624" t="str">
        <v>07</v>
      </c>
      <c r="C51" s="1211" t="str">
        <f>"Pozostałe"</f>
        <v>Pozostałe</v>
      </c>
      <c r="D51" s="1212"/>
      <c r="E51" s="582" t="s">
        <v>222</v>
      </c>
      <c r="F51" s="583"/>
      <c r="G51" s="759"/>
      <c r="H51" s="759"/>
    </row>
    <row r="52" spans="1:8" ht="15.75" thickBot="1">
      <c r="A52" s="759"/>
      <c r="B52" s="625" t="str">
        <v>08</v>
      </c>
      <c r="C52" s="1213" t="str">
        <f>"Razem"</f>
        <v>Razem</v>
      </c>
      <c r="D52" s="1214"/>
      <c r="E52" s="584" t="s">
        <v>222</v>
      </c>
      <c r="F52" s="585"/>
      <c r="G52" s="759"/>
      <c r="H52" s="759"/>
    </row>
    <row r="53" spans="1:8" ht="13.5" thickTop="1">
      <c r="A53" s="759"/>
      <c r="B53" s="759"/>
      <c r="C53" s="759"/>
      <c r="D53" s="759"/>
      <c r="E53" s="759"/>
      <c r="F53" s="759"/>
      <c r="G53" s="759"/>
      <c r="H53" s="759"/>
    </row>
    <row r="54" spans="1:8">
      <c r="A54" s="759"/>
      <c r="B54" s="759"/>
      <c r="C54" s="759"/>
      <c r="D54" s="759"/>
      <c r="E54" s="759"/>
      <c r="F54" s="759"/>
      <c r="G54" s="759"/>
      <c r="H54" s="759"/>
    </row>
    <row r="55" spans="1:8">
      <c r="A55" s="759"/>
      <c r="B55" s="759"/>
      <c r="C55" s="759"/>
      <c r="D55" s="759"/>
      <c r="E55" s="759"/>
      <c r="F55" s="759"/>
      <c r="G55" s="759"/>
      <c r="H55" s="759"/>
    </row>
  </sheetData>
  <mergeCells count="27">
    <mergeCell ref="C35:C38"/>
    <mergeCell ref="C32:D32"/>
    <mergeCell ref="C25:C26"/>
    <mergeCell ref="C27:C30"/>
    <mergeCell ref="C33:C34"/>
    <mergeCell ref="C3:F3"/>
    <mergeCell ref="C8:D8"/>
    <mergeCell ref="C7:D7"/>
    <mergeCell ref="E5:E6"/>
    <mergeCell ref="B5:B6"/>
    <mergeCell ref="C5:D6"/>
    <mergeCell ref="C24:D24"/>
    <mergeCell ref="C9:C10"/>
    <mergeCell ref="C11:C14"/>
    <mergeCell ref="C17:C18"/>
    <mergeCell ref="C19:C22"/>
    <mergeCell ref="C16:D16"/>
    <mergeCell ref="C49:D49"/>
    <mergeCell ref="C50:D50"/>
    <mergeCell ref="C51:D51"/>
    <mergeCell ref="C52:D52"/>
    <mergeCell ref="B43:B44"/>
    <mergeCell ref="C43:E44"/>
    <mergeCell ref="C45:E45"/>
    <mergeCell ref="C46:D46"/>
    <mergeCell ref="C47:D47"/>
    <mergeCell ref="C48:D48"/>
  </mergeCells>
  <phoneticPr fontId="0" type="noConversion"/>
  <hyperlinks>
    <hyperlink ref="C1" location="Spis!B58" display="&gt;&gt; powrót do spisu treści" xr:uid="{00000000-0004-0000-2000-000000000000}"/>
  </hyperlinks>
  <pageMargins left="0.74803149606299213" right="0.74803149606299213" top="0.98425196850393704" bottom="0.98425196850393704" header="0.51181102362204722" footer="0.51181102362204722"/>
  <pageSetup paperSize="9" scale="59" fitToHeight="114" orientation="portrait" r:id="rId1"/>
  <headerFooter alignWithMargins="0">
    <oddFooter>&amp;LModuł raportu z wykonania planu inwestycyjnego&amp;C&amp;P/&amp;N&amp;R&amp;A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26"/>
  <dimension ref="A1:J33"/>
  <sheetViews>
    <sheetView zoomScale="90" zoomScaleNormal="90" workbookViewId="0">
      <pane ySplit="4" topLeftCell="A5" activePane="bottomLeft" state="frozen"/>
      <selection pane="bottomLeft" activeCell="J13" sqref="J13"/>
    </sheetView>
  </sheetViews>
  <sheetFormatPr defaultColWidth="8.88671875" defaultRowHeight="15.75"/>
  <cols>
    <col min="1" max="1" width="3.77734375" style="740" customWidth="1"/>
    <col min="2" max="2" width="9.77734375" style="740" customWidth="1"/>
    <col min="3" max="3" width="20.77734375" style="740" customWidth="1"/>
    <col min="4" max="4" width="4.77734375" style="740" customWidth="1"/>
    <col min="5" max="5" width="10.77734375" style="740" customWidth="1"/>
    <col min="6" max="9" width="15.77734375" style="740" customWidth="1"/>
    <col min="10" max="10" width="16.21875" style="740" customWidth="1"/>
    <col min="11" max="16384" width="8.88671875" style="740"/>
  </cols>
  <sheetData>
    <row r="1" spans="1:10">
      <c r="A1" s="759"/>
      <c r="B1" s="1251" t="s">
        <v>9</v>
      </c>
      <c r="C1" s="1252"/>
      <c r="D1" s="1252"/>
      <c r="E1" s="1252"/>
      <c r="F1" s="1252"/>
      <c r="G1" s="1252"/>
      <c r="H1" s="1252"/>
      <c r="I1" s="1252"/>
      <c r="J1" s="688"/>
    </row>
    <row r="2" spans="1:10">
      <c r="A2" s="688"/>
      <c r="B2" s="688"/>
      <c r="C2" s="688"/>
      <c r="D2" s="688"/>
      <c r="E2" s="688"/>
      <c r="F2" s="688"/>
      <c r="G2" s="688"/>
      <c r="H2" s="688"/>
      <c r="I2" s="688"/>
      <c r="J2" s="688"/>
    </row>
    <row r="3" spans="1:10">
      <c r="A3" s="688"/>
      <c r="B3" s="688"/>
      <c r="C3" s="688"/>
      <c r="D3" s="688"/>
      <c r="E3" s="688"/>
      <c r="F3" s="688"/>
      <c r="G3" s="688"/>
      <c r="H3" s="688"/>
      <c r="I3" s="688"/>
      <c r="J3" s="688"/>
    </row>
    <row r="4" spans="1:10">
      <c r="A4" s="688"/>
      <c r="B4" s="688"/>
      <c r="C4" s="688"/>
      <c r="D4" s="688"/>
      <c r="E4" s="688"/>
      <c r="F4" s="688"/>
      <c r="G4" s="688"/>
      <c r="H4" s="688"/>
      <c r="I4" s="688"/>
      <c r="J4" s="688"/>
    </row>
    <row r="5" spans="1:10" ht="30" customHeight="1" thickBot="1">
      <c r="A5" s="688"/>
      <c r="B5" s="775" t="str">
        <f>"Tabela G20. Przerwy w dystrybucji paliw gazowych w roku sprawozdawczym "&amp;Rok_ZPR</f>
        <v>Tabela G20. Przerwy w dystrybucji paliw gazowych w roku sprawozdawczym 2023</v>
      </c>
      <c r="C5" s="688"/>
      <c r="D5" s="688"/>
      <c r="E5" s="688"/>
      <c r="F5" s="688"/>
      <c r="G5" s="688"/>
      <c r="H5" s="688"/>
      <c r="I5" s="688"/>
      <c r="J5" s="688"/>
    </row>
    <row r="6" spans="1:10" ht="20.100000000000001" customHeight="1">
      <c r="A6" s="688"/>
      <c r="B6" s="1261" t="str">
        <f>"RODZAJ PRZERW"</f>
        <v>RODZAJ PRZERW</v>
      </c>
      <c r="C6" s="1263" t="str">
        <f>'Tab.G1.1-4'!$C$8</f>
        <v>Wyszczególnienie</v>
      </c>
      <c r="D6" s="1264"/>
      <c r="E6" s="1267" t="str">
        <f>"JEDNOSTKA"</f>
        <v>JEDNOSTKA</v>
      </c>
      <c r="F6" s="1248" t="str">
        <f>"Rodzaj gazu"</f>
        <v>Rodzaj gazu</v>
      </c>
      <c r="G6" s="1249"/>
      <c r="H6" s="1249"/>
      <c r="I6" s="1250"/>
      <c r="J6" s="1246" t="str">
        <f>"Razem"</f>
        <v>Razem</v>
      </c>
    </row>
    <row r="7" spans="1:10" ht="20.100000000000001" customHeight="1">
      <c r="A7" s="688"/>
      <c r="B7" s="1262"/>
      <c r="C7" s="1265"/>
      <c r="D7" s="1266"/>
      <c r="E7" s="1268" t="s">
        <v>223</v>
      </c>
      <c r="F7" s="741" t="str">
        <f>"E¹"</f>
        <v>E¹</v>
      </c>
      <c r="G7" s="742" t="str">
        <f>"Lw²"</f>
        <v>Lw²</v>
      </c>
      <c r="H7" s="742" t="str">
        <f>"Ls³"</f>
        <v>Ls³</v>
      </c>
      <c r="I7" s="1007" t="s">
        <v>285</v>
      </c>
      <c r="J7" s="1247"/>
    </row>
    <row r="8" spans="1:10" ht="14.1" customHeight="1" thickBot="1">
      <c r="A8" s="688"/>
      <c r="B8" s="767" t="str">
        <f>Tab.G17!$B$10</f>
        <v>01</v>
      </c>
      <c r="C8" s="1260" t="str">
        <f>Tab.G17!$B$11</f>
        <v>02</v>
      </c>
      <c r="D8" s="1260"/>
      <c r="E8" s="768" t="str">
        <f t="array" ref="E8:I8">TRANSPOSE(Tab.G17!$B$12:$B$16)</f>
        <v>03</v>
      </c>
      <c r="F8" s="769" t="str">
        <v>04</v>
      </c>
      <c r="G8" s="770" t="str">
        <v>05</v>
      </c>
      <c r="H8" s="963" t="str">
        <v>06</v>
      </c>
      <c r="I8" s="1008" t="str">
        <v>07</v>
      </c>
      <c r="J8" s="771" t="str">
        <f>TRANSPOSE(Tab.G17!J10)</f>
        <v>08</v>
      </c>
    </row>
    <row r="9" spans="1:10" ht="20.100000000000001" customHeight="1">
      <c r="A9" s="688"/>
      <c r="B9" s="1255" t="s">
        <v>214</v>
      </c>
      <c r="C9" s="743" t="str">
        <f>"Czas przerw (Tᵣ)"</f>
        <v>Czas przerw (Tᵣ)</v>
      </c>
      <c r="D9" s="772" t="str">
        <f t="array" ref="D9:D14">Tab.G17!$B$10:$B$15</f>
        <v>01</v>
      </c>
      <c r="E9" s="578" t="str">
        <f>"[h]"</f>
        <v>[h]</v>
      </c>
      <c r="F9" s="744"/>
      <c r="G9" s="745"/>
      <c r="H9" s="746"/>
      <c r="I9" s="746"/>
      <c r="J9" s="747">
        <f>SUM(F9:I9)</f>
        <v>0</v>
      </c>
    </row>
    <row r="10" spans="1:10" ht="20.100000000000001" customHeight="1">
      <c r="A10" s="688"/>
      <c r="B10" s="1256"/>
      <c r="C10" s="750" t="str">
        <f>"Ilość odbiorców (N₀)"</f>
        <v>Ilość odbiorców (N₀)</v>
      </c>
      <c r="D10" s="773" t="str">
        <v>02</v>
      </c>
      <c r="E10" s="751" t="str">
        <f>'Tab.G2.1-3'!$D$106</f>
        <v>[szt.]</v>
      </c>
      <c r="F10" s="752"/>
      <c r="G10" s="753"/>
      <c r="H10" s="754"/>
      <c r="I10" s="754"/>
      <c r="J10" s="748">
        <f>SUM(F10:I10)</f>
        <v>0</v>
      </c>
    </row>
    <row r="11" spans="1:10" ht="20.100000000000001" customHeight="1" thickBot="1">
      <c r="A11" s="688"/>
      <c r="B11" s="1257"/>
      <c r="C11" s="755" t="str">
        <f>"Średni czas przerw (tᵥ)"</f>
        <v>Średni czas przerw (tᵥ)</v>
      </c>
      <c r="D11" s="774" t="str">
        <v>03</v>
      </c>
      <c r="E11" s="756" t="str">
        <f>$E$9</f>
        <v>[h]</v>
      </c>
      <c r="F11" s="757" t="str">
        <f t="array" ref="F11:I11">IFERROR(F9:I9/F10:I10,"")</f>
        <v/>
      </c>
      <c r="G11" s="758" t="str">
        <v/>
      </c>
      <c r="H11" s="758" t="str">
        <v/>
      </c>
      <c r="I11" s="1004" t="str">
        <v/>
      </c>
      <c r="J11" s="749" t="str">
        <f t="array" ref="J11">IFERROR(J9:M9/J10:M10,"")</f>
        <v/>
      </c>
    </row>
    <row r="12" spans="1:10" ht="20.100000000000001" customHeight="1">
      <c r="A12" s="688"/>
      <c r="B12" s="1258" t="s">
        <v>215</v>
      </c>
      <c r="C12" s="743" t="str">
        <f t="array" ref="C12:C14">$C$9:$C$11</f>
        <v>Czas przerw (Tᵣ)</v>
      </c>
      <c r="D12" s="772" t="str">
        <v>04</v>
      </c>
      <c r="E12" s="578" t="str">
        <f>$E$9</f>
        <v>[h]</v>
      </c>
      <c r="F12" s="744"/>
      <c r="G12" s="745"/>
      <c r="H12" s="745"/>
      <c r="I12" s="1005"/>
      <c r="J12" s="747">
        <f>SUM(F12:I12)</f>
        <v>0</v>
      </c>
    </row>
    <row r="13" spans="1:10" ht="20.100000000000001" customHeight="1">
      <c r="A13" s="688"/>
      <c r="B13" s="1256"/>
      <c r="C13" s="750" t="str">
        <v>Ilość odbiorców (N₀)</v>
      </c>
      <c r="D13" s="773" t="str">
        <v>05</v>
      </c>
      <c r="E13" s="751" t="str">
        <f>'Tab.G2.1-3'!$D$106</f>
        <v>[szt.]</v>
      </c>
      <c r="F13" s="752"/>
      <c r="G13" s="753"/>
      <c r="H13" s="753"/>
      <c r="I13" s="1006"/>
      <c r="J13" s="748">
        <f>SUM(F13:I13)</f>
        <v>0</v>
      </c>
    </row>
    <row r="14" spans="1:10" ht="20.100000000000001" customHeight="1" thickBot="1">
      <c r="A14" s="688"/>
      <c r="B14" s="1257"/>
      <c r="C14" s="755" t="str">
        <v>Średni czas przerw (tᵥ)</v>
      </c>
      <c r="D14" s="774" t="str">
        <v>06</v>
      </c>
      <c r="E14" s="756" t="str">
        <f>$E$9</f>
        <v>[h]</v>
      </c>
      <c r="F14" s="757" t="str">
        <f t="array" ref="F14:I14">IFERROR(F12:I12/F13:I13,"")</f>
        <v/>
      </c>
      <c r="G14" s="758" t="str">
        <v/>
      </c>
      <c r="H14" s="758" t="str">
        <v/>
      </c>
      <c r="I14" s="1004" t="str">
        <v/>
      </c>
      <c r="J14" s="749" t="str">
        <f t="array" ref="J14">IFERROR(J12:M12/J13:M13,"")</f>
        <v/>
      </c>
    </row>
    <row r="15" spans="1:10" ht="18.95" customHeight="1">
      <c r="A15" s="688"/>
      <c r="B15" s="760"/>
      <c r="C15" s="760"/>
      <c r="D15" s="760"/>
      <c r="E15" s="760"/>
      <c r="F15" s="760"/>
      <c r="G15" s="760"/>
      <c r="H15" s="760"/>
      <c r="I15" s="760"/>
      <c r="J15" s="688"/>
    </row>
    <row r="16" spans="1:10" ht="18.95" customHeight="1">
      <c r="A16" s="688"/>
      <c r="B16" s="1253" t="str">
        <f>"Czas trwania przerw (Tᵣ) w roku sprawozdawczym należy obliczyć wg wzoru:"</f>
        <v>Czas trwania przerw (Tᵣ) w roku sprawozdawczym należy obliczyć wg wzoru:</v>
      </c>
      <c r="C16" s="1259"/>
      <c r="D16" s="1259"/>
      <c r="E16" s="1254"/>
      <c r="F16" s="760"/>
      <c r="G16" s="762" t="str">
        <f>"¹ - gaz ziemny wysokometanowy E"</f>
        <v>¹ - gaz ziemny wysokometanowy E</v>
      </c>
      <c r="H16" s="760"/>
      <c r="I16" s="760"/>
      <c r="J16" s="688"/>
    </row>
    <row r="17" spans="1:10" ht="18.95" customHeight="1">
      <c r="A17" s="688"/>
      <c r="B17" s="1259"/>
      <c r="C17" s="1259"/>
      <c r="D17" s="1259"/>
      <c r="E17" s="1254"/>
      <c r="F17" s="760"/>
      <c r="G17" s="762" t="str">
        <f>"² - gaz ziemny zaazotowany Lw"</f>
        <v>² - gaz ziemny zaazotowany Lw</v>
      </c>
      <c r="H17" s="760"/>
      <c r="I17" s="760"/>
      <c r="J17" s="688"/>
    </row>
    <row r="18" spans="1:10" ht="18.95" customHeight="1">
      <c r="A18" s="688"/>
      <c r="B18" s="762"/>
      <c r="C18" s="762"/>
      <c r="D18" s="762"/>
      <c r="E18" s="760"/>
      <c r="F18" s="760"/>
      <c r="G18" s="762" t="str">
        <f>"³ - gaz ziemny zaazotowany Ls"</f>
        <v>³ - gaz ziemny zaazotowany Ls</v>
      </c>
      <c r="H18" s="760"/>
      <c r="I18" s="760"/>
      <c r="J18" s="688"/>
    </row>
    <row r="19" spans="1:10" ht="18.95" customHeight="1">
      <c r="A19" s="688"/>
      <c r="B19" s="762"/>
      <c r="C19" s="762"/>
      <c r="D19" s="762"/>
      <c r="E19" s="760"/>
      <c r="F19" s="760"/>
      <c r="G19" s="761"/>
      <c r="H19" s="760"/>
      <c r="I19" s="760"/>
      <c r="J19" s="688"/>
    </row>
    <row r="20" spans="1:10" ht="18.95" customHeight="1">
      <c r="A20" s="688"/>
      <c r="B20" s="1253" t="str">
        <f>"Ilość odbiorców końcowych (N₀) w roku sprawozdawczym należy obliczyć wg wzoru:"</f>
        <v>Ilość odbiorców końcowych (N₀) w roku sprawozdawczym należy obliczyć wg wzoru:</v>
      </c>
      <c r="C20" s="1253"/>
      <c r="D20" s="1253"/>
      <c r="E20" s="1254"/>
      <c r="F20" s="760"/>
      <c r="G20" s="760"/>
      <c r="H20" s="760"/>
      <c r="I20" s="760"/>
      <c r="J20" s="688"/>
    </row>
    <row r="21" spans="1:10" ht="18.95" customHeight="1">
      <c r="A21" s="688"/>
      <c r="B21" s="1253"/>
      <c r="C21" s="1253"/>
      <c r="D21" s="1253"/>
      <c r="E21" s="1254"/>
      <c r="F21" s="760"/>
      <c r="G21" s="760"/>
      <c r="H21" s="760"/>
      <c r="I21" s="760"/>
      <c r="J21" s="688"/>
    </row>
    <row r="22" spans="1:10" ht="18.95" customHeight="1">
      <c r="A22" s="688"/>
      <c r="B22" s="762"/>
      <c r="C22" s="762"/>
      <c r="D22" s="762"/>
      <c r="E22" s="760"/>
      <c r="F22" s="760"/>
      <c r="G22" s="760"/>
      <c r="H22" s="760"/>
      <c r="I22" s="760"/>
      <c r="J22" s="688"/>
    </row>
    <row r="23" spans="1:10" ht="18.95" customHeight="1">
      <c r="A23" s="688"/>
      <c r="B23" s="762"/>
      <c r="C23" s="762"/>
      <c r="D23" s="762"/>
      <c r="E23" s="760"/>
      <c r="F23" s="760"/>
      <c r="G23" s="760"/>
      <c r="H23" s="760"/>
      <c r="I23" s="760"/>
      <c r="J23" s="688"/>
    </row>
    <row r="24" spans="1:10" ht="18.95" customHeight="1">
      <c r="A24" s="688"/>
      <c r="B24" s="1253" t="str">
        <f>"Średni czas przerw (tᵥ) kalkuluje się wg wzoru:"</f>
        <v>Średni czas przerw (tᵥ) kalkuluje się wg wzoru:</v>
      </c>
      <c r="C24" s="1253"/>
      <c r="D24" s="1254"/>
      <c r="E24" s="1254"/>
      <c r="F24" s="760"/>
      <c r="G24" s="760"/>
      <c r="H24" s="760"/>
      <c r="I24" s="760"/>
      <c r="J24" s="688"/>
    </row>
    <row r="25" spans="1:10" ht="18.95" customHeight="1">
      <c r="A25" s="688"/>
      <c r="B25" s="1253"/>
      <c r="C25" s="1253"/>
      <c r="D25" s="1254"/>
      <c r="E25" s="1254"/>
      <c r="F25" s="760"/>
      <c r="G25" s="760"/>
      <c r="H25" s="760"/>
      <c r="I25" s="760"/>
      <c r="J25" s="688"/>
    </row>
    <row r="26" spans="1:10" ht="18.95" customHeight="1">
      <c r="A26" s="688"/>
      <c r="B26" s="762"/>
      <c r="C26" s="762"/>
      <c r="D26" s="762"/>
      <c r="E26" s="760"/>
      <c r="F26" s="760"/>
      <c r="G26" s="760"/>
      <c r="H26" s="760"/>
      <c r="I26" s="760"/>
      <c r="J26" s="688"/>
    </row>
    <row r="27" spans="1:10" ht="18.95" customHeight="1">
      <c r="A27" s="688"/>
      <c r="B27" s="762"/>
      <c r="C27" s="762"/>
      <c r="D27" s="762"/>
      <c r="E27" s="760"/>
      <c r="F27" s="760"/>
      <c r="G27" s="760"/>
      <c r="H27" s="760"/>
      <c r="I27" s="760"/>
      <c r="J27" s="688"/>
    </row>
    <row r="28" spans="1:10" ht="18.95" customHeight="1">
      <c r="A28" s="688"/>
      <c r="B28" s="763" t="str">
        <f>"przy czym:"</f>
        <v>przy czym:</v>
      </c>
      <c r="C28" s="760"/>
      <c r="D28" s="762"/>
      <c r="E28" s="760"/>
      <c r="F28" s="760"/>
      <c r="G28" s="760"/>
      <c r="H28" s="760"/>
      <c r="I28" s="760"/>
      <c r="J28" s="688"/>
    </row>
    <row r="29" spans="1:10" ht="18.95" customHeight="1">
      <c r="A29" s="688"/>
      <c r="B29" s="765" t="str">
        <f>"tᵢ –"</f>
        <v>tᵢ –</v>
      </c>
      <c r="C29" s="766" t="str">
        <f>"czas trwania przerwy i,"</f>
        <v>czas trwania przerwy i,</v>
      </c>
      <c r="D29" s="762"/>
      <c r="E29" s="760"/>
      <c r="F29" s="760"/>
      <c r="G29" s="760"/>
      <c r="H29" s="760"/>
      <c r="I29" s="760"/>
      <c r="J29" s="688"/>
    </row>
    <row r="30" spans="1:10" ht="18.95" customHeight="1">
      <c r="A30" s="688"/>
      <c r="B30" s="765" t="str">
        <f>"nᵢ –"</f>
        <v>nᵢ –</v>
      </c>
      <c r="C30" s="764" t="str">
        <f>"ilość odbiorców końcowych, których dotyczyła przerwa i,"</f>
        <v>ilość odbiorców końcowych, których dotyczyła przerwa i,</v>
      </c>
      <c r="D30" s="762"/>
      <c r="E30" s="760"/>
      <c r="F30" s="760"/>
      <c r="G30" s="760"/>
      <c r="H30" s="760"/>
      <c r="I30" s="760"/>
      <c r="J30" s="688"/>
    </row>
    <row r="31" spans="1:10" ht="18.95" customHeight="1">
      <c r="A31" s="688"/>
      <c r="B31" s="765" t="str">
        <f>"k –"</f>
        <v>k –</v>
      </c>
      <c r="C31" s="766" t="str">
        <f>"liczba przerw w roku sprawozdawczym,"</f>
        <v>liczba przerw w roku sprawozdawczym,</v>
      </c>
      <c r="D31" s="762"/>
      <c r="E31" s="760"/>
      <c r="F31" s="760"/>
      <c r="G31" s="760"/>
      <c r="H31" s="760"/>
      <c r="I31" s="760"/>
      <c r="J31" s="688"/>
    </row>
    <row r="32" spans="1:10" ht="18.95" customHeight="1">
      <c r="A32" s="688"/>
      <c r="B32" s="765" t="str">
        <f>"N₀ –"</f>
        <v>N₀ –</v>
      </c>
      <c r="C32" s="766" t="str">
        <f>"liczba odbiorców końcowych, których dotyczyły przerwy."</f>
        <v>liczba odbiorców końcowych, których dotyczyły przerwy.</v>
      </c>
      <c r="D32" s="760"/>
      <c r="E32" s="760"/>
      <c r="F32" s="760"/>
      <c r="G32" s="760"/>
      <c r="H32" s="760"/>
      <c r="I32" s="760"/>
      <c r="J32" s="688"/>
    </row>
    <row r="33" spans="1:10">
      <c r="A33" s="688"/>
      <c r="B33" s="688"/>
      <c r="C33" s="688"/>
      <c r="D33" s="688"/>
      <c r="E33" s="688"/>
      <c r="F33" s="688"/>
      <c r="G33" s="688"/>
      <c r="H33" s="688"/>
      <c r="I33" s="688"/>
      <c r="J33" s="688"/>
    </row>
  </sheetData>
  <mergeCells count="12">
    <mergeCell ref="J6:J7"/>
    <mergeCell ref="F6:I6"/>
    <mergeCell ref="B1:I1"/>
    <mergeCell ref="B24:E25"/>
    <mergeCell ref="B9:B11"/>
    <mergeCell ref="B12:B14"/>
    <mergeCell ref="B16:E17"/>
    <mergeCell ref="B20:E21"/>
    <mergeCell ref="C8:D8"/>
    <mergeCell ref="B6:B7"/>
    <mergeCell ref="C6:D7"/>
    <mergeCell ref="E6:E7"/>
  </mergeCells>
  <hyperlinks>
    <hyperlink ref="B1" location="Spis!B59" display="&gt;&gt; powrót do spisu treści" xr:uid="{00000000-0004-0000-2100-000000000000}"/>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13">
    <pageSetUpPr fitToPage="1"/>
  </sheetPr>
  <dimension ref="A1:I76"/>
  <sheetViews>
    <sheetView zoomScaleNormal="75" zoomScaleSheetLayoutView="75" workbookViewId="0">
      <pane ySplit="5" topLeftCell="A6" activePane="bottomLeft" state="frozen"/>
      <selection pane="bottomLeft" activeCell="D31" sqref="D31"/>
    </sheetView>
  </sheetViews>
  <sheetFormatPr defaultColWidth="8.88671875" defaultRowHeight="12.75"/>
  <cols>
    <col min="1" max="1" width="3.77734375" style="145" customWidth="1"/>
    <col min="2" max="2" width="4.77734375" style="145" customWidth="1"/>
    <col min="3" max="3" width="60.77734375" style="145" customWidth="1"/>
    <col min="4" max="4" width="12.77734375" style="145" customWidth="1"/>
    <col min="5" max="5" width="15.77734375" style="145" customWidth="1"/>
    <col min="6" max="7" width="9.88671875" style="145" customWidth="1"/>
    <col min="8" max="8" width="5.88671875" style="145" customWidth="1"/>
    <col min="9" max="16384" width="8.88671875" style="145"/>
  </cols>
  <sheetData>
    <row r="1" spans="1:9" s="201" customFormat="1" ht="15.75">
      <c r="A1" s="687"/>
      <c r="B1" s="687"/>
      <c r="C1" s="928" t="s">
        <v>9</v>
      </c>
      <c r="D1" s="796"/>
      <c r="E1" s="796"/>
      <c r="F1" s="796"/>
      <c r="G1" s="687"/>
      <c r="H1" s="687"/>
    </row>
    <row r="2" spans="1:9">
      <c r="A2" s="685"/>
      <c r="B2" s="685"/>
      <c r="C2" s="685"/>
      <c r="D2" s="685"/>
      <c r="E2" s="685"/>
      <c r="F2" s="685"/>
      <c r="G2" s="685"/>
      <c r="H2" s="685"/>
    </row>
    <row r="3" spans="1:9" ht="15" customHeight="1">
      <c r="A3" s="685"/>
      <c r="B3" s="960" t="s">
        <v>13</v>
      </c>
      <c r="C3" s="933" t="s">
        <v>52</v>
      </c>
      <c r="D3" s="685"/>
      <c r="E3" s="685"/>
      <c r="F3" s="685"/>
      <c r="G3" s="685"/>
      <c r="H3" s="685"/>
    </row>
    <row r="4" spans="1:9" ht="15" customHeight="1">
      <c r="A4" s="685"/>
      <c r="B4" s="960" t="s">
        <v>27</v>
      </c>
      <c r="C4" s="933" t="s">
        <v>60</v>
      </c>
      <c r="D4" s="685"/>
      <c r="E4" s="685"/>
      <c r="F4" s="685"/>
      <c r="G4" s="685"/>
      <c r="H4" s="685"/>
    </row>
    <row r="5" spans="1:9">
      <c r="A5" s="685"/>
      <c r="B5" s="799"/>
      <c r="C5" s="685"/>
      <c r="D5" s="685"/>
      <c r="E5" s="685"/>
      <c r="F5" s="685"/>
      <c r="G5" s="685"/>
      <c r="H5" s="685"/>
    </row>
    <row r="6" spans="1:9" s="201" customFormat="1" ht="30" customHeight="1" thickBot="1">
      <c r="A6" s="687"/>
      <c r="B6" s="775" t="s">
        <v>218</v>
      </c>
      <c r="C6" s="775"/>
      <c r="D6" s="775"/>
      <c r="E6" s="775"/>
      <c r="F6" s="775"/>
      <c r="G6" s="800"/>
      <c r="H6" s="800"/>
      <c r="I6" s="319"/>
    </row>
    <row r="7" spans="1:9" ht="20.100000000000001" customHeight="1" thickTop="1">
      <c r="A7" s="776"/>
      <c r="B7" s="1273" t="str">
        <f>'Tab.G1.1-4'!$B$8</f>
        <v>LP</v>
      </c>
      <c r="C7" s="1269" t="str">
        <f>'Tab.G1.1-4'!$C$8</f>
        <v>Wyszczególnienie</v>
      </c>
      <c r="D7" s="1270"/>
      <c r="E7" s="779" t="str">
        <f>'Tab.G1.1-4'!$E$8</f>
        <v>Wykonanie</v>
      </c>
      <c r="F7" s="274"/>
      <c r="G7" s="274"/>
      <c r="H7" s="776"/>
    </row>
    <row r="8" spans="1:9" ht="20.100000000000001" customHeight="1">
      <c r="A8" s="776"/>
      <c r="B8" s="1274"/>
      <c r="C8" s="1271"/>
      <c r="D8" s="1272"/>
      <c r="E8" s="544">
        <f>Rok_ZPR</f>
        <v>2023</v>
      </c>
      <c r="F8" s="274"/>
      <c r="G8" s="274"/>
      <c r="H8" s="776"/>
    </row>
    <row r="9" spans="1:9" ht="14.1" customHeight="1" thickBot="1">
      <c r="A9" s="776"/>
      <c r="B9" s="792"/>
      <c r="C9" s="1275" t="str">
        <f>Tab.G17!$B$11</f>
        <v>02</v>
      </c>
      <c r="D9" s="1080"/>
      <c r="E9" s="778" t="str">
        <f>Tab.G17!$B$12</f>
        <v>03</v>
      </c>
      <c r="F9" s="274"/>
      <c r="G9" s="274"/>
      <c r="H9" s="776"/>
    </row>
    <row r="10" spans="1:9" ht="18.95" customHeight="1">
      <c r="A10" s="776"/>
      <c r="B10" s="1014" t="s">
        <v>300</v>
      </c>
      <c r="C10" s="789" t="s">
        <v>221</v>
      </c>
      <c r="D10" s="785" t="str">
        <f>'Tab.G2.1-3'!$D$106</f>
        <v>[szt.]</v>
      </c>
      <c r="E10" s="780"/>
      <c r="F10" s="274"/>
      <c r="G10" s="274"/>
      <c r="H10" s="776"/>
    </row>
    <row r="11" spans="1:9" ht="18.95" customHeight="1">
      <c r="A11" s="776"/>
      <c r="B11" s="1015" t="s">
        <v>301</v>
      </c>
      <c r="C11" s="337" t="s">
        <v>296</v>
      </c>
      <c r="D11" s="786" t="str">
        <f>'Tab.G2.1-3'!$D$106</f>
        <v>[szt.]</v>
      </c>
      <c r="E11" s="781">
        <f>SUM(E12:E13)</f>
        <v>0</v>
      </c>
      <c r="F11" s="274"/>
      <c r="G11" s="274"/>
      <c r="H11" s="776"/>
    </row>
    <row r="12" spans="1:9" ht="18.95" customHeight="1">
      <c r="A12" s="776"/>
      <c r="B12" s="1016" t="s">
        <v>302</v>
      </c>
      <c r="C12" s="790" t="str">
        <f>"- odbiorcy indywidualni (grupy taryfowe W1-W3, L1-L3, B1-B3, R1-R3)"</f>
        <v>- odbiorcy indywidualni (grupy taryfowe W1-W3, L1-L3, B1-B3, R1-R3)</v>
      </c>
      <c r="D12" s="787" t="str">
        <f>'Tab.G2.1-3'!$D$106</f>
        <v>[szt.]</v>
      </c>
      <c r="E12" s="783"/>
      <c r="F12" s="274"/>
      <c r="G12" s="274"/>
      <c r="H12" s="776"/>
    </row>
    <row r="13" spans="1:9" ht="18.95" customHeight="1">
      <c r="A13" s="776"/>
      <c r="B13" s="1017" t="s">
        <v>303</v>
      </c>
      <c r="C13" s="791" t="str">
        <f>"- odbiorcy instytucjonalni (pozostałe grupy taryfowe)"</f>
        <v>- odbiorcy instytucjonalni (pozostałe grupy taryfowe)</v>
      </c>
      <c r="D13" s="788" t="str">
        <f>'Tab.G2.1-3'!$D$106</f>
        <v>[szt.]</v>
      </c>
      <c r="E13" s="784"/>
      <c r="F13" s="274"/>
      <c r="G13" s="274"/>
      <c r="H13" s="776"/>
    </row>
    <row r="14" spans="1:9" ht="18.95" customHeight="1">
      <c r="A14" s="776"/>
      <c r="B14" s="793" t="s">
        <v>304</v>
      </c>
      <c r="C14" s="337" t="s">
        <v>297</v>
      </c>
      <c r="D14" s="786" t="str">
        <f>'Tab.G2.1-3'!$D$106</f>
        <v>[szt.]</v>
      </c>
      <c r="E14" s="781">
        <f>SUM(E15:E18)</f>
        <v>0</v>
      </c>
      <c r="F14" s="274"/>
      <c r="G14" s="274"/>
      <c r="H14" s="776"/>
    </row>
    <row r="15" spans="1:9" ht="18.95" customHeight="1">
      <c r="A15" s="776"/>
      <c r="B15" s="992" t="s">
        <v>305</v>
      </c>
      <c r="C15" s="993" t="str">
        <f>"- gaz ziemny wysokometanowy E"</f>
        <v>- gaz ziemny wysokometanowy E</v>
      </c>
      <c r="D15" s="994" t="str">
        <f>'Tab.G2.1-3'!$D$106</f>
        <v>[szt.]</v>
      </c>
      <c r="E15" s="995"/>
      <c r="F15" s="274"/>
      <c r="G15" s="274"/>
      <c r="H15" s="776"/>
    </row>
    <row r="16" spans="1:9" ht="18.95" customHeight="1">
      <c r="A16" s="776"/>
      <c r="B16" s="996" t="s">
        <v>306</v>
      </c>
      <c r="C16" s="997" t="str">
        <f>"- gaz ziemny zaazotowany podgrupa Lw"</f>
        <v>- gaz ziemny zaazotowany podgrupa Lw</v>
      </c>
      <c r="D16" s="998" t="str">
        <f>'Tab.G2.1-3'!$D$106</f>
        <v>[szt.]</v>
      </c>
      <c r="E16" s="999"/>
      <c r="F16" s="274"/>
      <c r="G16" s="274"/>
      <c r="H16" s="776"/>
    </row>
    <row r="17" spans="1:8" ht="18.95" customHeight="1">
      <c r="A17" s="776"/>
      <c r="B17" s="990" t="s">
        <v>307</v>
      </c>
      <c r="C17" s="997" t="str">
        <f>"- gaz ziemny zaazotowany podgrupa Ls"</f>
        <v>- gaz ziemny zaazotowany podgrupa Ls</v>
      </c>
      <c r="D17" s="998" t="str">
        <f>'Tab.G2.1-3'!$D$106</f>
        <v>[szt.]</v>
      </c>
      <c r="E17" s="991"/>
      <c r="F17" s="274"/>
      <c r="G17" s="274"/>
      <c r="H17" s="776"/>
    </row>
    <row r="18" spans="1:8" ht="18.95" customHeight="1">
      <c r="A18" s="776"/>
      <c r="B18" s="795" t="s">
        <v>308</v>
      </c>
      <c r="C18" s="791" t="str">
        <f>"- gaz koksowniczy"</f>
        <v>- gaz koksowniczy</v>
      </c>
      <c r="D18" s="788" t="str">
        <f>'Tab.G2.1-3'!$D$106</f>
        <v>[szt.]</v>
      </c>
      <c r="E18" s="784"/>
      <c r="F18" s="274"/>
      <c r="G18" s="274"/>
      <c r="H18" s="776"/>
    </row>
    <row r="19" spans="1:8" ht="18.95" customHeight="1">
      <c r="A19" s="776"/>
      <c r="B19" s="793" t="s">
        <v>309</v>
      </c>
      <c r="C19" s="337" t="s">
        <v>219</v>
      </c>
      <c r="D19" s="786" t="str">
        <f>'Tab.G2.1-3'!$D$106</f>
        <v>[szt.]</v>
      </c>
      <c r="E19" s="781">
        <f>SUM(E20:E23)</f>
        <v>0</v>
      </c>
      <c r="F19" s="274"/>
      <c r="G19" s="274"/>
      <c r="H19" s="776"/>
    </row>
    <row r="20" spans="1:8" ht="18.95" customHeight="1">
      <c r="A20" s="776"/>
      <c r="B20" s="794" t="s">
        <v>310</v>
      </c>
      <c r="C20" s="790" t="str">
        <f>"- gaz ziemny wysokometanowy E"</f>
        <v>- gaz ziemny wysokometanowy E</v>
      </c>
      <c r="D20" s="787" t="str">
        <f>'Tab.G2.1-3'!$D$106</f>
        <v>[szt.]</v>
      </c>
      <c r="E20" s="783"/>
      <c r="F20" s="274"/>
      <c r="G20" s="274"/>
      <c r="H20" s="776"/>
    </row>
    <row r="21" spans="1:8" ht="18.95" customHeight="1">
      <c r="A21" s="776"/>
      <c r="B21" s="1000" t="s">
        <v>311</v>
      </c>
      <c r="C21" s="1001" t="str">
        <f>"- gaz ziemny zaazotowany Lw"</f>
        <v>- gaz ziemny zaazotowany Lw</v>
      </c>
      <c r="D21" s="1002" t="str">
        <f>'Tab.G2.1-3'!$D$106</f>
        <v>[szt.]</v>
      </c>
      <c r="E21" s="1003"/>
      <c r="F21" s="274"/>
      <c r="G21" s="274"/>
      <c r="H21" s="776"/>
    </row>
    <row r="22" spans="1:8" ht="18.95" customHeight="1">
      <c r="A22" s="776"/>
      <c r="B22" s="1000" t="s">
        <v>312</v>
      </c>
      <c r="C22" s="997" t="str">
        <f>"- gaz ziemny zaazotowany podgrupa Ls"</f>
        <v>- gaz ziemny zaazotowany podgrupa Ls</v>
      </c>
      <c r="D22" s="1002" t="str">
        <f>'Tab.G2.1-3'!$D$106</f>
        <v>[szt.]</v>
      </c>
      <c r="E22" s="1003"/>
      <c r="F22" s="274"/>
      <c r="G22" s="274"/>
      <c r="H22" s="776"/>
    </row>
    <row r="23" spans="1:8" ht="18.95" customHeight="1">
      <c r="A23" s="776"/>
      <c r="B23" s="1000" t="s">
        <v>313</v>
      </c>
      <c r="C23" s="1001" t="str">
        <f>"- gaz koksowniczy"</f>
        <v>- gaz koksowniczy</v>
      </c>
      <c r="D23" s="1002" t="str">
        <f>'Tab.G2.1-3'!$D$106</f>
        <v>[szt.]</v>
      </c>
      <c r="E23" s="1003"/>
      <c r="F23" s="274"/>
      <c r="G23" s="274"/>
      <c r="H23" s="776"/>
    </row>
    <row r="24" spans="1:8" ht="18.95" customHeight="1">
      <c r="A24" s="776"/>
      <c r="B24" s="793" t="s">
        <v>314</v>
      </c>
      <c r="C24" s="337" t="s">
        <v>298</v>
      </c>
      <c r="D24" s="786" t="str">
        <f>"[tys. m³]"</f>
        <v>[tys. m³]</v>
      </c>
      <c r="E24" s="781">
        <f>SUM(E25:E26)</f>
        <v>0</v>
      </c>
      <c r="F24" s="274"/>
      <c r="G24" s="274"/>
      <c r="H24" s="776"/>
    </row>
    <row r="25" spans="1:8" ht="18.95" customHeight="1">
      <c r="A25" s="776"/>
      <c r="B25" s="794" t="s">
        <v>315</v>
      </c>
      <c r="C25" s="790" t="str">
        <f>"- odbiorcom indywidualnym (grupy taryfowe W1-W3, L1-L3, B1-B3, R1-R3)"</f>
        <v>- odbiorcom indywidualnym (grupy taryfowe W1-W3, L1-L3, B1-B3, R1-R3)</v>
      </c>
      <c r="D25" s="787" t="str">
        <f t="shared" ref="D25:D32" si="0">$D$24</f>
        <v>[tys. m³]</v>
      </c>
      <c r="E25" s="783"/>
      <c r="F25" s="274"/>
      <c r="G25" s="274"/>
      <c r="H25" s="776"/>
    </row>
    <row r="26" spans="1:8" ht="18.95" customHeight="1">
      <c r="A26" s="776"/>
      <c r="B26" s="1000" t="s">
        <v>316</v>
      </c>
      <c r="C26" s="1001" t="str">
        <f>"- odbiorcom instytucjonalnym (pozostałe grupy taryfowe)"</f>
        <v>- odbiorcom instytucjonalnym (pozostałe grupy taryfowe)</v>
      </c>
      <c r="D26" s="1002" t="str">
        <f t="shared" si="0"/>
        <v>[tys. m³]</v>
      </c>
      <c r="E26" s="1003"/>
      <c r="F26" s="274"/>
      <c r="G26" s="274"/>
      <c r="H26" s="776"/>
    </row>
    <row r="27" spans="1:8" ht="18.95" customHeight="1">
      <c r="A27" s="776"/>
      <c r="B27" s="793" t="s">
        <v>317</v>
      </c>
      <c r="C27" s="337" t="s">
        <v>299</v>
      </c>
      <c r="D27" s="786" t="str">
        <f t="shared" si="0"/>
        <v>[tys. m³]</v>
      </c>
      <c r="E27" s="781">
        <f>SUM(E28:E31)</f>
        <v>0</v>
      </c>
      <c r="F27" s="274"/>
      <c r="G27" s="274"/>
      <c r="H27" s="776"/>
    </row>
    <row r="28" spans="1:8" ht="18.95" customHeight="1">
      <c r="A28" s="776"/>
      <c r="B28" s="992" t="s">
        <v>318</v>
      </c>
      <c r="C28" s="993" t="str">
        <f>"- gaz ziemny wysokometanowy E"</f>
        <v>- gaz ziemny wysokometanowy E</v>
      </c>
      <c r="D28" s="994" t="str">
        <f t="shared" si="0"/>
        <v>[tys. m³]</v>
      </c>
      <c r="E28" s="995"/>
      <c r="F28" s="274"/>
      <c r="G28" s="274"/>
      <c r="H28" s="776"/>
    </row>
    <row r="29" spans="1:8" ht="18.95" customHeight="1">
      <c r="A29" s="776"/>
      <c r="B29" s="996" t="s">
        <v>319</v>
      </c>
      <c r="C29" s="997" t="str">
        <f>"- gaz ziemny zaazotowany podgrupa Lw"</f>
        <v>- gaz ziemny zaazotowany podgrupa Lw</v>
      </c>
      <c r="D29" s="998" t="str">
        <f t="shared" si="0"/>
        <v>[tys. m³]</v>
      </c>
      <c r="E29" s="999"/>
      <c r="F29" s="274"/>
      <c r="G29" s="274"/>
      <c r="H29" s="776"/>
    </row>
    <row r="30" spans="1:8" ht="18.95" customHeight="1">
      <c r="A30" s="776"/>
      <c r="B30" s="990" t="s">
        <v>320</v>
      </c>
      <c r="C30" s="997" t="str">
        <f>"- gaz ziemny zaazotowany podgrupa Ls"</f>
        <v>- gaz ziemny zaazotowany podgrupa Ls</v>
      </c>
      <c r="D30" s="998" t="str">
        <f t="shared" si="0"/>
        <v>[tys. m³]</v>
      </c>
      <c r="E30" s="991"/>
      <c r="F30" s="274"/>
      <c r="G30" s="274"/>
      <c r="H30" s="776"/>
    </row>
    <row r="31" spans="1:8" ht="18.95" customHeight="1">
      <c r="A31" s="776"/>
      <c r="B31" s="795" t="s">
        <v>321</v>
      </c>
      <c r="C31" s="791" t="str">
        <f>"- gaz koksowniczy"</f>
        <v>- gaz koksowniczy</v>
      </c>
      <c r="D31" s="788" t="str">
        <f t="shared" si="0"/>
        <v>[tys. m³]</v>
      </c>
      <c r="E31" s="784"/>
      <c r="F31" s="274"/>
      <c r="G31" s="274"/>
      <c r="H31" s="776"/>
    </row>
    <row r="32" spans="1:8" ht="18.95" customHeight="1">
      <c r="A32" s="776"/>
      <c r="B32" s="793" t="s">
        <v>322</v>
      </c>
      <c r="C32" s="337" t="str">
        <f>"Wolumen dystrybuowanego gazu z zagranicy"</f>
        <v>Wolumen dystrybuowanego gazu z zagranicy</v>
      </c>
      <c r="D32" s="786" t="str">
        <f t="shared" si="0"/>
        <v>[tys. m³]</v>
      </c>
      <c r="E32" s="782"/>
      <c r="F32" s="274"/>
      <c r="G32" s="274"/>
      <c r="H32" s="776"/>
    </row>
    <row r="33" spans="1:9" ht="18.95" customHeight="1">
      <c r="A33" s="776"/>
      <c r="B33" s="793" t="s">
        <v>323</v>
      </c>
      <c r="C33" s="337" t="s">
        <v>220</v>
      </c>
      <c r="D33" s="786" t="str">
        <f>"[zł/m³]"</f>
        <v>[zł/m³]</v>
      </c>
      <c r="E33" s="782"/>
      <c r="F33" s="274"/>
      <c r="G33" s="274"/>
      <c r="H33" s="776"/>
    </row>
    <row r="34" spans="1:9" ht="18.95" customHeight="1">
      <c r="A34" s="776"/>
      <c r="B34" s="794" t="s">
        <v>324</v>
      </c>
      <c r="C34" s="790" t="str">
        <f>$C$12</f>
        <v>- odbiorcy indywidualni (grupy taryfowe W1-W3, L1-L3, B1-B3, R1-R3)</v>
      </c>
      <c r="D34" s="787" t="str">
        <f>$D$33</f>
        <v>[zł/m³]</v>
      </c>
      <c r="E34" s="783"/>
      <c r="F34" s="274"/>
      <c r="G34" s="274"/>
      <c r="H34" s="776"/>
    </row>
    <row r="35" spans="1:9" ht="18.95" customHeight="1">
      <c r="A35" s="776"/>
      <c r="B35" s="795" t="s">
        <v>325</v>
      </c>
      <c r="C35" s="791" t="str">
        <f>$C$13</f>
        <v>- odbiorcy instytucjonalni (pozostałe grupy taryfowe)</v>
      </c>
      <c r="D35" s="788" t="str">
        <f>$D$33</f>
        <v>[zł/m³]</v>
      </c>
      <c r="E35" s="784"/>
      <c r="F35" s="274"/>
      <c r="G35" s="274"/>
      <c r="H35" s="776"/>
    </row>
    <row r="36" spans="1:9" ht="18.95" customHeight="1">
      <c r="A36" s="776"/>
      <c r="B36" s="793" t="s">
        <v>326</v>
      </c>
      <c r="C36" s="337" t="str">
        <f>"Liczba wykonanych w danym roku przyłączy, zgodnie z umowami:"</f>
        <v>Liczba wykonanych w danym roku przyłączy, zgodnie z umowami:</v>
      </c>
      <c r="D36" s="786" t="str">
        <f>'Tab.G2.1-3'!$D$106</f>
        <v>[szt.]</v>
      </c>
      <c r="E36" s="782">
        <f>SUM(E37:E40)</f>
        <v>0</v>
      </c>
      <c r="F36" s="274"/>
      <c r="G36" s="274"/>
      <c r="H36" s="776"/>
    </row>
    <row r="37" spans="1:9" ht="18.95" customHeight="1">
      <c r="A37" s="776"/>
      <c r="B37" s="992" t="s">
        <v>327</v>
      </c>
      <c r="C37" s="993" t="str">
        <f>"- gaz ziemny wysokometanowy E"</f>
        <v>- gaz ziemny wysokometanowy E</v>
      </c>
      <c r="D37" s="994" t="str">
        <f>'Tab.G2.1-3'!$D$106</f>
        <v>[szt.]</v>
      </c>
      <c r="E37" s="995"/>
      <c r="F37" s="274"/>
      <c r="G37" s="274"/>
      <c r="H37" s="776"/>
    </row>
    <row r="38" spans="1:9" ht="18.95" customHeight="1">
      <c r="A38" s="776"/>
      <c r="B38" s="996" t="s">
        <v>328</v>
      </c>
      <c r="C38" s="997" t="str">
        <f>"- gaz ziemny zaazotowany podgrupa Lw"</f>
        <v>- gaz ziemny zaazotowany podgrupa Lw</v>
      </c>
      <c r="D38" s="998" t="str">
        <f>'Tab.G2.1-3'!$D$106</f>
        <v>[szt.]</v>
      </c>
      <c r="E38" s="999"/>
      <c r="F38" s="274"/>
      <c r="G38" s="274"/>
      <c r="H38" s="776"/>
    </row>
    <row r="39" spans="1:9" ht="18.95" customHeight="1">
      <c r="A39" s="776"/>
      <c r="B39" s="990" t="s">
        <v>329</v>
      </c>
      <c r="C39" s="997" t="str">
        <f>"- gaz ziemny zaazotowany podgrupa Ls"</f>
        <v>- gaz ziemny zaazotowany podgrupa Ls</v>
      </c>
      <c r="D39" s="998" t="str">
        <f>'Tab.G2.1-3'!$D$106</f>
        <v>[szt.]</v>
      </c>
      <c r="E39" s="991"/>
      <c r="F39" s="274"/>
      <c r="G39" s="274"/>
      <c r="H39" s="776"/>
    </row>
    <row r="40" spans="1:9" ht="18.95" customHeight="1">
      <c r="A40" s="776"/>
      <c r="B40" s="795" t="s">
        <v>330</v>
      </c>
      <c r="C40" s="791" t="str">
        <f>"- gaz koksowniczy"</f>
        <v>- gaz koksowniczy</v>
      </c>
      <c r="D40" s="788" t="str">
        <f>'Tab.G2.1-3'!$D$106</f>
        <v>[szt.]</v>
      </c>
      <c r="E40" s="784"/>
      <c r="F40" s="1013"/>
      <c r="G40" s="274"/>
      <c r="H40" s="274"/>
      <c r="I40" s="776"/>
    </row>
    <row r="41" spans="1:9" ht="18.95" customHeight="1">
      <c r="A41" s="776"/>
      <c r="B41" s="793" t="s">
        <v>331</v>
      </c>
      <c r="C41" s="337" t="str">
        <f>"Długość wykonanych w danym roku przyłączy, w tym:"</f>
        <v>Długość wykonanych w danym roku przyłączy, w tym:</v>
      </c>
      <c r="D41" s="786" t="str">
        <f>'Tab.G2.1-3'!$D$72</f>
        <v>[km]</v>
      </c>
      <c r="E41" s="782">
        <f>SUM(E42:E45)</f>
        <v>0</v>
      </c>
      <c r="F41" s="274"/>
      <c r="G41" s="274"/>
      <c r="H41" s="776"/>
    </row>
    <row r="42" spans="1:9" ht="18.95" customHeight="1">
      <c r="A42" s="776"/>
      <c r="B42" s="992" t="s">
        <v>332</v>
      </c>
      <c r="C42" s="993" t="str">
        <f>"- gaz ziemny wysokometanowy E"</f>
        <v>- gaz ziemny wysokometanowy E</v>
      </c>
      <c r="D42" s="994" t="str">
        <f>'Tab.G2.1-3'!$D$72</f>
        <v>[km]</v>
      </c>
      <c r="E42" s="995"/>
      <c r="F42" s="274"/>
      <c r="G42" s="274"/>
      <c r="H42" s="776"/>
    </row>
    <row r="43" spans="1:9" ht="18.95" customHeight="1">
      <c r="A43" s="776"/>
      <c r="B43" s="996" t="s">
        <v>333</v>
      </c>
      <c r="C43" s="997" t="str">
        <f>"- gaz ziemny zaazotowany podgrupa Lw"</f>
        <v>- gaz ziemny zaazotowany podgrupa Lw</v>
      </c>
      <c r="D43" s="998" t="str">
        <f>'Tab.G2.1-3'!$D$72</f>
        <v>[km]</v>
      </c>
      <c r="E43" s="999"/>
      <c r="F43" s="274"/>
      <c r="G43" s="274"/>
      <c r="H43" s="776"/>
    </row>
    <row r="44" spans="1:9" ht="18.95" customHeight="1">
      <c r="A44" s="776"/>
      <c r="B44" s="990" t="s">
        <v>334</v>
      </c>
      <c r="C44" s="997" t="str">
        <f>"- gaz ziemny zaazotowany podgrupa Ls"</f>
        <v>- gaz ziemny zaazotowany podgrupa Ls</v>
      </c>
      <c r="D44" s="998" t="str">
        <f>'Tab.G2.1-3'!$D$72</f>
        <v>[km]</v>
      </c>
      <c r="E44" s="991"/>
      <c r="F44" s="274"/>
      <c r="G44" s="274"/>
      <c r="H44" s="776"/>
    </row>
    <row r="45" spans="1:9" ht="18.95" customHeight="1">
      <c r="A45" s="776"/>
      <c r="B45" s="795" t="s">
        <v>335</v>
      </c>
      <c r="C45" s="791" t="str">
        <f>"- gaz koksowniczy"</f>
        <v>- gaz koksowniczy</v>
      </c>
      <c r="D45" s="788" t="str">
        <f>'Tab.G2.1-3'!$D$72</f>
        <v>[km]</v>
      </c>
      <c r="E45" s="784"/>
      <c r="F45" s="274"/>
      <c r="G45" s="274"/>
      <c r="H45" s="776"/>
    </row>
    <row r="46" spans="1:9" ht="18.95" customHeight="1">
      <c r="A46" s="776"/>
      <c r="B46" s="793" t="s">
        <v>336</v>
      </c>
      <c r="C46" s="337" t="str">
        <f>"Liczba podpisanych w danym roku umów o przyłączenie, w tym:"</f>
        <v>Liczba podpisanych w danym roku umów o przyłączenie, w tym:</v>
      </c>
      <c r="D46" s="786" t="str">
        <f>'Tab.G2.1-3'!$D$106</f>
        <v>[szt.]</v>
      </c>
      <c r="E46" s="782">
        <f>SUM(E47:E50)</f>
        <v>0</v>
      </c>
      <c r="F46" s="274"/>
      <c r="G46" s="274"/>
      <c r="H46" s="776"/>
    </row>
    <row r="47" spans="1:9" ht="18.95" customHeight="1">
      <c r="A47" s="776"/>
      <c r="B47" s="992" t="s">
        <v>337</v>
      </c>
      <c r="C47" s="993" t="str">
        <f>"- gaz ziemny wysokometanowy E"</f>
        <v>- gaz ziemny wysokometanowy E</v>
      </c>
      <c r="D47" s="994" t="str">
        <f>'Tab.G2.1-3'!$D$106</f>
        <v>[szt.]</v>
      </c>
      <c r="E47" s="995"/>
      <c r="F47" s="274"/>
      <c r="G47" s="274"/>
      <c r="H47" s="776"/>
    </row>
    <row r="48" spans="1:9" ht="18.95" customHeight="1">
      <c r="A48" s="776"/>
      <c r="B48" s="996" t="s">
        <v>338</v>
      </c>
      <c r="C48" s="997" t="str">
        <f>"- gaz ziemny zaazotowany podgrupa Lw"</f>
        <v>- gaz ziemny zaazotowany podgrupa Lw</v>
      </c>
      <c r="D48" s="998" t="str">
        <f>'Tab.G2.1-3'!$D$106</f>
        <v>[szt.]</v>
      </c>
      <c r="E48" s="999"/>
      <c r="F48" s="274"/>
      <c r="G48" s="274"/>
      <c r="H48" s="776"/>
    </row>
    <row r="49" spans="1:8" ht="18.95" customHeight="1">
      <c r="A49" s="776"/>
      <c r="B49" s="990" t="s">
        <v>339</v>
      </c>
      <c r="C49" s="997" t="str">
        <f>"- gaz ziemny zaazotowany podgrupa Ls"</f>
        <v>- gaz ziemny zaazotowany podgrupa Ls</v>
      </c>
      <c r="D49" s="998" t="str">
        <f>'Tab.G2.1-3'!$D$106</f>
        <v>[szt.]</v>
      </c>
      <c r="E49" s="991"/>
      <c r="F49" s="274"/>
      <c r="G49" s="274"/>
      <c r="H49" s="776"/>
    </row>
    <row r="50" spans="1:8" ht="18.95" customHeight="1">
      <c r="A50" s="776"/>
      <c r="B50" s="795" t="s">
        <v>340</v>
      </c>
      <c r="C50" s="791" t="str">
        <f>"- gaz koksowniczy"</f>
        <v>- gaz koksowniczy</v>
      </c>
      <c r="D50" s="788" t="str">
        <f>'Tab.G2.1-3'!$D$106</f>
        <v>[szt.]</v>
      </c>
      <c r="E50" s="784"/>
      <c r="F50" s="274"/>
      <c r="G50" s="274"/>
      <c r="H50" s="776"/>
    </row>
    <row r="51" spans="1:8" ht="18.95" customHeight="1">
      <c r="A51" s="776"/>
      <c r="B51" s="793" t="s">
        <v>341</v>
      </c>
      <c r="C51" s="337" t="str">
        <f>"Liczba wydanych w danym roku warunków przyłączeniowych, w tym:"</f>
        <v>Liczba wydanych w danym roku warunków przyłączeniowych, w tym:</v>
      </c>
      <c r="D51" s="786" t="str">
        <f>'Tab.G2.1-3'!$D$106</f>
        <v>[szt.]</v>
      </c>
      <c r="E51" s="782">
        <f>SUM(E52:E55)</f>
        <v>0</v>
      </c>
      <c r="F51" s="274"/>
      <c r="G51" s="274"/>
      <c r="H51" s="776"/>
    </row>
    <row r="52" spans="1:8" ht="18.95" customHeight="1">
      <c r="A52" s="776"/>
      <c r="B52" s="992" t="s">
        <v>342</v>
      </c>
      <c r="C52" s="993" t="s">
        <v>292</v>
      </c>
      <c r="D52" s="994" t="s">
        <v>222</v>
      </c>
      <c r="E52" s="995"/>
      <c r="F52" s="274"/>
      <c r="G52" s="274"/>
      <c r="H52" s="776"/>
    </row>
    <row r="53" spans="1:8" ht="18.95" customHeight="1">
      <c r="A53" s="776"/>
      <c r="B53" s="996" t="s">
        <v>343</v>
      </c>
      <c r="C53" s="997" t="s">
        <v>293</v>
      </c>
      <c r="D53" s="998" t="s">
        <v>222</v>
      </c>
      <c r="E53" s="999"/>
      <c r="F53" s="274"/>
      <c r="G53" s="274"/>
      <c r="H53" s="776"/>
    </row>
    <row r="54" spans="1:8" ht="18.95" customHeight="1">
      <c r="A54" s="776"/>
      <c r="B54" s="990" t="s">
        <v>344</v>
      </c>
      <c r="C54" s="1001" t="s">
        <v>294</v>
      </c>
      <c r="D54" s="1002" t="s">
        <v>222</v>
      </c>
      <c r="E54" s="991"/>
      <c r="F54" s="274"/>
      <c r="G54" s="274"/>
      <c r="H54" s="776"/>
    </row>
    <row r="55" spans="1:8" ht="18.95" customHeight="1">
      <c r="A55" s="776"/>
      <c r="B55" s="795" t="s">
        <v>345</v>
      </c>
      <c r="C55" s="791" t="s">
        <v>295</v>
      </c>
      <c r="D55" s="788" t="s">
        <v>222</v>
      </c>
      <c r="E55" s="784"/>
      <c r="F55" s="274"/>
      <c r="G55" s="274"/>
      <c r="H55" s="776"/>
    </row>
    <row r="56" spans="1:8" ht="18.95" customHeight="1">
      <c r="A56" s="776"/>
      <c r="B56" s="793" t="s">
        <v>346</v>
      </c>
      <c r="C56" s="337" t="str">
        <f>"Liczba złożonych w danym roku wniosków o przyłączenie, w tym:"</f>
        <v>Liczba złożonych w danym roku wniosków o przyłączenie, w tym:</v>
      </c>
      <c r="D56" s="786" t="str">
        <f>'Tab.G2.1-3'!$D$106</f>
        <v>[szt.]</v>
      </c>
      <c r="E56" s="782">
        <f>SUM(E57:E60)</f>
        <v>0</v>
      </c>
      <c r="F56" s="274"/>
      <c r="G56" s="274"/>
      <c r="H56" s="776"/>
    </row>
    <row r="57" spans="1:8" ht="18.95" customHeight="1">
      <c r="A57" s="776"/>
      <c r="B57" s="992" t="s">
        <v>347</v>
      </c>
      <c r="C57" s="993" t="s">
        <v>292</v>
      </c>
      <c r="D57" s="994" t="s">
        <v>222</v>
      </c>
      <c r="E57" s="995"/>
      <c r="F57" s="274"/>
      <c r="G57" s="274"/>
      <c r="H57" s="776"/>
    </row>
    <row r="58" spans="1:8" ht="18.95" customHeight="1">
      <c r="A58" s="776"/>
      <c r="B58" s="996" t="s">
        <v>348</v>
      </c>
      <c r="C58" s="997" t="s">
        <v>293</v>
      </c>
      <c r="D58" s="998" t="s">
        <v>222</v>
      </c>
      <c r="E58" s="999"/>
      <c r="F58" s="274"/>
      <c r="G58" s="274"/>
      <c r="H58" s="776"/>
    </row>
    <row r="59" spans="1:8" ht="18.95" customHeight="1">
      <c r="A59" s="776"/>
      <c r="B59" s="990" t="s">
        <v>349</v>
      </c>
      <c r="C59" s="1001" t="s">
        <v>294</v>
      </c>
      <c r="D59" s="1002" t="s">
        <v>222</v>
      </c>
      <c r="E59" s="991"/>
      <c r="F59" s="274"/>
      <c r="G59" s="274"/>
      <c r="H59" s="776"/>
    </row>
    <row r="60" spans="1:8" ht="18.95" customHeight="1">
      <c r="A60" s="776"/>
      <c r="B60" s="795" t="s">
        <v>350</v>
      </c>
      <c r="C60" s="791" t="s">
        <v>295</v>
      </c>
      <c r="D60" s="788" t="s">
        <v>222</v>
      </c>
      <c r="E60" s="784"/>
      <c r="F60" s="274"/>
      <c r="G60" s="274"/>
      <c r="H60" s="776"/>
    </row>
    <row r="61" spans="1:8" ht="18.95" customHeight="1">
      <c r="A61" s="776"/>
      <c r="B61" s="793" t="s">
        <v>351</v>
      </c>
      <c r="C61" s="337" t="str">
        <f>"Liczba podpisanych w danym roku umów o przyłączenie nowych źródeł:"</f>
        <v>Liczba podpisanych w danym roku umów o przyłączenie nowych źródeł:</v>
      </c>
      <c r="D61" s="786" t="str">
        <f>'Tab.G2.1-3'!$D$106</f>
        <v>[szt.]</v>
      </c>
      <c r="E61" s="782">
        <f>SUM(E62:E65)</f>
        <v>0</v>
      </c>
      <c r="F61" s="274"/>
      <c r="G61" s="274"/>
      <c r="H61" s="776"/>
    </row>
    <row r="62" spans="1:8" ht="18.95" customHeight="1">
      <c r="A62" s="776"/>
      <c r="B62" s="992" t="s">
        <v>352</v>
      </c>
      <c r="C62" s="993" t="s">
        <v>292</v>
      </c>
      <c r="D62" s="994" t="s">
        <v>222</v>
      </c>
      <c r="E62" s="995"/>
      <c r="F62" s="274"/>
      <c r="G62" s="274"/>
      <c r="H62" s="776"/>
    </row>
    <row r="63" spans="1:8" ht="18.95" customHeight="1">
      <c r="A63" s="776"/>
      <c r="B63" s="996" t="s">
        <v>353</v>
      </c>
      <c r="C63" s="997" t="s">
        <v>293</v>
      </c>
      <c r="D63" s="998" t="s">
        <v>222</v>
      </c>
      <c r="E63" s="999"/>
      <c r="F63" s="274"/>
      <c r="G63" s="274"/>
      <c r="H63" s="776"/>
    </row>
    <row r="64" spans="1:8" ht="18.95" customHeight="1">
      <c r="A64" s="776"/>
      <c r="B64" s="990" t="s">
        <v>354</v>
      </c>
      <c r="C64" s="1001" t="s">
        <v>294</v>
      </c>
      <c r="D64" s="1002" t="s">
        <v>222</v>
      </c>
      <c r="E64" s="991"/>
      <c r="F64" s="274"/>
      <c r="G64" s="274"/>
      <c r="H64" s="776"/>
    </row>
    <row r="65" spans="1:8" ht="18.95" customHeight="1">
      <c r="A65" s="776"/>
      <c r="B65" s="795" t="s">
        <v>355</v>
      </c>
      <c r="C65" s="791" t="s">
        <v>295</v>
      </c>
      <c r="D65" s="788" t="s">
        <v>222</v>
      </c>
      <c r="E65" s="784"/>
      <c r="F65" s="274"/>
      <c r="G65" s="274"/>
      <c r="H65" s="776"/>
    </row>
    <row r="66" spans="1:8" ht="18.95" customHeight="1">
      <c r="A66" s="776"/>
      <c r="B66" s="793" t="s">
        <v>356</v>
      </c>
      <c r="C66" s="337" t="str">
        <f>"Liczba złożonych w danym roku warunków przyłączeniowych nowych źródeł"</f>
        <v>Liczba złożonych w danym roku warunków przyłączeniowych nowych źródeł</v>
      </c>
      <c r="D66" s="786" t="str">
        <f>'Tab.G2.1-3'!$D$106</f>
        <v>[szt.]</v>
      </c>
      <c r="E66" s="782">
        <f>SUM(E67:E70)</f>
        <v>0</v>
      </c>
      <c r="F66" s="274"/>
      <c r="G66" s="274"/>
      <c r="H66" s="776"/>
    </row>
    <row r="67" spans="1:8" ht="18.95" customHeight="1">
      <c r="A67" s="776"/>
      <c r="B67" s="992" t="s">
        <v>357</v>
      </c>
      <c r="C67" s="993" t="s">
        <v>292</v>
      </c>
      <c r="D67" s="994" t="s">
        <v>222</v>
      </c>
      <c r="E67" s="995"/>
      <c r="F67" s="274"/>
      <c r="G67" s="274"/>
      <c r="H67" s="776"/>
    </row>
    <row r="68" spans="1:8" ht="18.95" customHeight="1">
      <c r="A68" s="776"/>
      <c r="B68" s="996" t="s">
        <v>358</v>
      </c>
      <c r="C68" s="997" t="s">
        <v>293</v>
      </c>
      <c r="D68" s="998" t="s">
        <v>222</v>
      </c>
      <c r="E68" s="999"/>
      <c r="F68" s="274"/>
      <c r="G68" s="274"/>
      <c r="H68" s="776"/>
    </row>
    <row r="69" spans="1:8" ht="18.95" customHeight="1">
      <c r="A69" s="776"/>
      <c r="B69" s="990" t="s">
        <v>359</v>
      </c>
      <c r="C69" s="1001" t="s">
        <v>294</v>
      </c>
      <c r="D69" s="1002" t="s">
        <v>222</v>
      </c>
      <c r="E69" s="991"/>
      <c r="F69" s="274"/>
      <c r="G69" s="274"/>
      <c r="H69" s="776"/>
    </row>
    <row r="70" spans="1:8" ht="18.95" customHeight="1">
      <c r="A70" s="776"/>
      <c r="B70" s="795" t="s">
        <v>360</v>
      </c>
      <c r="C70" s="791" t="s">
        <v>295</v>
      </c>
      <c r="D70" s="788" t="s">
        <v>222</v>
      </c>
      <c r="E70" s="784"/>
      <c r="F70" s="274"/>
      <c r="G70" s="274"/>
      <c r="H70" s="776"/>
    </row>
    <row r="71" spans="1:8" ht="18.95" customHeight="1">
      <c r="B71" s="793" t="s">
        <v>361</v>
      </c>
      <c r="C71" s="337" t="str">
        <f>"Liczba złożonych w danym roku wniosków o przyłączenia nowych źródeł"</f>
        <v>Liczba złożonych w danym roku wniosków o przyłączenia nowych źródeł</v>
      </c>
      <c r="D71" s="786" t="str">
        <f>'Tab.G2.1-3'!$D$106</f>
        <v>[szt.]</v>
      </c>
      <c r="E71" s="782">
        <f>SUM(E72:E75)</f>
        <v>0</v>
      </c>
      <c r="F71" s="274"/>
      <c r="G71" s="274"/>
    </row>
    <row r="72" spans="1:8" ht="18.95" customHeight="1">
      <c r="A72" s="685"/>
      <c r="B72" s="992" t="s">
        <v>362</v>
      </c>
      <c r="C72" s="993" t="s">
        <v>292</v>
      </c>
      <c r="D72" s="994" t="s">
        <v>222</v>
      </c>
      <c r="E72" s="995"/>
      <c r="F72" s="685"/>
      <c r="G72" s="685"/>
      <c r="H72" s="685"/>
    </row>
    <row r="73" spans="1:8" ht="18.95" customHeight="1">
      <c r="A73" s="685"/>
      <c r="B73" s="996" t="s">
        <v>363</v>
      </c>
      <c r="C73" s="997" t="s">
        <v>293</v>
      </c>
      <c r="D73" s="998" t="s">
        <v>222</v>
      </c>
      <c r="E73" s="999"/>
      <c r="F73" s="685"/>
      <c r="G73" s="685"/>
      <c r="H73" s="685"/>
    </row>
    <row r="74" spans="1:8" ht="18.95" customHeight="1">
      <c r="A74" s="685"/>
      <c r="B74" s="990" t="s">
        <v>364</v>
      </c>
      <c r="C74" s="1001" t="s">
        <v>294</v>
      </c>
      <c r="D74" s="1002" t="s">
        <v>222</v>
      </c>
      <c r="E74" s="991"/>
      <c r="F74" s="685"/>
      <c r="G74" s="685"/>
      <c r="H74" s="685"/>
    </row>
    <row r="75" spans="1:8" ht="18.95" customHeight="1" thickBot="1">
      <c r="A75" s="776"/>
      <c r="B75" s="1009" t="s">
        <v>365</v>
      </c>
      <c r="C75" s="1010" t="s">
        <v>295</v>
      </c>
      <c r="D75" s="1011" t="s">
        <v>222</v>
      </c>
      <c r="E75" s="1012"/>
      <c r="F75" s="274"/>
      <c r="G75" s="274"/>
      <c r="H75" s="776"/>
    </row>
    <row r="76" spans="1:8" ht="13.5" thickTop="1"/>
  </sheetData>
  <mergeCells count="3">
    <mergeCell ref="C7:D8"/>
    <mergeCell ref="B7:B8"/>
    <mergeCell ref="C9:D9"/>
  </mergeCells>
  <phoneticPr fontId="0" type="noConversion"/>
  <hyperlinks>
    <hyperlink ref="C1" location="Spis!B3" display="&gt;&gt; powrót do spisu treści" xr:uid="{00000000-0004-0000-2200-000000000000}"/>
  </hyperlinks>
  <pageMargins left="0.74803149606299213" right="0.74803149606299213" top="0.98425196850393704" bottom="0.98425196850393704" header="0.51181102362204722" footer="0.51181102362204722"/>
  <pageSetup paperSize="9" scale="72" fitToHeight="114" orientation="portrait" r:id="rId1"/>
  <headerFooter alignWithMargins="0">
    <oddFooter>&amp;LModuł raportu z wykonania planu inwestycyjnego&amp;C&amp;P/&amp;N&amp;R&amp;A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6"/>
  <dimension ref="A1:L192"/>
  <sheetViews>
    <sheetView zoomScale="90" zoomScaleNormal="90" workbookViewId="0">
      <pane ySplit="5" topLeftCell="A6" activePane="bottomLeft" state="frozen"/>
      <selection pane="bottomLeft" activeCell="C6" sqref="C6"/>
    </sheetView>
  </sheetViews>
  <sheetFormatPr defaultColWidth="8.88671875" defaultRowHeight="12.75"/>
  <cols>
    <col min="1" max="1" width="3.77734375" style="145" customWidth="1"/>
    <col min="2" max="2" width="4.77734375" style="145" customWidth="1"/>
    <col min="3" max="3" width="66.77734375" style="145" customWidth="1"/>
    <col min="4" max="4" width="12.77734375" style="145" customWidth="1"/>
    <col min="5" max="5" width="15.77734375" style="145" customWidth="1"/>
    <col min="6" max="7" width="10.77734375" style="145" customWidth="1"/>
    <col min="8" max="16384" width="8.88671875" style="145"/>
  </cols>
  <sheetData>
    <row r="1" spans="1:12" ht="18.95" customHeight="1">
      <c r="A1" s="685"/>
      <c r="B1" s="685"/>
      <c r="C1" s="927" t="str">
        <f>"&gt;&gt; powrót do spisu treści"</f>
        <v>&gt;&gt; powrót do spisu treści</v>
      </c>
      <c r="D1" s="685"/>
      <c r="E1" s="685"/>
      <c r="F1" s="685"/>
      <c r="G1" s="685"/>
      <c r="H1" s="685"/>
      <c r="I1" s="685"/>
      <c r="J1" s="685"/>
      <c r="K1" s="685"/>
    </row>
    <row r="2" spans="1:12" ht="39.950000000000003" customHeight="1">
      <c r="A2" s="685"/>
      <c r="B2" s="1047" t="s">
        <v>56</v>
      </c>
      <c r="C2" s="1048"/>
      <c r="D2" s="1048"/>
      <c r="E2" s="1048"/>
      <c r="F2" s="1048"/>
      <c r="G2" s="1048"/>
      <c r="H2" s="685"/>
      <c r="I2" s="685"/>
      <c r="J2" s="685"/>
      <c r="K2" s="685"/>
    </row>
    <row r="3" spans="1:12" ht="30" customHeight="1">
      <c r="A3" s="685"/>
      <c r="B3" s="834" t="s">
        <v>13</v>
      </c>
      <c r="C3" s="1049" t="s">
        <v>265</v>
      </c>
      <c r="D3" s="1050"/>
      <c r="E3" s="1050"/>
      <c r="F3" s="1050"/>
      <c r="G3" s="1050"/>
      <c r="H3" s="705"/>
      <c r="I3" s="705"/>
      <c r="J3" s="705"/>
      <c r="K3" s="705"/>
    </row>
    <row r="4" spans="1:12" ht="39.950000000000003" customHeight="1">
      <c r="A4" s="685"/>
      <c r="B4" s="834" t="s">
        <v>27</v>
      </c>
      <c r="C4" s="1049" t="s">
        <v>266</v>
      </c>
      <c r="D4" s="1050"/>
      <c r="E4" s="1050"/>
      <c r="F4" s="1050"/>
      <c r="G4" s="1050"/>
      <c r="H4" s="705"/>
      <c r="I4" s="705"/>
      <c r="J4" s="705"/>
      <c r="K4" s="705"/>
    </row>
    <row r="5" spans="1:12" ht="30" customHeight="1">
      <c r="A5" s="685"/>
      <c r="B5" s="834" t="s">
        <v>28</v>
      </c>
      <c r="C5" s="1049" t="s">
        <v>264</v>
      </c>
      <c r="D5" s="1050"/>
      <c r="E5" s="1050"/>
      <c r="F5" s="1050"/>
      <c r="G5" s="1050"/>
      <c r="H5" s="705"/>
      <c r="I5" s="705"/>
      <c r="J5" s="705"/>
      <c r="K5" s="705"/>
      <c r="L5"/>
    </row>
    <row r="6" spans="1:12" ht="30" customHeight="1" thickBot="1">
      <c r="A6" s="685"/>
      <c r="B6" s="695" t="s">
        <v>122</v>
      </c>
      <c r="C6" s="685"/>
      <c r="D6" s="685"/>
      <c r="E6" s="685"/>
      <c r="F6" s="685"/>
      <c r="G6" s="685"/>
      <c r="H6" s="685"/>
      <c r="I6" s="685"/>
      <c r="J6" s="685"/>
      <c r="K6" s="685"/>
    </row>
    <row r="7" spans="1:12" ht="18.95" customHeight="1">
      <c r="A7" s="685"/>
      <c r="B7" s="1035" t="str">
        <f>'Tab.G1.1-4'!$B$8</f>
        <v>LP</v>
      </c>
      <c r="C7" s="1037" t="str">
        <f>'Tab.G1.1-4'!$C$8</f>
        <v>Wyszczególnienie</v>
      </c>
      <c r="D7" s="1038"/>
      <c r="E7" s="627" t="str">
        <f>'Tab.G1.1-4'!$E$8</f>
        <v>Wykonanie</v>
      </c>
      <c r="F7" s="274"/>
      <c r="G7" s="274"/>
      <c r="H7" s="685"/>
      <c r="I7" s="685"/>
      <c r="J7" s="685"/>
      <c r="K7" s="685"/>
    </row>
    <row r="8" spans="1:12" ht="18.95" customHeight="1">
      <c r="A8" s="685"/>
      <c r="B8" s="1036"/>
      <c r="C8" s="1039"/>
      <c r="D8" s="1040"/>
      <c r="E8" s="628">
        <f>Rok_ZPR</f>
        <v>2023</v>
      </c>
      <c r="F8" s="274"/>
      <c r="G8" s="274"/>
      <c r="H8" s="685"/>
      <c r="I8" s="685"/>
      <c r="J8" s="685"/>
      <c r="K8" s="685"/>
    </row>
    <row r="9" spans="1:12" ht="14.1" customHeight="1" thickBot="1">
      <c r="A9" s="685"/>
      <c r="B9" s="644" t="str">
        <f t="array" ref="B9:B65">Tab.G17!$B$10:$B$66</f>
        <v>01</v>
      </c>
      <c r="C9" s="1044" t="str">
        <f>Tab.G17!$B$11</f>
        <v>02</v>
      </c>
      <c r="D9" s="1034"/>
      <c r="E9" s="645" t="str">
        <f>Tab.G17!$B$12</f>
        <v>03</v>
      </c>
      <c r="F9" s="274"/>
      <c r="G9" s="274"/>
      <c r="H9" s="685"/>
      <c r="I9" s="685"/>
      <c r="J9" s="685"/>
      <c r="K9" s="685"/>
    </row>
    <row r="10" spans="1:12" ht="18.95" customHeight="1" thickBot="1">
      <c r="A10" s="685"/>
      <c r="B10" s="641" t="str">
        <v>02</v>
      </c>
      <c r="C10" s="706" t="s">
        <v>112</v>
      </c>
      <c r="D10" s="707" t="str">
        <f>'Tab.G1.1-4'!$D$11</f>
        <v>[tys. zł]</v>
      </c>
      <c r="E10" s="708">
        <f>SUM(E11,E22,E33)</f>
        <v>0</v>
      </c>
      <c r="F10" s="274"/>
      <c r="G10" s="274"/>
      <c r="H10" s="685"/>
      <c r="I10" s="685"/>
      <c r="J10" s="685"/>
      <c r="K10" s="685"/>
    </row>
    <row r="11" spans="1:12" ht="18.95" customHeight="1" thickBot="1">
      <c r="A11" s="685"/>
      <c r="B11" s="633" t="str">
        <v>03</v>
      </c>
      <c r="C11" s="3" t="s">
        <v>120</v>
      </c>
      <c r="D11" s="4" t="str">
        <f>'Tab.G1.1-4'!$D$11</f>
        <v>[tys. zł]</v>
      </c>
      <c r="E11" s="147">
        <f>SUM(E12,E17)</f>
        <v>0</v>
      </c>
      <c r="F11" s="274"/>
      <c r="G11" s="274"/>
      <c r="H11" s="685"/>
      <c r="I11" s="685"/>
      <c r="J11" s="685"/>
      <c r="K11" s="685"/>
    </row>
    <row r="12" spans="1:12" ht="18.95" customHeight="1">
      <c r="A12" s="685"/>
      <c r="B12" s="634" t="str">
        <v>04</v>
      </c>
      <c r="C12" s="258" t="s">
        <v>72</v>
      </c>
      <c r="D12" s="5" t="str">
        <f>'Tab.G1.1-4'!$D$11</f>
        <v>[tys. zł]</v>
      </c>
      <c r="E12" s="148">
        <f>SUM(E13:E16)</f>
        <v>0</v>
      </c>
      <c r="F12" s="274"/>
      <c r="G12" s="274"/>
      <c r="H12" s="685"/>
      <c r="I12" s="685"/>
      <c r="J12" s="685"/>
      <c r="K12" s="685"/>
    </row>
    <row r="13" spans="1:12" ht="18.95" customHeight="1">
      <c r="A13" s="685"/>
      <c r="B13" s="635" t="str">
        <v>05</v>
      </c>
      <c r="C13" s="260" t="s">
        <v>73</v>
      </c>
      <c r="D13" s="6" t="str">
        <f>'Tab.G1.1-4'!$D$11</f>
        <v>[tys. zł]</v>
      </c>
      <c r="E13" s="149"/>
      <c r="F13" s="274"/>
      <c r="G13" s="274"/>
      <c r="H13" s="685"/>
      <c r="I13" s="685"/>
      <c r="J13" s="685"/>
      <c r="K13" s="685"/>
    </row>
    <row r="14" spans="1:12" ht="18.95" customHeight="1">
      <c r="A14" s="685"/>
      <c r="B14" s="636" t="str">
        <v>06</v>
      </c>
      <c r="C14" s="261" t="s">
        <v>74</v>
      </c>
      <c r="D14" s="7" t="str">
        <f>'Tab.G1.1-4'!$D$11</f>
        <v>[tys. zł]</v>
      </c>
      <c r="E14" s="150"/>
      <c r="F14" s="274"/>
      <c r="G14" s="274"/>
      <c r="H14" s="685"/>
      <c r="I14" s="685"/>
      <c r="J14" s="685"/>
      <c r="K14" s="685"/>
    </row>
    <row r="15" spans="1:12" ht="18.95" customHeight="1">
      <c r="A15" s="685"/>
      <c r="B15" s="636" t="str">
        <v>07</v>
      </c>
      <c r="C15" s="261" t="s">
        <v>75</v>
      </c>
      <c r="D15" s="7" t="str">
        <f>'Tab.G1.1-4'!$D$11</f>
        <v>[tys. zł]</v>
      </c>
      <c r="E15" s="150"/>
      <c r="F15" s="274"/>
      <c r="G15" s="274"/>
      <c r="H15" s="685"/>
      <c r="I15" s="685"/>
      <c r="J15" s="685"/>
      <c r="K15" s="685"/>
    </row>
    <row r="16" spans="1:12" ht="18.95" customHeight="1">
      <c r="A16" s="685"/>
      <c r="B16" s="637" t="str">
        <v>08</v>
      </c>
      <c r="C16" s="264" t="s">
        <v>76</v>
      </c>
      <c r="D16" s="8" t="str">
        <f>'Tab.G1.1-4'!$D$11</f>
        <v>[tys. zł]</v>
      </c>
      <c r="E16" s="151"/>
      <c r="F16" s="274"/>
      <c r="G16" s="274"/>
      <c r="H16" s="685"/>
      <c r="I16" s="685"/>
      <c r="J16" s="685"/>
      <c r="K16" s="685"/>
    </row>
    <row r="17" spans="1:11" ht="18.95" customHeight="1">
      <c r="A17" s="685"/>
      <c r="B17" s="638" t="str">
        <v>09</v>
      </c>
      <c r="C17" s="259" t="s">
        <v>77</v>
      </c>
      <c r="D17" s="9" t="str">
        <f>'Tab.G1.1-4'!$D$11</f>
        <v>[tys. zł]</v>
      </c>
      <c r="E17" s="152">
        <f>SUM(E18:E21)</f>
        <v>0</v>
      </c>
      <c r="F17" s="274"/>
      <c r="G17" s="274"/>
      <c r="H17" s="685"/>
      <c r="I17" s="685"/>
      <c r="J17" s="685"/>
      <c r="K17" s="685"/>
    </row>
    <row r="18" spans="1:11" ht="18.95" customHeight="1">
      <c r="A18" s="685"/>
      <c r="B18" s="635" t="str">
        <v>10</v>
      </c>
      <c r="C18" s="260" t="s">
        <v>73</v>
      </c>
      <c r="D18" s="6" t="str">
        <f>'Tab.G1.1-4'!$D$11</f>
        <v>[tys. zł]</v>
      </c>
      <c r="E18" s="149"/>
      <c r="F18" s="274"/>
      <c r="G18" s="274"/>
      <c r="H18" s="685"/>
      <c r="I18" s="685"/>
      <c r="J18" s="685"/>
      <c r="K18" s="685"/>
    </row>
    <row r="19" spans="1:11" ht="18.95" customHeight="1">
      <c r="A19" s="685"/>
      <c r="B19" s="636" t="str">
        <v>11</v>
      </c>
      <c r="C19" s="261" t="s">
        <v>74</v>
      </c>
      <c r="D19" s="7" t="str">
        <f>'Tab.G1.1-4'!$D$11</f>
        <v>[tys. zł]</v>
      </c>
      <c r="E19" s="150"/>
      <c r="F19" s="274"/>
      <c r="G19" s="274"/>
      <c r="H19" s="685"/>
      <c r="I19" s="685"/>
      <c r="J19" s="685"/>
      <c r="K19" s="685"/>
    </row>
    <row r="20" spans="1:11" ht="18.95" customHeight="1">
      <c r="A20" s="685"/>
      <c r="B20" s="636" t="str">
        <v>12</v>
      </c>
      <c r="C20" s="261" t="s">
        <v>75</v>
      </c>
      <c r="D20" s="7" t="str">
        <f>'Tab.G1.1-4'!$D$11</f>
        <v>[tys. zł]</v>
      </c>
      <c r="E20" s="150"/>
      <c r="F20" s="274"/>
      <c r="G20" s="274"/>
      <c r="H20" s="685"/>
      <c r="I20" s="685"/>
      <c r="J20" s="685"/>
      <c r="K20" s="685"/>
    </row>
    <row r="21" spans="1:11" ht="18.95" customHeight="1" thickBot="1">
      <c r="A21" s="685"/>
      <c r="B21" s="639" t="str">
        <v>13</v>
      </c>
      <c r="C21" s="265" t="s">
        <v>76</v>
      </c>
      <c r="D21" s="10" t="str">
        <f>'Tab.G1.1-4'!$D$11</f>
        <v>[tys. zł]</v>
      </c>
      <c r="E21" s="153"/>
      <c r="F21" s="274"/>
      <c r="G21" s="274"/>
      <c r="H21" s="685"/>
      <c r="I21" s="685"/>
      <c r="J21" s="685"/>
      <c r="K21" s="685"/>
    </row>
    <row r="22" spans="1:11" ht="18.95" customHeight="1" thickBot="1">
      <c r="A22" s="685"/>
      <c r="B22" s="633" t="str">
        <v>14</v>
      </c>
      <c r="C22" s="11" t="s">
        <v>121</v>
      </c>
      <c r="D22" s="4" t="str">
        <f>'Tab.G1.1-4'!$D$11</f>
        <v>[tys. zł]</v>
      </c>
      <c r="E22" s="147">
        <f>SUM(E23,E28)</f>
        <v>0</v>
      </c>
      <c r="F22" s="274"/>
      <c r="G22" s="274"/>
      <c r="H22" s="685"/>
      <c r="I22" s="685"/>
      <c r="J22" s="685"/>
      <c r="K22" s="685"/>
    </row>
    <row r="23" spans="1:11" ht="18.95" customHeight="1">
      <c r="A23" s="685"/>
      <c r="B23" s="634" t="str">
        <v>15</v>
      </c>
      <c r="C23" s="258" t="s">
        <v>72</v>
      </c>
      <c r="D23" s="5" t="str">
        <f>'Tab.G1.1-4'!$D$11</f>
        <v>[tys. zł]</v>
      </c>
      <c r="E23" s="148">
        <f>SUM(E24:E27)</f>
        <v>0</v>
      </c>
      <c r="F23" s="274"/>
      <c r="G23" s="274"/>
      <c r="H23" s="685"/>
      <c r="I23" s="685"/>
      <c r="J23" s="685"/>
      <c r="K23" s="685"/>
    </row>
    <row r="24" spans="1:11" ht="18.95" customHeight="1">
      <c r="A24" s="685"/>
      <c r="B24" s="635" t="str">
        <v>16</v>
      </c>
      <c r="C24" s="260" t="s">
        <v>78</v>
      </c>
      <c r="D24" s="6" t="str">
        <f>'Tab.G1.1-4'!$D$11</f>
        <v>[tys. zł]</v>
      </c>
      <c r="E24" s="149"/>
      <c r="F24" s="274"/>
      <c r="G24" s="274"/>
      <c r="H24" s="685"/>
      <c r="I24" s="685"/>
      <c r="J24" s="685"/>
      <c r="K24" s="685"/>
    </row>
    <row r="25" spans="1:11" ht="18.95" customHeight="1">
      <c r="A25" s="685"/>
      <c r="B25" s="636" t="str">
        <v>17</v>
      </c>
      <c r="C25" s="261" t="s">
        <v>75</v>
      </c>
      <c r="D25" s="7" t="str">
        <f>'Tab.G1.1-4'!$D$11</f>
        <v>[tys. zł]</v>
      </c>
      <c r="E25" s="150"/>
      <c r="F25" s="274"/>
      <c r="G25" s="274"/>
      <c r="H25" s="685"/>
      <c r="I25" s="685"/>
      <c r="J25" s="685"/>
      <c r="K25" s="685"/>
    </row>
    <row r="26" spans="1:11" ht="18.95" customHeight="1">
      <c r="A26" s="685"/>
      <c r="B26" s="636" t="str">
        <v>18</v>
      </c>
      <c r="C26" s="262" t="s">
        <v>79</v>
      </c>
      <c r="D26" s="7" t="str">
        <f>'Tab.G1.1-4'!$D$11</f>
        <v>[tys. zł]</v>
      </c>
      <c r="E26" s="150"/>
      <c r="F26" s="274"/>
      <c r="G26" s="274"/>
      <c r="H26" s="685"/>
      <c r="I26" s="685"/>
      <c r="J26" s="685"/>
      <c r="K26" s="685"/>
    </row>
    <row r="27" spans="1:11" ht="18.95" customHeight="1">
      <c r="A27" s="685"/>
      <c r="B27" s="637" t="str">
        <v>19</v>
      </c>
      <c r="C27" s="264" t="s">
        <v>80</v>
      </c>
      <c r="D27" s="8" t="str">
        <f>'Tab.G1.1-4'!$D$11</f>
        <v>[tys. zł]</v>
      </c>
      <c r="E27" s="151"/>
      <c r="F27" s="274"/>
      <c r="G27" s="274"/>
      <c r="H27" s="685"/>
      <c r="I27" s="685"/>
      <c r="J27" s="685"/>
      <c r="K27" s="685"/>
    </row>
    <row r="28" spans="1:11" ht="18.95" customHeight="1">
      <c r="A28" s="685"/>
      <c r="B28" s="638" t="str">
        <v>20</v>
      </c>
      <c r="C28" s="259" t="s">
        <v>77</v>
      </c>
      <c r="D28" s="9" t="str">
        <f>'Tab.G1.1-4'!$D$11</f>
        <v>[tys. zł]</v>
      </c>
      <c r="E28" s="152">
        <f>SUM(E29:E32)</f>
        <v>0</v>
      </c>
      <c r="F28" s="274"/>
      <c r="G28" s="274"/>
      <c r="H28" s="685"/>
      <c r="I28" s="685"/>
      <c r="J28" s="685"/>
      <c r="K28" s="685"/>
    </row>
    <row r="29" spans="1:11" ht="18.95" customHeight="1">
      <c r="A29" s="685"/>
      <c r="B29" s="635" t="str">
        <v>21</v>
      </c>
      <c r="C29" s="260" t="s">
        <v>78</v>
      </c>
      <c r="D29" s="6" t="str">
        <f>'Tab.G1.1-4'!$D$11</f>
        <v>[tys. zł]</v>
      </c>
      <c r="E29" s="149"/>
      <c r="F29" s="274"/>
      <c r="G29" s="274"/>
      <c r="H29" s="685"/>
      <c r="I29" s="685"/>
      <c r="J29" s="685"/>
      <c r="K29" s="685"/>
    </row>
    <row r="30" spans="1:11" ht="18.95" customHeight="1">
      <c r="A30" s="685"/>
      <c r="B30" s="636" t="str">
        <v>22</v>
      </c>
      <c r="C30" s="261" t="s">
        <v>75</v>
      </c>
      <c r="D30" s="7" t="str">
        <f>'Tab.G1.1-4'!$D$11</f>
        <v>[tys. zł]</v>
      </c>
      <c r="E30" s="150"/>
      <c r="F30" s="274"/>
      <c r="G30" s="274"/>
      <c r="H30" s="685"/>
      <c r="I30" s="685"/>
      <c r="J30" s="685"/>
      <c r="K30" s="685"/>
    </row>
    <row r="31" spans="1:11" ht="18.95" customHeight="1">
      <c r="A31" s="685"/>
      <c r="B31" s="636" t="str">
        <v>23</v>
      </c>
      <c r="C31" s="262" t="s">
        <v>79</v>
      </c>
      <c r="D31" s="7" t="str">
        <f>'Tab.G1.1-4'!$D$11</f>
        <v>[tys. zł]</v>
      </c>
      <c r="E31" s="150"/>
      <c r="F31" s="274"/>
      <c r="G31" s="274"/>
      <c r="H31" s="685"/>
      <c r="I31" s="685"/>
      <c r="J31" s="685"/>
      <c r="K31" s="685"/>
    </row>
    <row r="32" spans="1:11" ht="18.95" customHeight="1" thickBot="1">
      <c r="A32" s="685"/>
      <c r="B32" s="639" t="str">
        <v>24</v>
      </c>
      <c r="C32" s="265" t="s">
        <v>80</v>
      </c>
      <c r="D32" s="10" t="str">
        <f>'Tab.G1.1-4'!$D$11</f>
        <v>[tys. zł]</v>
      </c>
      <c r="E32" s="153"/>
      <c r="F32" s="274"/>
      <c r="G32" s="274"/>
      <c r="H32" s="685"/>
      <c r="I32" s="685"/>
      <c r="J32" s="685"/>
      <c r="K32" s="685"/>
    </row>
    <row r="33" spans="1:11" ht="18.95" customHeight="1" thickBot="1">
      <c r="A33" s="685"/>
      <c r="B33" s="633" t="str">
        <v>25</v>
      </c>
      <c r="C33" s="11" t="s">
        <v>114</v>
      </c>
      <c r="D33" s="4" t="str">
        <f>'Tab.G1.1-4'!$D$11</f>
        <v>[tys. zł]</v>
      </c>
      <c r="E33" s="147">
        <f>SUM(E34,E39)</f>
        <v>0</v>
      </c>
      <c r="F33" s="274"/>
      <c r="G33" s="274"/>
      <c r="H33" s="685"/>
      <c r="I33" s="685"/>
      <c r="J33" s="685"/>
      <c r="K33" s="685"/>
    </row>
    <row r="34" spans="1:11" ht="18.95" customHeight="1">
      <c r="A34" s="685"/>
      <c r="B34" s="634" t="str">
        <v>26</v>
      </c>
      <c r="C34" s="258" t="s">
        <v>72</v>
      </c>
      <c r="D34" s="5" t="str">
        <f>'Tab.G1.1-4'!$D$11</f>
        <v>[tys. zł]</v>
      </c>
      <c r="E34" s="148">
        <f>SUM(E35:E38)</f>
        <v>0</v>
      </c>
      <c r="F34" s="274"/>
      <c r="G34" s="274"/>
      <c r="H34" s="685"/>
      <c r="I34" s="685"/>
      <c r="J34" s="685"/>
      <c r="K34" s="685"/>
    </row>
    <row r="35" spans="1:11" ht="18.95" customHeight="1">
      <c r="A35" s="685"/>
      <c r="B35" s="635" t="str">
        <v>27</v>
      </c>
      <c r="C35" s="260" t="s">
        <v>278</v>
      </c>
      <c r="D35" s="6" t="str">
        <f>'Tab.G1.1-4'!$D$11</f>
        <v>[tys. zł]</v>
      </c>
      <c r="E35" s="149"/>
      <c r="F35" s="274"/>
      <c r="G35" s="274"/>
      <c r="H35" s="685"/>
      <c r="I35" s="685"/>
      <c r="J35" s="685"/>
      <c r="K35" s="685"/>
    </row>
    <row r="36" spans="1:11" ht="18.95" customHeight="1">
      <c r="A36" s="685"/>
      <c r="B36" s="636" t="str">
        <v>28</v>
      </c>
      <c r="C36" s="262" t="s">
        <v>79</v>
      </c>
      <c r="D36" s="7" t="str">
        <f>'Tab.G1.1-4'!$D$11</f>
        <v>[tys. zł]</v>
      </c>
      <c r="E36" s="150"/>
      <c r="F36" s="274"/>
      <c r="G36" s="274"/>
      <c r="H36" s="685"/>
      <c r="I36" s="685"/>
      <c r="J36" s="685"/>
      <c r="K36" s="685"/>
    </row>
    <row r="37" spans="1:11" ht="18.95" customHeight="1">
      <c r="A37" s="685"/>
      <c r="B37" s="636" t="str">
        <v>29</v>
      </c>
      <c r="C37" s="262" t="s">
        <v>83</v>
      </c>
      <c r="D37" s="7" t="str">
        <f>'Tab.G1.1-4'!$D$11</f>
        <v>[tys. zł]</v>
      </c>
      <c r="E37" s="150"/>
      <c r="F37" s="274"/>
      <c r="G37" s="274"/>
      <c r="H37" s="685"/>
      <c r="I37" s="685"/>
      <c r="J37" s="685"/>
      <c r="K37" s="685"/>
    </row>
    <row r="38" spans="1:11" ht="18.95" customHeight="1">
      <c r="A38" s="685"/>
      <c r="B38" s="637" t="str">
        <v>30</v>
      </c>
      <c r="C38" s="269" t="s">
        <v>84</v>
      </c>
      <c r="D38" s="8" t="str">
        <f>'Tab.G1.1-4'!$D$11</f>
        <v>[tys. zł]</v>
      </c>
      <c r="E38" s="151"/>
      <c r="F38" s="274"/>
      <c r="G38" s="274"/>
      <c r="H38" s="685"/>
      <c r="I38" s="685"/>
      <c r="J38" s="685"/>
      <c r="K38" s="685"/>
    </row>
    <row r="39" spans="1:11" ht="18.95" customHeight="1">
      <c r="A39" s="685"/>
      <c r="B39" s="638" t="str">
        <v>31</v>
      </c>
      <c r="C39" s="259" t="s">
        <v>77</v>
      </c>
      <c r="D39" s="9" t="str">
        <f>'Tab.G1.1-4'!$D$11</f>
        <v>[tys. zł]</v>
      </c>
      <c r="E39" s="152">
        <f>SUM(E40:E43)</f>
        <v>0</v>
      </c>
      <c r="F39" s="274"/>
      <c r="G39" s="274"/>
      <c r="H39" s="685"/>
      <c r="I39" s="685"/>
      <c r="J39" s="685"/>
      <c r="K39" s="685"/>
    </row>
    <row r="40" spans="1:11" ht="18.95" customHeight="1">
      <c r="A40" s="685"/>
      <c r="B40" s="635" t="str">
        <v>32</v>
      </c>
      <c r="C40" s="260" t="s">
        <v>278</v>
      </c>
      <c r="D40" s="6" t="str">
        <f>'Tab.G1.1-4'!$D$11</f>
        <v>[tys. zł]</v>
      </c>
      <c r="E40" s="149"/>
      <c r="F40" s="274"/>
      <c r="G40" s="274"/>
      <c r="H40" s="685"/>
      <c r="I40" s="685"/>
      <c r="J40" s="685"/>
      <c r="K40" s="685"/>
    </row>
    <row r="41" spans="1:11" ht="18.95" customHeight="1">
      <c r="A41" s="685"/>
      <c r="B41" s="636" t="str">
        <v>33</v>
      </c>
      <c r="C41" s="262" t="s">
        <v>79</v>
      </c>
      <c r="D41" s="7" t="str">
        <f>'Tab.G1.1-4'!$D$11</f>
        <v>[tys. zł]</v>
      </c>
      <c r="E41" s="150"/>
      <c r="F41" s="274"/>
      <c r="G41" s="274"/>
      <c r="H41" s="685"/>
      <c r="I41" s="685"/>
      <c r="J41" s="685"/>
      <c r="K41" s="685"/>
    </row>
    <row r="42" spans="1:11" ht="18.95" customHeight="1">
      <c r="A42" s="685"/>
      <c r="B42" s="636" t="str">
        <v>34</v>
      </c>
      <c r="C42" s="262" t="s">
        <v>83</v>
      </c>
      <c r="D42" s="7" t="str">
        <f>'Tab.G1.1-4'!$D$11</f>
        <v>[tys. zł]</v>
      </c>
      <c r="E42" s="150"/>
      <c r="F42" s="274"/>
      <c r="G42" s="274"/>
      <c r="H42" s="685"/>
      <c r="I42" s="685"/>
      <c r="J42" s="685"/>
      <c r="K42" s="685"/>
    </row>
    <row r="43" spans="1:11" ht="18.95" customHeight="1" thickBot="1">
      <c r="A43" s="685"/>
      <c r="B43" s="639" t="str">
        <v>35</v>
      </c>
      <c r="C43" s="828" t="s">
        <v>84</v>
      </c>
      <c r="D43" s="10" t="str">
        <f>'Tab.G1.1-4'!$D$11</f>
        <v>[tys. zł]</v>
      </c>
      <c r="E43" s="153"/>
      <c r="F43" s="274"/>
      <c r="G43" s="274"/>
      <c r="H43" s="685"/>
      <c r="I43" s="685"/>
      <c r="J43" s="685"/>
      <c r="K43" s="685"/>
    </row>
    <row r="44" spans="1:11" ht="18.95" customHeight="1" thickBot="1">
      <c r="A44" s="685"/>
      <c r="B44" s="641" t="str">
        <v>36</v>
      </c>
      <c r="C44" s="1" t="s">
        <v>113</v>
      </c>
      <c r="D44" s="2" t="str">
        <f>'Tab.G1.1-4'!$D$11</f>
        <v>[tys. zł]</v>
      </c>
      <c r="E44" s="146">
        <f>SUM(E45,E49,E53,E57:E58)</f>
        <v>0</v>
      </c>
      <c r="F44" s="274"/>
      <c r="G44" s="274"/>
      <c r="H44" s="685"/>
      <c r="I44" s="685"/>
      <c r="J44" s="685"/>
      <c r="K44" s="685"/>
    </row>
    <row r="45" spans="1:11" ht="18.95" customHeight="1">
      <c r="A45" s="685"/>
      <c r="B45" s="634" t="str">
        <v>37</v>
      </c>
      <c r="C45" s="12" t="s">
        <v>115</v>
      </c>
      <c r="D45" s="5" t="str">
        <f>'Tab.G1.1-4'!$D$11</f>
        <v>[tys. zł]</v>
      </c>
      <c r="E45" s="148">
        <f>SUM(E46:E48)</f>
        <v>0</v>
      </c>
      <c r="F45" s="274"/>
      <c r="G45" s="274"/>
      <c r="H45" s="685"/>
      <c r="I45" s="685"/>
      <c r="J45" s="685"/>
      <c r="K45" s="685"/>
    </row>
    <row r="46" spans="1:11" ht="18.95" customHeight="1">
      <c r="A46" s="685"/>
      <c r="B46" s="635" t="str">
        <v>38</v>
      </c>
      <c r="C46" s="260" t="s">
        <v>85</v>
      </c>
      <c r="D46" s="6" t="str">
        <f>'Tab.G1.1-4'!$D$11</f>
        <v>[tys. zł]</v>
      </c>
      <c r="E46" s="149"/>
      <c r="F46" s="274"/>
      <c r="G46" s="274"/>
      <c r="H46" s="685"/>
      <c r="I46" s="685"/>
      <c r="J46" s="685"/>
      <c r="K46" s="685"/>
    </row>
    <row r="47" spans="1:11" ht="18.95" customHeight="1">
      <c r="A47" s="685"/>
      <c r="B47" s="636" t="str">
        <v>39</v>
      </c>
      <c r="C47" s="261" t="s">
        <v>86</v>
      </c>
      <c r="D47" s="7" t="str">
        <f>'Tab.G1.1-4'!$D$11</f>
        <v>[tys. zł]</v>
      </c>
      <c r="E47" s="150"/>
      <c r="F47" s="274"/>
      <c r="G47" s="274"/>
      <c r="H47" s="685"/>
      <c r="I47" s="685"/>
      <c r="J47" s="685"/>
      <c r="K47" s="685"/>
    </row>
    <row r="48" spans="1:11" ht="18.95" customHeight="1">
      <c r="A48" s="685"/>
      <c r="B48" s="637" t="str">
        <v>40</v>
      </c>
      <c r="C48" s="269" t="s">
        <v>87</v>
      </c>
      <c r="D48" s="8" t="str">
        <f>'Tab.G1.1-4'!$D$11</f>
        <v>[tys. zł]</v>
      </c>
      <c r="E48" s="151"/>
      <c r="F48" s="274"/>
      <c r="G48" s="274"/>
      <c r="H48" s="685"/>
      <c r="I48" s="685"/>
      <c r="J48" s="685"/>
      <c r="K48" s="685"/>
    </row>
    <row r="49" spans="1:11" ht="18.95" customHeight="1">
      <c r="A49" s="685"/>
      <c r="B49" s="638" t="str">
        <v>41</v>
      </c>
      <c r="C49" s="13" t="s">
        <v>116</v>
      </c>
      <c r="D49" s="9" t="str">
        <f>'Tab.G1.1-4'!$D$11</f>
        <v>[tys. zł]</v>
      </c>
      <c r="E49" s="152">
        <f>SUM(E50:E52)</f>
        <v>0</v>
      </c>
      <c r="F49" s="274"/>
      <c r="G49" s="274"/>
      <c r="H49" s="685"/>
      <c r="I49" s="685"/>
      <c r="J49" s="685"/>
      <c r="K49" s="685"/>
    </row>
    <row r="50" spans="1:11" ht="18.95" customHeight="1">
      <c r="A50" s="685"/>
      <c r="B50" s="635" t="str">
        <v>42</v>
      </c>
      <c r="C50" s="260" t="s">
        <v>88</v>
      </c>
      <c r="D50" s="6" t="str">
        <f>'Tab.G1.1-4'!$D$11</f>
        <v>[tys. zł]</v>
      </c>
      <c r="E50" s="149"/>
      <c r="F50" s="274"/>
      <c r="G50" s="274"/>
      <c r="H50" s="685"/>
      <c r="I50" s="685"/>
      <c r="J50" s="685"/>
      <c r="K50" s="685"/>
    </row>
    <row r="51" spans="1:11" ht="18.95" customHeight="1">
      <c r="A51" s="685"/>
      <c r="B51" s="636" t="str">
        <v>43</v>
      </c>
      <c r="C51" s="262" t="s">
        <v>89</v>
      </c>
      <c r="D51" s="7" t="str">
        <f>'Tab.G1.1-4'!$D$11</f>
        <v>[tys. zł]</v>
      </c>
      <c r="E51" s="150"/>
      <c r="F51" s="274"/>
      <c r="G51" s="274"/>
      <c r="H51" s="685"/>
      <c r="I51" s="685"/>
      <c r="J51" s="685"/>
      <c r="K51" s="685"/>
    </row>
    <row r="52" spans="1:11" ht="18.95" customHeight="1">
      <c r="A52" s="685"/>
      <c r="B52" s="637" t="str">
        <v>44</v>
      </c>
      <c r="C52" s="269" t="s">
        <v>90</v>
      </c>
      <c r="D52" s="8" t="str">
        <f>'Tab.G1.1-4'!$D$11</f>
        <v>[tys. zł]</v>
      </c>
      <c r="E52" s="151"/>
      <c r="F52" s="274"/>
      <c r="G52" s="274"/>
      <c r="H52" s="685"/>
      <c r="I52" s="685"/>
      <c r="J52" s="685"/>
      <c r="K52" s="685"/>
    </row>
    <row r="53" spans="1:11" ht="18.95" customHeight="1">
      <c r="A53" s="685"/>
      <c r="B53" s="638" t="str">
        <v>45</v>
      </c>
      <c r="C53" s="13" t="s">
        <v>117</v>
      </c>
      <c r="D53" s="9" t="str">
        <f>'Tab.G1.1-4'!$D$11</f>
        <v>[tys. zł]</v>
      </c>
      <c r="E53" s="152">
        <f>SUM(E54:E56)</f>
        <v>0</v>
      </c>
      <c r="F53" s="274"/>
      <c r="G53" s="274"/>
      <c r="H53" s="685"/>
      <c r="I53" s="685"/>
      <c r="J53" s="685"/>
      <c r="K53" s="685"/>
    </row>
    <row r="54" spans="1:11" ht="18.95" customHeight="1">
      <c r="A54" s="685"/>
      <c r="B54" s="635" t="str">
        <v>46</v>
      </c>
      <c r="C54" s="260" t="s">
        <v>88</v>
      </c>
      <c r="D54" s="6" t="str">
        <f>'Tab.G1.1-4'!$D$11</f>
        <v>[tys. zł]</v>
      </c>
      <c r="E54" s="149"/>
      <c r="F54" s="274"/>
      <c r="G54" s="274"/>
      <c r="H54" s="685"/>
      <c r="I54" s="685"/>
      <c r="J54" s="685"/>
      <c r="K54" s="685"/>
    </row>
    <row r="55" spans="1:11" ht="18.95" customHeight="1">
      <c r="A55" s="685"/>
      <c r="B55" s="636" t="str">
        <v>47</v>
      </c>
      <c r="C55" s="262" t="s">
        <v>89</v>
      </c>
      <c r="D55" s="7" t="str">
        <f>'Tab.G1.1-4'!$D$11</f>
        <v>[tys. zł]</v>
      </c>
      <c r="E55" s="150"/>
      <c r="F55" s="274"/>
      <c r="G55" s="274"/>
      <c r="H55" s="685"/>
      <c r="I55" s="685"/>
      <c r="J55" s="685"/>
      <c r="K55" s="685"/>
    </row>
    <row r="56" spans="1:11" ht="18.95" customHeight="1">
      <c r="A56" s="685"/>
      <c r="B56" s="637" t="str">
        <v>48</v>
      </c>
      <c r="C56" s="269" t="s">
        <v>90</v>
      </c>
      <c r="D56" s="8" t="str">
        <f>'Tab.G1.1-4'!$D$11</f>
        <v>[tys. zł]</v>
      </c>
      <c r="E56" s="151"/>
      <c r="F56" s="274"/>
      <c r="G56" s="274"/>
      <c r="H56" s="685"/>
      <c r="I56" s="685"/>
      <c r="J56" s="685"/>
      <c r="K56" s="685"/>
    </row>
    <row r="57" spans="1:11" ht="18.95" customHeight="1">
      <c r="A57" s="685"/>
      <c r="B57" s="642" t="str">
        <v>49</v>
      </c>
      <c r="C57" s="14" t="s">
        <v>118</v>
      </c>
      <c r="D57" s="15" t="str">
        <f>'Tab.G1.1-4'!$D$11</f>
        <v>[tys. zł]</v>
      </c>
      <c r="E57" s="152"/>
      <c r="F57" s="274"/>
      <c r="G57" s="274"/>
      <c r="H57" s="685"/>
      <c r="I57" s="685"/>
      <c r="J57" s="685"/>
      <c r="K57" s="685"/>
    </row>
    <row r="58" spans="1:11" ht="18.95" customHeight="1" thickBot="1">
      <c r="A58" s="685"/>
      <c r="B58" s="643" t="str">
        <v>50</v>
      </c>
      <c r="C58" s="16" t="s">
        <v>119</v>
      </c>
      <c r="D58" s="17" t="str">
        <f>'Tab.G1.1-4'!$D$11</f>
        <v>[tys. zł]</v>
      </c>
      <c r="E58" s="154"/>
      <c r="F58" s="274"/>
      <c r="G58" s="274"/>
      <c r="H58" s="685"/>
      <c r="I58" s="685"/>
      <c r="J58" s="685"/>
      <c r="K58" s="685"/>
    </row>
    <row r="59" spans="1:11" ht="18.95" customHeight="1" thickBot="1">
      <c r="A59" s="685"/>
      <c r="B59" s="641" t="str">
        <v>51</v>
      </c>
      <c r="C59" s="1" t="s">
        <v>126</v>
      </c>
      <c r="D59" s="2" t="str">
        <f>'Tab.G1.1-4'!$D$11</f>
        <v>[tys. zł]</v>
      </c>
      <c r="E59" s="146">
        <f>SUM(E60,E63:E65)</f>
        <v>0</v>
      </c>
      <c r="F59" s="685"/>
      <c r="G59" s="685"/>
      <c r="H59" s="685"/>
      <c r="I59" s="685"/>
      <c r="J59" s="685"/>
      <c r="K59" s="685"/>
    </row>
    <row r="60" spans="1:11" ht="18.95" customHeight="1">
      <c r="A60" s="685"/>
      <c r="B60" s="634" t="str">
        <v>52</v>
      </c>
      <c r="C60" s="12" t="s">
        <v>127</v>
      </c>
      <c r="D60" s="5" t="str">
        <f>'Tab.G1.1-4'!$D$11</f>
        <v>[tys. zł]</v>
      </c>
      <c r="E60" s="148">
        <f>SUM(E61:E62)</f>
        <v>0</v>
      </c>
      <c r="F60" s="685"/>
      <c r="G60" s="685"/>
      <c r="H60" s="685"/>
      <c r="I60" s="685"/>
      <c r="J60" s="685"/>
      <c r="K60" s="685"/>
    </row>
    <row r="61" spans="1:11" ht="18.95" customHeight="1">
      <c r="A61" s="685"/>
      <c r="B61" s="635" t="str">
        <v>53</v>
      </c>
      <c r="C61" s="263" t="s">
        <v>128</v>
      </c>
      <c r="D61" s="6" t="str">
        <f>'Tab.G1.1-4'!$D$11</f>
        <v>[tys. zł]</v>
      </c>
      <c r="E61" s="149"/>
      <c r="F61" s="685"/>
      <c r="G61" s="685"/>
      <c r="H61" s="685"/>
      <c r="I61" s="685"/>
      <c r="J61" s="685"/>
      <c r="K61" s="685"/>
    </row>
    <row r="62" spans="1:11" ht="18.95" customHeight="1">
      <c r="A62" s="685"/>
      <c r="B62" s="640" t="str">
        <v>54</v>
      </c>
      <c r="C62" s="266" t="s">
        <v>129</v>
      </c>
      <c r="D62" s="267" t="str">
        <f>'Tab.G1.1-4'!$D$11</f>
        <v>[tys. zł]</v>
      </c>
      <c r="E62" s="268"/>
      <c r="F62" s="685"/>
      <c r="G62" s="685"/>
      <c r="H62" s="685"/>
      <c r="I62" s="685"/>
      <c r="J62" s="685"/>
      <c r="K62" s="685"/>
    </row>
    <row r="63" spans="1:11" ht="18.95" customHeight="1">
      <c r="A63" s="685"/>
      <c r="B63" s="638" t="str">
        <v>55</v>
      </c>
      <c r="C63" s="13" t="s">
        <v>130</v>
      </c>
      <c r="D63" s="9" t="str">
        <f>'Tab.G1.1-4'!$D$11</f>
        <v>[tys. zł]</v>
      </c>
      <c r="E63" s="152"/>
      <c r="F63" s="685"/>
      <c r="G63" s="685"/>
      <c r="H63" s="685"/>
      <c r="I63" s="685"/>
      <c r="J63" s="685"/>
      <c r="K63" s="685"/>
    </row>
    <row r="64" spans="1:11" ht="18.95" customHeight="1">
      <c r="A64" s="685"/>
      <c r="B64" s="638" t="str">
        <v>56</v>
      </c>
      <c r="C64" s="13" t="s">
        <v>131</v>
      </c>
      <c r="D64" s="9" t="str">
        <f>'Tab.G1.1-4'!$D$11</f>
        <v>[tys. zł]</v>
      </c>
      <c r="E64" s="152"/>
      <c r="F64" s="685"/>
      <c r="G64" s="685"/>
      <c r="H64" s="685"/>
      <c r="I64" s="685"/>
      <c r="J64" s="685"/>
      <c r="K64" s="685"/>
    </row>
    <row r="65" spans="1:11" ht="18.95" customHeight="1" thickBot="1">
      <c r="A65" s="685"/>
      <c r="B65" s="643" t="str">
        <v>57</v>
      </c>
      <c r="C65" s="16" t="s">
        <v>132</v>
      </c>
      <c r="D65" s="17" t="str">
        <f>'Tab.G1.1-4'!$D$11</f>
        <v>[tys. zł]</v>
      </c>
      <c r="E65" s="154"/>
      <c r="F65" s="685"/>
      <c r="G65" s="685"/>
      <c r="H65" s="685"/>
      <c r="I65" s="685"/>
      <c r="J65" s="685"/>
      <c r="K65" s="685"/>
    </row>
    <row r="66" spans="1:11" ht="18.95" customHeight="1">
      <c r="A66" s="685"/>
      <c r="B66" s="685"/>
      <c r="C66" s="685"/>
      <c r="D66" s="685"/>
      <c r="E66" s="685"/>
      <c r="F66" s="685"/>
      <c r="G66" s="685"/>
      <c r="H66" s="685"/>
      <c r="I66" s="685"/>
      <c r="J66" s="685"/>
      <c r="K66" s="685"/>
    </row>
    <row r="67" spans="1:11" ht="18.95" customHeight="1">
      <c r="A67" s="685"/>
      <c r="B67" s="685"/>
      <c r="C67" s="685"/>
      <c r="D67" s="685"/>
      <c r="E67" s="685"/>
      <c r="F67" s="685"/>
      <c r="G67" s="685"/>
      <c r="H67" s="685"/>
      <c r="I67" s="685"/>
      <c r="J67" s="685"/>
      <c r="K67" s="685"/>
    </row>
    <row r="68" spans="1:11" ht="30" customHeight="1" thickBot="1">
      <c r="A68" s="685"/>
      <c r="B68" s="695" t="s">
        <v>133</v>
      </c>
      <c r="C68" s="685"/>
      <c r="D68" s="685"/>
      <c r="E68" s="685"/>
      <c r="F68" s="685"/>
      <c r="G68" s="685"/>
      <c r="H68" s="685"/>
      <c r="I68" s="685"/>
      <c r="J68" s="685"/>
      <c r="K68" s="685"/>
    </row>
    <row r="69" spans="1:11" ht="18.95" customHeight="1">
      <c r="A69" s="685"/>
      <c r="B69" s="1035" t="str">
        <f>'Tab.G1.1-4'!$B$8</f>
        <v>LP</v>
      </c>
      <c r="C69" s="1037" t="str">
        <f>'Tab.G1.1-4'!$C$8</f>
        <v>Wyszczególnienie</v>
      </c>
      <c r="D69" s="1038"/>
      <c r="E69" s="627" t="str">
        <f>'Tab.G1.1-4'!$E$8</f>
        <v>Wykonanie</v>
      </c>
      <c r="F69" s="274"/>
      <c r="G69" s="274"/>
      <c r="H69" s="685"/>
      <c r="I69" s="685"/>
      <c r="J69" s="685"/>
      <c r="K69" s="685"/>
    </row>
    <row r="70" spans="1:11" ht="18.95" customHeight="1">
      <c r="A70" s="685"/>
      <c r="B70" s="1036"/>
      <c r="C70" s="1039"/>
      <c r="D70" s="1040"/>
      <c r="E70" s="628">
        <f>Rok_ZPR</f>
        <v>2023</v>
      </c>
      <c r="F70" s="274"/>
      <c r="G70" s="274"/>
      <c r="H70" s="685"/>
      <c r="I70" s="685"/>
      <c r="J70" s="685"/>
      <c r="K70" s="685"/>
    </row>
    <row r="71" spans="1:11" ht="14.1" customHeight="1" thickBot="1">
      <c r="A71" s="685"/>
      <c r="B71" s="644" t="str">
        <f t="array" ref="B71:B127">Tab.G17!$B$10:$B$66</f>
        <v>01</v>
      </c>
      <c r="C71" s="1044" t="str">
        <f>Tab.G17!$B$11</f>
        <v>02</v>
      </c>
      <c r="D71" s="1034"/>
      <c r="E71" s="645" t="str">
        <f>Tab.G17!$B$12</f>
        <v>03</v>
      </c>
      <c r="F71" s="274"/>
      <c r="G71" s="274"/>
      <c r="H71" s="685"/>
      <c r="I71" s="685"/>
      <c r="J71" s="685"/>
      <c r="K71" s="685"/>
    </row>
    <row r="72" spans="1:11" ht="18.95" customHeight="1" thickBot="1">
      <c r="A72" s="685"/>
      <c r="B72" s="641" t="str">
        <v>02</v>
      </c>
      <c r="C72" s="706" t="str">
        <f t="array" ref="C72:C127">$C$10:$C$65</f>
        <v>A. GAZOCIĄGI DYSTRYBUCYJNE, Z TEGO:</v>
      </c>
      <c r="D72" s="707" t="str">
        <f>"[km]"</f>
        <v>[km]</v>
      </c>
      <c r="E72" s="708">
        <f>SUM(E73,E84,E95)</f>
        <v>0</v>
      </c>
      <c r="F72" s="274"/>
      <c r="G72" s="274"/>
      <c r="H72" s="685"/>
      <c r="I72" s="685"/>
      <c r="J72" s="685"/>
      <c r="K72" s="685"/>
    </row>
    <row r="73" spans="1:11" ht="18.95" customHeight="1" thickBot="1">
      <c r="A73" s="685"/>
      <c r="B73" s="633" t="str">
        <v>03</v>
      </c>
      <c r="C73" s="3" t="str">
        <v>A1. Gazociągi wysokiego i podyższonego średniego ciśnienia</v>
      </c>
      <c r="D73" s="4" t="str">
        <f t="shared" ref="D73:D105" si="0">$D$72</f>
        <v>[km]</v>
      </c>
      <c r="E73" s="147">
        <f>SUM(E74,E79)</f>
        <v>0</v>
      </c>
      <c r="F73" s="274"/>
      <c r="G73" s="274"/>
      <c r="H73" s="685"/>
      <c r="I73" s="685"/>
      <c r="J73" s="685"/>
      <c r="K73" s="685"/>
    </row>
    <row r="74" spans="1:11" ht="18.95" customHeight="1">
      <c r="A74" s="685"/>
      <c r="B74" s="634" t="str">
        <v>04</v>
      </c>
      <c r="C74" s="258" t="str">
        <v>ze stali</v>
      </c>
      <c r="D74" s="5" t="str">
        <f t="shared" si="0"/>
        <v>[km]</v>
      </c>
      <c r="E74" s="148">
        <f>SUM(E75:E78)</f>
        <v>0</v>
      </c>
      <c r="F74" s="274"/>
      <c r="G74" s="274"/>
      <c r="H74" s="685"/>
      <c r="I74" s="685"/>
      <c r="J74" s="685"/>
      <c r="K74" s="685"/>
    </row>
    <row r="75" spans="1:11" ht="18.95" customHeight="1">
      <c r="A75" s="685"/>
      <c r="B75" s="635" t="str">
        <v>05</v>
      </c>
      <c r="C75" s="260" t="str">
        <v>300 &lt; DN[mm]</v>
      </c>
      <c r="D75" s="6" t="str">
        <f t="shared" si="0"/>
        <v>[km]</v>
      </c>
      <c r="E75" s="149"/>
      <c r="F75" s="274"/>
      <c r="G75" s="274"/>
      <c r="H75" s="685"/>
      <c r="I75" s="685"/>
      <c r="J75" s="685"/>
      <c r="K75" s="685"/>
    </row>
    <row r="76" spans="1:11" ht="18.95" customHeight="1">
      <c r="A76" s="685"/>
      <c r="B76" s="636" t="str">
        <v>06</v>
      </c>
      <c r="C76" s="261" t="str">
        <v>200 &lt; DN[mm] ≤ 300</v>
      </c>
      <c r="D76" s="7" t="str">
        <f t="shared" si="0"/>
        <v>[km]</v>
      </c>
      <c r="E76" s="150"/>
      <c r="F76" s="274"/>
      <c r="G76" s="274"/>
      <c r="H76" s="685"/>
      <c r="I76" s="685"/>
      <c r="J76" s="685"/>
      <c r="K76" s="685"/>
    </row>
    <row r="77" spans="1:11" ht="18.95" customHeight="1">
      <c r="A77" s="685"/>
      <c r="B77" s="636" t="str">
        <v>07</v>
      </c>
      <c r="C77" s="261" t="str">
        <v>100 &lt; DN[mm] ≤ 200</v>
      </c>
      <c r="D77" s="7" t="str">
        <f t="shared" si="0"/>
        <v>[km]</v>
      </c>
      <c r="E77" s="150"/>
      <c r="F77" s="274"/>
      <c r="G77" s="274"/>
      <c r="H77" s="685"/>
      <c r="I77" s="685"/>
      <c r="J77" s="685"/>
      <c r="K77" s="685"/>
    </row>
    <row r="78" spans="1:11" ht="18.95" customHeight="1">
      <c r="A78" s="685"/>
      <c r="B78" s="637" t="str">
        <v>08</v>
      </c>
      <c r="C78" s="264" t="str">
        <v>DN[mm] ≤ 100</v>
      </c>
      <c r="D78" s="8" t="str">
        <f t="shared" si="0"/>
        <v>[km]</v>
      </c>
      <c r="E78" s="151"/>
      <c r="F78" s="274"/>
      <c r="G78" s="274"/>
      <c r="H78" s="685"/>
      <c r="I78" s="685"/>
      <c r="J78" s="685"/>
      <c r="K78" s="685"/>
    </row>
    <row r="79" spans="1:11" ht="18.95" customHeight="1">
      <c r="A79" s="685"/>
      <c r="B79" s="638" t="str">
        <v>09</v>
      </c>
      <c r="C79" s="259" t="str">
        <v>z tworzyw sztucznych (np. polietylenu)</v>
      </c>
      <c r="D79" s="9" t="str">
        <f t="shared" si="0"/>
        <v>[km]</v>
      </c>
      <c r="E79" s="152">
        <f>SUM(E80:E83)</f>
        <v>0</v>
      </c>
      <c r="F79" s="274"/>
      <c r="G79" s="274"/>
      <c r="H79" s="685"/>
      <c r="I79" s="685"/>
      <c r="J79" s="685"/>
      <c r="K79" s="685"/>
    </row>
    <row r="80" spans="1:11" ht="18.95" customHeight="1">
      <c r="A80" s="685"/>
      <c r="B80" s="635" t="str">
        <v>10</v>
      </c>
      <c r="C80" s="260" t="str">
        <v>300 &lt; DN[mm]</v>
      </c>
      <c r="D80" s="6" t="str">
        <f t="shared" si="0"/>
        <v>[km]</v>
      </c>
      <c r="E80" s="149"/>
      <c r="F80" s="274"/>
      <c r="G80" s="274"/>
      <c r="H80" s="685"/>
      <c r="I80" s="685"/>
      <c r="J80" s="685"/>
      <c r="K80" s="685"/>
    </row>
    <row r="81" spans="1:11" ht="18.95" customHeight="1">
      <c r="A81" s="685"/>
      <c r="B81" s="636" t="str">
        <v>11</v>
      </c>
      <c r="C81" s="261" t="str">
        <v>200 &lt; DN[mm] ≤ 300</v>
      </c>
      <c r="D81" s="7" t="str">
        <f t="shared" si="0"/>
        <v>[km]</v>
      </c>
      <c r="E81" s="150"/>
      <c r="F81" s="274"/>
      <c r="G81" s="274"/>
      <c r="H81" s="685"/>
      <c r="I81" s="685"/>
      <c r="J81" s="685"/>
      <c r="K81" s="685"/>
    </row>
    <row r="82" spans="1:11" ht="18.95" customHeight="1">
      <c r="A82" s="685"/>
      <c r="B82" s="636" t="str">
        <v>12</v>
      </c>
      <c r="C82" s="261" t="str">
        <v>100 &lt; DN[mm] ≤ 200</v>
      </c>
      <c r="D82" s="7" t="str">
        <f t="shared" si="0"/>
        <v>[km]</v>
      </c>
      <c r="E82" s="150"/>
      <c r="F82" s="274"/>
      <c r="G82" s="274"/>
      <c r="H82" s="685"/>
      <c r="I82" s="685"/>
      <c r="J82" s="685"/>
      <c r="K82" s="685"/>
    </row>
    <row r="83" spans="1:11" ht="18.95" customHeight="1" thickBot="1">
      <c r="A83" s="685"/>
      <c r="B83" s="639" t="str">
        <v>13</v>
      </c>
      <c r="C83" s="265" t="str">
        <v>DN[mm] ≤ 100</v>
      </c>
      <c r="D83" s="10" t="str">
        <f t="shared" si="0"/>
        <v>[km]</v>
      </c>
      <c r="E83" s="153"/>
      <c r="F83" s="274"/>
      <c r="G83" s="274"/>
      <c r="H83" s="685"/>
      <c r="I83" s="685"/>
      <c r="J83" s="685"/>
      <c r="K83" s="685"/>
    </row>
    <row r="84" spans="1:11" ht="18.95" customHeight="1" thickBot="1">
      <c r="A84" s="685"/>
      <c r="B84" s="633" t="str">
        <v>14</v>
      </c>
      <c r="C84" s="11" t="str">
        <v>A2. Gazociągi średniego i niskiego ciśnienia</v>
      </c>
      <c r="D84" s="4" t="str">
        <f t="shared" si="0"/>
        <v>[km]</v>
      </c>
      <c r="E84" s="147">
        <f>SUM(E85,E90)</f>
        <v>0</v>
      </c>
      <c r="F84" s="274"/>
      <c r="G84" s="274"/>
      <c r="H84" s="685"/>
      <c r="I84" s="685"/>
      <c r="J84" s="685"/>
      <c r="K84" s="685"/>
    </row>
    <row r="85" spans="1:11" ht="18.95" customHeight="1">
      <c r="A85" s="685"/>
      <c r="B85" s="634" t="str">
        <v>15</v>
      </c>
      <c r="C85" s="258" t="str">
        <v>ze stali</v>
      </c>
      <c r="D85" s="5" t="str">
        <f t="shared" si="0"/>
        <v>[km]</v>
      </c>
      <c r="E85" s="148">
        <f>SUM(E86:E89)</f>
        <v>0</v>
      </c>
      <c r="F85" s="274"/>
      <c r="G85" s="274"/>
      <c r="H85" s="685"/>
      <c r="I85" s="685"/>
      <c r="J85" s="685"/>
      <c r="K85" s="685"/>
    </row>
    <row r="86" spans="1:11" ht="18.95" customHeight="1">
      <c r="A86" s="685"/>
      <c r="B86" s="635" t="str">
        <v>16</v>
      </c>
      <c r="C86" s="260" t="str">
        <v>200 &lt; DN[mm]</v>
      </c>
      <c r="D86" s="6" t="str">
        <f t="shared" si="0"/>
        <v>[km]</v>
      </c>
      <c r="E86" s="149"/>
      <c r="F86" s="274"/>
      <c r="G86" s="274"/>
      <c r="H86" s="685"/>
      <c r="I86" s="685"/>
      <c r="J86" s="685"/>
      <c r="K86" s="685"/>
    </row>
    <row r="87" spans="1:11" ht="18.95" customHeight="1">
      <c r="A87" s="685"/>
      <c r="B87" s="636" t="str">
        <v>17</v>
      </c>
      <c r="C87" s="261" t="str">
        <v>100 &lt; DN[mm] ≤ 200</v>
      </c>
      <c r="D87" s="7" t="str">
        <f t="shared" si="0"/>
        <v>[km]</v>
      </c>
      <c r="E87" s="150"/>
      <c r="F87" s="274"/>
      <c r="G87" s="274"/>
      <c r="H87" s="685"/>
      <c r="I87" s="685"/>
      <c r="J87" s="685"/>
      <c r="K87" s="685"/>
    </row>
    <row r="88" spans="1:11" ht="18.95" customHeight="1">
      <c r="A88" s="685"/>
      <c r="B88" s="636" t="str">
        <v>18</v>
      </c>
      <c r="C88" s="262" t="str">
        <v>63 &lt; DN[mm] ≤ 100</v>
      </c>
      <c r="D88" s="7" t="str">
        <f t="shared" si="0"/>
        <v>[km]</v>
      </c>
      <c r="E88" s="150"/>
      <c r="F88" s="274"/>
      <c r="G88" s="274"/>
      <c r="H88" s="685"/>
      <c r="I88" s="685"/>
      <c r="J88" s="685"/>
      <c r="K88" s="685"/>
    </row>
    <row r="89" spans="1:11" ht="18.95" customHeight="1">
      <c r="A89" s="685"/>
      <c r="B89" s="637" t="str">
        <v>19</v>
      </c>
      <c r="C89" s="264" t="str">
        <v>DN[mm] ≤ 63</v>
      </c>
      <c r="D89" s="8" t="str">
        <f t="shared" si="0"/>
        <v>[km]</v>
      </c>
      <c r="E89" s="151"/>
      <c r="F89" s="274"/>
      <c r="G89" s="274"/>
      <c r="H89" s="685"/>
      <c r="I89" s="685"/>
      <c r="J89" s="685"/>
      <c r="K89" s="685"/>
    </row>
    <row r="90" spans="1:11" ht="18.95" customHeight="1">
      <c r="A90" s="685"/>
      <c r="B90" s="638" t="str">
        <v>20</v>
      </c>
      <c r="C90" s="259" t="str">
        <v>z tworzyw sztucznych (np. polietylenu)</v>
      </c>
      <c r="D90" s="9" t="str">
        <f t="shared" si="0"/>
        <v>[km]</v>
      </c>
      <c r="E90" s="152">
        <f>SUM(E91:E94)</f>
        <v>0</v>
      </c>
      <c r="F90" s="274"/>
      <c r="G90" s="274"/>
      <c r="H90" s="685"/>
      <c r="I90" s="685"/>
      <c r="J90" s="685"/>
      <c r="K90" s="685"/>
    </row>
    <row r="91" spans="1:11" ht="18.95" customHeight="1">
      <c r="A91" s="685"/>
      <c r="B91" s="635" t="str">
        <v>21</v>
      </c>
      <c r="C91" s="260" t="str">
        <v>200 &lt; DN[mm]</v>
      </c>
      <c r="D91" s="6" t="str">
        <f t="shared" si="0"/>
        <v>[km]</v>
      </c>
      <c r="E91" s="149"/>
      <c r="F91" s="274"/>
      <c r="G91" s="274"/>
      <c r="H91" s="685"/>
      <c r="I91" s="685"/>
      <c r="J91" s="685"/>
      <c r="K91" s="685"/>
    </row>
    <row r="92" spans="1:11" ht="18.95" customHeight="1">
      <c r="A92" s="685"/>
      <c r="B92" s="636" t="str">
        <v>22</v>
      </c>
      <c r="C92" s="261" t="str">
        <v>100 &lt; DN[mm] ≤ 200</v>
      </c>
      <c r="D92" s="7" t="str">
        <f t="shared" si="0"/>
        <v>[km]</v>
      </c>
      <c r="E92" s="150"/>
      <c r="F92" s="274"/>
      <c r="G92" s="274"/>
      <c r="H92" s="685"/>
      <c r="I92" s="685"/>
      <c r="J92" s="685"/>
      <c r="K92" s="685"/>
    </row>
    <row r="93" spans="1:11" ht="18.95" customHeight="1">
      <c r="A93" s="685"/>
      <c r="B93" s="636" t="str">
        <v>23</v>
      </c>
      <c r="C93" s="262" t="str">
        <v>63 &lt; DN[mm] ≤ 100</v>
      </c>
      <c r="D93" s="7" t="str">
        <f t="shared" si="0"/>
        <v>[km]</v>
      </c>
      <c r="E93" s="150"/>
      <c r="F93" s="274"/>
      <c r="G93" s="274"/>
      <c r="H93" s="685"/>
      <c r="I93" s="685"/>
      <c r="J93" s="685"/>
      <c r="K93" s="685"/>
    </row>
    <row r="94" spans="1:11" ht="18.95" customHeight="1" thickBot="1">
      <c r="A94" s="685"/>
      <c r="B94" s="639" t="str">
        <v>24</v>
      </c>
      <c r="C94" s="265" t="str">
        <v>DN[mm] ≤ 63</v>
      </c>
      <c r="D94" s="10" t="str">
        <f t="shared" si="0"/>
        <v>[km]</v>
      </c>
      <c r="E94" s="153"/>
      <c r="F94" s="274"/>
      <c r="G94" s="274"/>
      <c r="H94" s="685"/>
      <c r="I94" s="685"/>
      <c r="J94" s="685"/>
      <c r="K94" s="685"/>
    </row>
    <row r="95" spans="1:11" ht="18.95" customHeight="1" thickBot="1">
      <c r="A95" s="685"/>
      <c r="B95" s="633" t="str">
        <v>25</v>
      </c>
      <c r="C95" s="11" t="str">
        <v>A3. przyłącza</v>
      </c>
      <c r="D95" s="4" t="str">
        <f t="shared" si="0"/>
        <v>[km]</v>
      </c>
      <c r="E95" s="147">
        <f>SUM(E96,E101)</f>
        <v>0</v>
      </c>
      <c r="F95" s="274"/>
      <c r="G95" s="274"/>
      <c r="H95" s="685"/>
      <c r="I95" s="685"/>
      <c r="J95" s="685"/>
      <c r="K95" s="685"/>
    </row>
    <row r="96" spans="1:11" ht="18.95" customHeight="1">
      <c r="A96" s="685"/>
      <c r="B96" s="634" t="str">
        <v>26</v>
      </c>
      <c r="C96" s="258" t="str">
        <v>ze stali</v>
      </c>
      <c r="D96" s="5" t="str">
        <f t="shared" si="0"/>
        <v>[km]</v>
      </c>
      <c r="E96" s="148">
        <f>SUM(E97:E100)</f>
        <v>0</v>
      </c>
      <c r="F96" s="274"/>
      <c r="G96" s="274"/>
      <c r="H96" s="685"/>
      <c r="I96" s="685"/>
      <c r="J96" s="685"/>
      <c r="K96" s="685"/>
    </row>
    <row r="97" spans="1:11" ht="18.95" customHeight="1">
      <c r="A97" s="685"/>
      <c r="B97" s="635" t="str">
        <v>27</v>
      </c>
      <c r="C97" s="260" t="str">
        <v>100 &lt; DN[mm]</v>
      </c>
      <c r="D97" s="6" t="str">
        <f t="shared" si="0"/>
        <v>[km]</v>
      </c>
      <c r="E97" s="149"/>
      <c r="F97" s="274"/>
      <c r="G97" s="274"/>
      <c r="H97" s="685"/>
      <c r="I97" s="685"/>
      <c r="J97" s="685"/>
      <c r="K97" s="685"/>
    </row>
    <row r="98" spans="1:11" ht="18.95" customHeight="1">
      <c r="A98" s="685"/>
      <c r="B98" s="636" t="str">
        <v>28</v>
      </c>
      <c r="C98" s="262" t="str">
        <v>63 &lt; DN[mm] ≤ 100</v>
      </c>
      <c r="D98" s="7" t="str">
        <f t="shared" si="0"/>
        <v>[km]</v>
      </c>
      <c r="E98" s="150"/>
      <c r="F98" s="274"/>
      <c r="G98" s="274"/>
      <c r="H98" s="685"/>
      <c r="I98" s="685"/>
      <c r="J98" s="685"/>
      <c r="K98" s="685"/>
    </row>
    <row r="99" spans="1:11" ht="18.95" customHeight="1">
      <c r="A99" s="685"/>
      <c r="B99" s="636" t="str">
        <v>29</v>
      </c>
      <c r="C99" s="262" t="str">
        <v>32 &lt; DN[mm] ≤ 63</v>
      </c>
      <c r="D99" s="7" t="str">
        <f t="shared" si="0"/>
        <v>[km]</v>
      </c>
      <c r="E99" s="150"/>
      <c r="F99" s="274"/>
      <c r="G99" s="274"/>
      <c r="H99" s="685"/>
      <c r="I99" s="685"/>
      <c r="J99" s="685"/>
      <c r="K99" s="685"/>
    </row>
    <row r="100" spans="1:11" ht="18.95" customHeight="1">
      <c r="A100" s="685"/>
      <c r="B100" s="637" t="str">
        <v>30</v>
      </c>
      <c r="C100" s="269" t="str">
        <v>DN[mm] ≤ 32</v>
      </c>
      <c r="D100" s="8" t="str">
        <f t="shared" si="0"/>
        <v>[km]</v>
      </c>
      <c r="E100" s="151"/>
      <c r="F100" s="274"/>
      <c r="G100" s="274"/>
      <c r="H100" s="685"/>
      <c r="I100" s="685"/>
      <c r="J100" s="685"/>
      <c r="K100" s="685"/>
    </row>
    <row r="101" spans="1:11" ht="18.95" customHeight="1">
      <c r="A101" s="685"/>
      <c r="B101" s="638" t="str">
        <v>31</v>
      </c>
      <c r="C101" s="259" t="str">
        <v>z tworzyw sztucznych (np. polietylenu)</v>
      </c>
      <c r="D101" s="9" t="str">
        <f t="shared" si="0"/>
        <v>[km]</v>
      </c>
      <c r="E101" s="152">
        <f>SUM(E102:E105)</f>
        <v>0</v>
      </c>
      <c r="F101" s="274"/>
      <c r="G101" s="274"/>
      <c r="H101" s="685"/>
      <c r="I101" s="685"/>
      <c r="J101" s="685"/>
      <c r="K101" s="685"/>
    </row>
    <row r="102" spans="1:11" ht="18.95" customHeight="1">
      <c r="A102" s="685"/>
      <c r="B102" s="635" t="str">
        <v>32</v>
      </c>
      <c r="C102" s="260" t="str">
        <v>100 &lt; DN[mm]</v>
      </c>
      <c r="D102" s="6" t="str">
        <f t="shared" si="0"/>
        <v>[km]</v>
      </c>
      <c r="E102" s="149"/>
      <c r="F102" s="274"/>
      <c r="G102" s="274"/>
      <c r="H102" s="685"/>
      <c r="I102" s="685"/>
      <c r="J102" s="685"/>
      <c r="K102" s="685"/>
    </row>
    <row r="103" spans="1:11" ht="18.95" customHeight="1">
      <c r="A103" s="685"/>
      <c r="B103" s="636" t="str">
        <v>33</v>
      </c>
      <c r="C103" s="262" t="str">
        <v>63 &lt; DN[mm] ≤ 100</v>
      </c>
      <c r="D103" s="7" t="str">
        <f t="shared" si="0"/>
        <v>[km]</v>
      </c>
      <c r="E103" s="150"/>
      <c r="F103" s="274"/>
      <c r="G103" s="274"/>
      <c r="H103" s="685"/>
      <c r="I103" s="685"/>
      <c r="J103" s="685"/>
      <c r="K103" s="685"/>
    </row>
    <row r="104" spans="1:11" ht="18.95" customHeight="1">
      <c r="A104" s="685"/>
      <c r="B104" s="636" t="str">
        <v>34</v>
      </c>
      <c r="C104" s="262" t="str">
        <v>32 &lt; DN[mm] ≤ 63</v>
      </c>
      <c r="D104" s="7" t="str">
        <f t="shared" si="0"/>
        <v>[km]</v>
      </c>
      <c r="E104" s="150"/>
      <c r="F104" s="274"/>
      <c r="G104" s="274"/>
      <c r="H104" s="685"/>
      <c r="I104" s="685"/>
      <c r="J104" s="685"/>
      <c r="K104" s="685"/>
    </row>
    <row r="105" spans="1:11" ht="18.95" customHeight="1" thickBot="1">
      <c r="A105" s="685"/>
      <c r="B105" s="639" t="str">
        <v>35</v>
      </c>
      <c r="C105" s="828" t="str">
        <v>DN[mm] ≤ 32</v>
      </c>
      <c r="D105" s="10" t="str">
        <f t="shared" si="0"/>
        <v>[km]</v>
      </c>
      <c r="E105" s="153"/>
      <c r="F105" s="274"/>
      <c r="G105" s="274"/>
      <c r="H105" s="685"/>
      <c r="I105" s="685"/>
      <c r="J105" s="685"/>
      <c r="K105" s="685"/>
    </row>
    <row r="106" spans="1:11" ht="18.95" customHeight="1" thickBot="1">
      <c r="A106" s="685"/>
      <c r="B106" s="641" t="str">
        <v>36</v>
      </c>
      <c r="C106" s="1" t="str">
        <v>B. STACJE GAZOWE, TŁOCZNIE I WĘZŁY</v>
      </c>
      <c r="D106" s="2" t="str">
        <f>"[szt.]"</f>
        <v>[szt.]</v>
      </c>
      <c r="E106" s="146">
        <f>SUM(E107,E111,E115,E119:E120)</f>
        <v>0</v>
      </c>
      <c r="F106" s="274"/>
      <c r="G106" s="274"/>
      <c r="H106" s="685"/>
      <c r="I106" s="685"/>
      <c r="J106" s="685"/>
      <c r="K106" s="685"/>
    </row>
    <row r="107" spans="1:11" ht="18.95" customHeight="1">
      <c r="A107" s="685"/>
      <c r="B107" s="634" t="str">
        <v>37</v>
      </c>
      <c r="C107" s="12" t="str">
        <v>B1. stacje redukcyjno-pomiarowe I°</v>
      </c>
      <c r="D107" s="5" t="str">
        <f t="shared" ref="D107:D127" si="1">$D$106</f>
        <v>[szt.]</v>
      </c>
      <c r="E107" s="148">
        <f>SUM(E108:E110)</f>
        <v>0</v>
      </c>
      <c r="F107" s="274"/>
      <c r="G107" s="274"/>
      <c r="H107" s="685"/>
      <c r="I107" s="685"/>
      <c r="J107" s="685"/>
      <c r="K107" s="685"/>
    </row>
    <row r="108" spans="1:11" ht="18.95" customHeight="1">
      <c r="A108" s="685"/>
      <c r="B108" s="635" t="str">
        <v>38</v>
      </c>
      <c r="C108" s="260" t="str">
        <v>3000 &lt; Q[m³/h]</v>
      </c>
      <c r="D108" s="6" t="str">
        <f t="shared" si="1"/>
        <v>[szt.]</v>
      </c>
      <c r="E108" s="149"/>
      <c r="F108" s="274"/>
      <c r="G108" s="274"/>
      <c r="H108" s="685"/>
      <c r="I108" s="685"/>
      <c r="J108" s="685"/>
      <c r="K108" s="685"/>
    </row>
    <row r="109" spans="1:11" ht="18.95" customHeight="1">
      <c r="A109" s="685"/>
      <c r="B109" s="636" t="str">
        <v>39</v>
      </c>
      <c r="C109" s="261" t="str">
        <v>1000 &lt; Q[m³/h] ≤ 3000</v>
      </c>
      <c r="D109" s="7" t="str">
        <f t="shared" si="1"/>
        <v>[szt.]</v>
      </c>
      <c r="E109" s="150"/>
      <c r="F109" s="274"/>
      <c r="G109" s="274"/>
      <c r="H109" s="685"/>
      <c r="I109" s="685"/>
      <c r="J109" s="685"/>
      <c r="K109" s="685"/>
    </row>
    <row r="110" spans="1:11" ht="18.95" customHeight="1">
      <c r="A110" s="685"/>
      <c r="B110" s="637" t="str">
        <v>40</v>
      </c>
      <c r="C110" s="269" t="str">
        <v>Q[m³/h] ≤ 1000</v>
      </c>
      <c r="D110" s="8" t="str">
        <f t="shared" si="1"/>
        <v>[szt.]</v>
      </c>
      <c r="E110" s="151"/>
      <c r="F110" s="274"/>
      <c r="G110" s="274"/>
      <c r="H110" s="685"/>
      <c r="I110" s="685"/>
      <c r="J110" s="685"/>
      <c r="K110" s="685"/>
    </row>
    <row r="111" spans="1:11" ht="18.95" customHeight="1">
      <c r="A111" s="685"/>
      <c r="B111" s="638" t="str">
        <v>41</v>
      </c>
      <c r="C111" s="13" t="str">
        <v>B2. stacje redukcyjno-pomiarowe II°</v>
      </c>
      <c r="D111" s="9" t="str">
        <f t="shared" si="1"/>
        <v>[szt.]</v>
      </c>
      <c r="E111" s="152">
        <f>SUM(E112:E114)</f>
        <v>0</v>
      </c>
      <c r="F111" s="274"/>
      <c r="G111" s="274"/>
      <c r="H111" s="685"/>
      <c r="I111" s="685"/>
      <c r="J111" s="685"/>
      <c r="K111" s="685"/>
    </row>
    <row r="112" spans="1:11" ht="18.95" customHeight="1">
      <c r="A112" s="685"/>
      <c r="B112" s="635" t="str">
        <v>42</v>
      </c>
      <c r="C112" s="260" t="str">
        <v>1000 &lt; Q[m³/h]</v>
      </c>
      <c r="D112" s="6" t="str">
        <f t="shared" si="1"/>
        <v>[szt.]</v>
      </c>
      <c r="E112" s="149"/>
      <c r="F112" s="274"/>
      <c r="G112" s="274"/>
      <c r="H112" s="685"/>
      <c r="I112" s="685"/>
      <c r="J112" s="685"/>
      <c r="K112" s="685"/>
    </row>
    <row r="113" spans="1:11" ht="18.95" customHeight="1">
      <c r="A113" s="685"/>
      <c r="B113" s="636" t="str">
        <v>43</v>
      </c>
      <c r="C113" s="262" t="str">
        <v>300 &lt; Q[m³/h] ≤ 1000</v>
      </c>
      <c r="D113" s="7" t="str">
        <f t="shared" si="1"/>
        <v>[szt.]</v>
      </c>
      <c r="E113" s="150"/>
      <c r="F113" s="274"/>
      <c r="G113" s="274"/>
      <c r="H113" s="685"/>
      <c r="I113" s="685"/>
      <c r="J113" s="685"/>
      <c r="K113" s="685"/>
    </row>
    <row r="114" spans="1:11" ht="18.95" customHeight="1">
      <c r="A114" s="685"/>
      <c r="B114" s="637" t="str">
        <v>44</v>
      </c>
      <c r="C114" s="269" t="str">
        <v>Q[m³/h] ≤ 300</v>
      </c>
      <c r="D114" s="8" t="str">
        <f t="shared" si="1"/>
        <v>[szt.]</v>
      </c>
      <c r="E114" s="151"/>
      <c r="F114" s="274"/>
      <c r="G114" s="274"/>
      <c r="H114" s="685"/>
      <c r="I114" s="685"/>
      <c r="J114" s="685"/>
      <c r="K114" s="685"/>
    </row>
    <row r="115" spans="1:11" ht="18.95" customHeight="1">
      <c r="A115" s="685"/>
      <c r="B115" s="638" t="str">
        <v>45</v>
      </c>
      <c r="C115" s="13" t="str">
        <v>B3. stacje LNG</v>
      </c>
      <c r="D115" s="9" t="str">
        <f t="shared" si="1"/>
        <v>[szt.]</v>
      </c>
      <c r="E115" s="152">
        <f>SUM(E116:E118)</f>
        <v>0</v>
      </c>
      <c r="F115" s="274"/>
      <c r="G115" s="274"/>
      <c r="H115" s="685"/>
      <c r="I115" s="685"/>
      <c r="J115" s="685"/>
      <c r="K115" s="685"/>
    </row>
    <row r="116" spans="1:11" ht="18.95" customHeight="1">
      <c r="A116" s="685"/>
      <c r="B116" s="635" t="str">
        <v>46</v>
      </c>
      <c r="C116" s="260" t="str">
        <v>1000 &lt; Q[m³/h]</v>
      </c>
      <c r="D116" s="6" t="str">
        <f t="shared" si="1"/>
        <v>[szt.]</v>
      </c>
      <c r="E116" s="149"/>
      <c r="F116" s="274"/>
      <c r="G116" s="274"/>
      <c r="H116" s="685"/>
      <c r="I116" s="685"/>
      <c r="J116" s="685"/>
      <c r="K116" s="685"/>
    </row>
    <row r="117" spans="1:11" ht="18.95" customHeight="1">
      <c r="A117" s="685"/>
      <c r="B117" s="636" t="str">
        <v>47</v>
      </c>
      <c r="C117" s="262" t="str">
        <v>300 &lt; Q[m³/h] ≤ 1000</v>
      </c>
      <c r="D117" s="7" t="str">
        <f t="shared" si="1"/>
        <v>[szt.]</v>
      </c>
      <c r="E117" s="150"/>
      <c r="F117" s="274"/>
      <c r="G117" s="274"/>
      <c r="H117" s="685"/>
      <c r="I117" s="685"/>
      <c r="J117" s="685"/>
      <c r="K117" s="685"/>
    </row>
    <row r="118" spans="1:11" ht="18.95" customHeight="1">
      <c r="A118" s="685"/>
      <c r="B118" s="637" t="str">
        <v>48</v>
      </c>
      <c r="C118" s="269" t="str">
        <v>Q[m³/h] ≤ 300</v>
      </c>
      <c r="D118" s="8" t="str">
        <f t="shared" si="1"/>
        <v>[szt.]</v>
      </c>
      <c r="E118" s="151"/>
      <c r="F118" s="274"/>
      <c r="G118" s="274"/>
      <c r="H118" s="685"/>
      <c r="I118" s="685"/>
      <c r="J118" s="685"/>
      <c r="K118" s="685"/>
    </row>
    <row r="119" spans="1:11" ht="18.95" customHeight="1">
      <c r="A119" s="685"/>
      <c r="B119" s="642" t="str">
        <v>49</v>
      </c>
      <c r="C119" s="14" t="str">
        <v>B4. tłocznie gazu</v>
      </c>
      <c r="D119" s="15" t="str">
        <f t="shared" si="1"/>
        <v>[szt.]</v>
      </c>
      <c r="E119" s="152"/>
      <c r="F119" s="274"/>
      <c r="G119" s="274"/>
      <c r="H119" s="685"/>
      <c r="I119" s="685"/>
      <c r="J119" s="685"/>
      <c r="K119" s="685"/>
    </row>
    <row r="120" spans="1:11" ht="18.95" customHeight="1" thickBot="1">
      <c r="A120" s="685"/>
      <c r="B120" s="643" t="str">
        <v>50</v>
      </c>
      <c r="C120" s="16" t="str">
        <v>B5. węzły</v>
      </c>
      <c r="D120" s="17" t="str">
        <f t="shared" si="1"/>
        <v>[szt.]</v>
      </c>
      <c r="E120" s="154"/>
      <c r="F120" s="274"/>
      <c r="G120" s="274"/>
      <c r="H120" s="685"/>
      <c r="I120" s="685"/>
      <c r="J120" s="685"/>
      <c r="K120" s="685"/>
    </row>
    <row r="121" spans="1:11" ht="18.95" customHeight="1" thickBot="1">
      <c r="A121" s="685"/>
      <c r="B121" s="641" t="str">
        <v>51</v>
      </c>
      <c r="C121" s="1" t="str">
        <v>C. GAZOMIERZE I UKŁADY POMIAROWE</v>
      </c>
      <c r="D121" s="2" t="str">
        <f t="shared" si="1"/>
        <v>[szt.]</v>
      </c>
      <c r="E121" s="146">
        <f>SUM(E122,E125:E127)</f>
        <v>0</v>
      </c>
      <c r="F121" s="685"/>
      <c r="G121" s="685"/>
      <c r="H121" s="685"/>
      <c r="I121" s="685"/>
      <c r="J121" s="685"/>
      <c r="K121" s="685"/>
    </row>
    <row r="122" spans="1:11" ht="18.95" customHeight="1">
      <c r="A122" s="685"/>
      <c r="B122" s="634" t="str">
        <v>52</v>
      </c>
      <c r="C122" s="12" t="str">
        <v>C1. Gazomierze miechowe</v>
      </c>
      <c r="D122" s="5" t="str">
        <f t="shared" si="1"/>
        <v>[szt.]</v>
      </c>
      <c r="E122" s="148">
        <f>SUM(E123:E124)</f>
        <v>0</v>
      </c>
      <c r="F122" s="685"/>
      <c r="G122" s="685"/>
      <c r="H122" s="685"/>
      <c r="I122" s="685"/>
      <c r="J122" s="685"/>
      <c r="K122" s="685"/>
    </row>
    <row r="123" spans="1:11" ht="18.95" customHeight="1">
      <c r="A123" s="685"/>
      <c r="B123" s="635" t="str">
        <v>53</v>
      </c>
      <c r="C123" s="263" t="str">
        <v>G1.6 ÷ G6 (nowe)</v>
      </c>
      <c r="D123" s="6" t="str">
        <f t="shared" si="1"/>
        <v>[szt.]</v>
      </c>
      <c r="E123" s="149"/>
      <c r="F123" s="685"/>
      <c r="G123" s="685"/>
      <c r="H123" s="685"/>
      <c r="I123" s="685"/>
      <c r="J123" s="685"/>
      <c r="K123" s="685"/>
    </row>
    <row r="124" spans="1:11" ht="18.95" customHeight="1">
      <c r="A124" s="685"/>
      <c r="B124" s="640" t="str">
        <v>54</v>
      </c>
      <c r="C124" s="266" t="str">
        <v>G10 ÷ G650 (nowe)</v>
      </c>
      <c r="D124" s="267" t="str">
        <f t="shared" si="1"/>
        <v>[szt.]</v>
      </c>
      <c r="E124" s="268"/>
      <c r="F124" s="685"/>
      <c r="G124" s="685"/>
      <c r="H124" s="685"/>
      <c r="I124" s="685"/>
      <c r="J124" s="685"/>
      <c r="K124" s="685"/>
    </row>
    <row r="125" spans="1:11" ht="18.95" customHeight="1">
      <c r="A125" s="685"/>
      <c r="B125" s="638" t="str">
        <v>55</v>
      </c>
      <c r="C125" s="13" t="str">
        <v>C2. Gazomierze turbinowe</v>
      </c>
      <c r="D125" s="9" t="str">
        <f t="shared" si="1"/>
        <v>[szt.]</v>
      </c>
      <c r="E125" s="152"/>
      <c r="F125" s="685"/>
      <c r="G125" s="685"/>
      <c r="H125" s="685"/>
      <c r="I125" s="685"/>
      <c r="J125" s="685"/>
      <c r="K125" s="685"/>
    </row>
    <row r="126" spans="1:11" ht="18.95" customHeight="1">
      <c r="A126" s="685"/>
      <c r="B126" s="638" t="str">
        <v>56</v>
      </c>
      <c r="C126" s="13" t="str">
        <v>C3. Gazomierze rotorowe</v>
      </c>
      <c r="D126" s="9" t="str">
        <f t="shared" si="1"/>
        <v>[szt.]</v>
      </c>
      <c r="E126" s="152"/>
      <c r="F126" s="685"/>
      <c r="G126" s="685"/>
      <c r="H126" s="685"/>
      <c r="I126" s="685"/>
      <c r="J126" s="685"/>
      <c r="K126" s="685"/>
    </row>
    <row r="127" spans="1:11" ht="18.95" customHeight="1" thickBot="1">
      <c r="A127" s="685"/>
      <c r="B127" s="643" t="str">
        <v>57</v>
      </c>
      <c r="C127" s="16" t="str">
        <v xml:space="preserve">C4. Inne </v>
      </c>
      <c r="D127" s="17" t="str">
        <f t="shared" si="1"/>
        <v>[szt.]</v>
      </c>
      <c r="E127" s="154"/>
      <c r="F127" s="685"/>
      <c r="G127" s="685"/>
      <c r="H127" s="685"/>
      <c r="I127" s="685"/>
      <c r="J127" s="685"/>
      <c r="K127" s="685"/>
    </row>
    <row r="128" spans="1:11" ht="18.95" customHeight="1">
      <c r="A128" s="685"/>
      <c r="B128" s="685"/>
      <c r="C128" s="685"/>
      <c r="D128" s="685"/>
      <c r="E128" s="685"/>
      <c r="F128" s="685"/>
      <c r="G128" s="685"/>
      <c r="H128" s="685"/>
      <c r="I128" s="685"/>
      <c r="J128" s="685"/>
      <c r="K128" s="685"/>
    </row>
    <row r="129" spans="1:11" ht="18.95" customHeight="1">
      <c r="A129" s="685"/>
      <c r="B129" s="685"/>
      <c r="C129" s="685"/>
      <c r="D129" s="685"/>
      <c r="E129" s="685"/>
      <c r="F129" s="685"/>
      <c r="G129" s="685"/>
      <c r="H129" s="685"/>
      <c r="I129" s="685"/>
      <c r="J129" s="685"/>
      <c r="K129" s="685"/>
    </row>
    <row r="130" spans="1:11" ht="30" customHeight="1" thickBot="1">
      <c r="A130" s="685"/>
      <c r="B130" s="695" t="s">
        <v>134</v>
      </c>
      <c r="C130" s="685"/>
      <c r="D130" s="685"/>
      <c r="E130" s="685"/>
      <c r="F130" s="685"/>
      <c r="G130" s="685"/>
      <c r="H130" s="685"/>
      <c r="I130" s="685"/>
      <c r="J130" s="685"/>
      <c r="K130" s="685"/>
    </row>
    <row r="131" spans="1:11" ht="18.95" customHeight="1">
      <c r="A131" s="685"/>
      <c r="B131" s="1035" t="str">
        <f>'Tab.G1.1-4'!$B$8</f>
        <v>LP</v>
      </c>
      <c r="C131" s="1037" t="str">
        <f>'Tab.G1.1-4'!$C$8</f>
        <v>Wyszczególnienie</v>
      </c>
      <c r="D131" s="1038"/>
      <c r="E131" s="627" t="str">
        <f>'Tab.G1.1-4'!$E$8</f>
        <v>Wykonanie</v>
      </c>
      <c r="F131" s="274"/>
      <c r="G131" s="274"/>
      <c r="H131" s="685"/>
      <c r="I131" s="685"/>
      <c r="J131" s="685"/>
      <c r="K131" s="685"/>
    </row>
    <row r="132" spans="1:11" ht="18.95" customHeight="1">
      <c r="A132" s="685"/>
      <c r="B132" s="1036"/>
      <c r="C132" s="1039"/>
      <c r="D132" s="1040"/>
      <c r="E132" s="628">
        <f>Rok_ZPR</f>
        <v>2023</v>
      </c>
      <c r="F132" s="274"/>
      <c r="G132" s="274"/>
      <c r="H132" s="685"/>
      <c r="I132" s="685"/>
      <c r="J132" s="685"/>
      <c r="K132" s="685"/>
    </row>
    <row r="133" spans="1:11" ht="14.1" customHeight="1" thickBot="1">
      <c r="A133" s="685"/>
      <c r="B133" s="644" t="str">
        <f t="array" ref="B133:B189">Tab.G17!$B$10:$B$66</f>
        <v>01</v>
      </c>
      <c r="C133" s="1044" t="str">
        <f>Tab.G17!$B$11</f>
        <v>02</v>
      </c>
      <c r="D133" s="1034"/>
      <c r="E133" s="645" t="str">
        <f>Tab.G17!$B$12</f>
        <v>03</v>
      </c>
      <c r="F133" s="274"/>
      <c r="G133" s="274"/>
      <c r="H133" s="685"/>
      <c r="I133" s="685"/>
      <c r="J133" s="685"/>
      <c r="K133" s="685"/>
    </row>
    <row r="134" spans="1:11" ht="18.95" customHeight="1" thickBot="1">
      <c r="A134" s="685"/>
      <c r="B134" s="641" t="str">
        <v>02</v>
      </c>
      <c r="C134" s="706" t="str">
        <f t="array" ref="C134:C189">$C$10:$C$65</f>
        <v>A. GAZOCIĄGI DYSTRYBUCYJNE, Z TEGO:</v>
      </c>
      <c r="D134" s="707" t="str">
        <f>"[tys. zł/km]"</f>
        <v>[tys. zł/km]</v>
      </c>
      <c r="E134" s="708" t="str">
        <f t="array" ref="E134:E189">IFERROR($E$10:$E$65/$E$72:$E$127,"")</f>
        <v/>
      </c>
      <c r="F134" s="274"/>
      <c r="G134" s="274"/>
      <c r="H134" s="685"/>
      <c r="I134" s="685"/>
      <c r="J134" s="685"/>
      <c r="K134" s="685"/>
    </row>
    <row r="135" spans="1:11" ht="18.95" customHeight="1" thickBot="1">
      <c r="A135" s="685"/>
      <c r="B135" s="633" t="str">
        <v>03</v>
      </c>
      <c r="C135" s="3" t="str">
        <v>A1. Gazociągi wysokiego i podyższonego średniego ciśnienia</v>
      </c>
      <c r="D135" s="4" t="str">
        <f t="shared" ref="D135:D140" si="2">$D$134</f>
        <v>[tys. zł/km]</v>
      </c>
      <c r="E135" s="147" t="str">
        <v/>
      </c>
      <c r="F135" s="274"/>
      <c r="G135" s="274"/>
      <c r="H135" s="685"/>
      <c r="I135" s="685"/>
      <c r="J135" s="685"/>
      <c r="K135" s="685"/>
    </row>
    <row r="136" spans="1:11" ht="18.95" customHeight="1">
      <c r="A136" s="685"/>
      <c r="B136" s="634" t="str">
        <v>04</v>
      </c>
      <c r="C136" s="258" t="str">
        <v>ze stali</v>
      </c>
      <c r="D136" s="5" t="str">
        <f t="shared" si="2"/>
        <v>[tys. zł/km]</v>
      </c>
      <c r="E136" s="148" t="str">
        <v/>
      </c>
      <c r="F136" s="274"/>
      <c r="G136" s="274"/>
      <c r="H136" s="685"/>
      <c r="I136" s="685"/>
      <c r="J136" s="685"/>
      <c r="K136" s="685"/>
    </row>
    <row r="137" spans="1:11" ht="18.95" customHeight="1">
      <c r="A137" s="685"/>
      <c r="B137" s="635" t="str">
        <v>05</v>
      </c>
      <c r="C137" s="260" t="str">
        <v>300 &lt; DN[mm]</v>
      </c>
      <c r="D137" s="6" t="str">
        <f t="shared" si="2"/>
        <v>[tys. zł/km]</v>
      </c>
      <c r="E137" s="149" t="str">
        <v/>
      </c>
      <c r="F137" s="274"/>
      <c r="G137" s="274"/>
      <c r="H137" s="685"/>
      <c r="I137" s="685"/>
      <c r="J137" s="685"/>
      <c r="K137" s="685"/>
    </row>
    <row r="138" spans="1:11" ht="18.95" customHeight="1">
      <c r="A138" s="685"/>
      <c r="B138" s="636" t="str">
        <v>06</v>
      </c>
      <c r="C138" s="261" t="str">
        <v>200 &lt; DN[mm] ≤ 300</v>
      </c>
      <c r="D138" s="7" t="str">
        <f t="shared" si="2"/>
        <v>[tys. zł/km]</v>
      </c>
      <c r="E138" s="150" t="str">
        <v/>
      </c>
      <c r="F138" s="274"/>
      <c r="G138" s="274"/>
      <c r="H138" s="685"/>
      <c r="I138" s="685"/>
      <c r="J138" s="685"/>
      <c r="K138" s="685"/>
    </row>
    <row r="139" spans="1:11" ht="18.95" customHeight="1">
      <c r="A139" s="685"/>
      <c r="B139" s="636" t="str">
        <v>07</v>
      </c>
      <c r="C139" s="261" t="str">
        <v>100 &lt; DN[mm] ≤ 200</v>
      </c>
      <c r="D139" s="7" t="str">
        <f t="shared" si="2"/>
        <v>[tys. zł/km]</v>
      </c>
      <c r="E139" s="150" t="str">
        <v/>
      </c>
      <c r="F139" s="274"/>
      <c r="G139" s="274"/>
      <c r="H139" s="685"/>
      <c r="I139" s="685"/>
      <c r="J139" s="685"/>
      <c r="K139" s="685"/>
    </row>
    <row r="140" spans="1:11" ht="18.95" customHeight="1">
      <c r="A140" s="685"/>
      <c r="B140" s="637" t="str">
        <v>08</v>
      </c>
      <c r="C140" s="264" t="str">
        <v>DN[mm] ≤ 100</v>
      </c>
      <c r="D140" s="8" t="str">
        <f t="shared" si="2"/>
        <v>[tys. zł/km]</v>
      </c>
      <c r="E140" s="151" t="str">
        <v/>
      </c>
      <c r="F140" s="274"/>
      <c r="G140" s="274"/>
      <c r="H140" s="685"/>
      <c r="I140" s="685"/>
      <c r="J140" s="685"/>
      <c r="K140" s="685"/>
    </row>
    <row r="141" spans="1:11" ht="18.95" customHeight="1">
      <c r="A141" s="685"/>
      <c r="B141" s="638" t="str">
        <v>09</v>
      </c>
      <c r="C141" s="259" t="str">
        <v>z tworzyw sztucznych (np. polietylenu)</v>
      </c>
      <c r="D141" s="9" t="s">
        <v>91</v>
      </c>
      <c r="E141" s="152" t="str">
        <v/>
      </c>
      <c r="F141" s="274"/>
      <c r="G141" s="274"/>
      <c r="H141" s="685"/>
      <c r="I141" s="685"/>
      <c r="J141" s="685"/>
      <c r="K141" s="685"/>
    </row>
    <row r="142" spans="1:11" ht="18.95" customHeight="1">
      <c r="A142" s="685"/>
      <c r="B142" s="635" t="str">
        <v>10</v>
      </c>
      <c r="C142" s="260" t="str">
        <v>300 &lt; DN[mm]</v>
      </c>
      <c r="D142" s="6" t="str">
        <f t="shared" ref="D142:D147" si="3">$D$134</f>
        <v>[tys. zł/km]</v>
      </c>
      <c r="E142" s="149" t="str">
        <v/>
      </c>
      <c r="F142" s="274"/>
      <c r="G142" s="274"/>
      <c r="H142" s="685"/>
      <c r="I142" s="685"/>
      <c r="J142" s="685"/>
      <c r="K142" s="685"/>
    </row>
    <row r="143" spans="1:11" ht="18.95" customHeight="1">
      <c r="A143" s="685"/>
      <c r="B143" s="636" t="str">
        <v>11</v>
      </c>
      <c r="C143" s="261" t="str">
        <v>200 &lt; DN[mm] ≤ 300</v>
      </c>
      <c r="D143" s="7" t="str">
        <f t="shared" si="3"/>
        <v>[tys. zł/km]</v>
      </c>
      <c r="E143" s="150" t="str">
        <v/>
      </c>
      <c r="F143" s="274"/>
      <c r="G143" s="274"/>
      <c r="H143" s="685"/>
      <c r="I143" s="685"/>
      <c r="J143" s="685"/>
      <c r="K143" s="685"/>
    </row>
    <row r="144" spans="1:11" ht="18.95" customHeight="1">
      <c r="A144" s="685"/>
      <c r="B144" s="636" t="str">
        <v>12</v>
      </c>
      <c r="C144" s="261" t="str">
        <v>100 &lt; DN[mm] ≤ 200</v>
      </c>
      <c r="D144" s="7" t="str">
        <f t="shared" si="3"/>
        <v>[tys. zł/km]</v>
      </c>
      <c r="E144" s="150" t="str">
        <v/>
      </c>
      <c r="F144" s="274"/>
      <c r="G144" s="274"/>
      <c r="H144" s="685"/>
      <c r="I144" s="685"/>
      <c r="J144" s="685"/>
      <c r="K144" s="685"/>
    </row>
    <row r="145" spans="1:11" ht="18.95" customHeight="1" thickBot="1">
      <c r="A145" s="685"/>
      <c r="B145" s="639" t="str">
        <v>13</v>
      </c>
      <c r="C145" s="265" t="str">
        <v>DN[mm] ≤ 100</v>
      </c>
      <c r="D145" s="10" t="str">
        <f t="shared" si="3"/>
        <v>[tys. zł/km]</v>
      </c>
      <c r="E145" s="153" t="str">
        <v/>
      </c>
      <c r="F145" s="274"/>
      <c r="G145" s="274"/>
      <c r="H145" s="685"/>
      <c r="I145" s="685"/>
      <c r="J145" s="685"/>
      <c r="K145" s="685"/>
    </row>
    <row r="146" spans="1:11" ht="18.95" customHeight="1" thickBot="1">
      <c r="A146" s="685"/>
      <c r="B146" s="633" t="str">
        <v>14</v>
      </c>
      <c r="C146" s="11" t="str">
        <v>A2. Gazociągi średniego i niskiego ciśnienia</v>
      </c>
      <c r="D146" s="4" t="str">
        <f t="shared" si="3"/>
        <v>[tys. zł/km]</v>
      </c>
      <c r="E146" s="147" t="str">
        <v/>
      </c>
      <c r="F146" s="274"/>
      <c r="G146" s="274"/>
      <c r="H146" s="685"/>
      <c r="I146" s="685"/>
      <c r="J146" s="685"/>
      <c r="K146" s="685"/>
    </row>
    <row r="147" spans="1:11" ht="18.95" customHeight="1">
      <c r="A147" s="685"/>
      <c r="B147" s="634" t="str">
        <v>15</v>
      </c>
      <c r="C147" s="258" t="str">
        <v>ze stali</v>
      </c>
      <c r="D147" s="5" t="str">
        <f t="shared" si="3"/>
        <v>[tys. zł/km]</v>
      </c>
      <c r="E147" s="148" t="str">
        <v/>
      </c>
      <c r="F147" s="274"/>
      <c r="G147" s="274"/>
      <c r="H147" s="685"/>
      <c r="I147" s="685"/>
      <c r="J147" s="685"/>
      <c r="K147" s="685"/>
    </row>
    <row r="148" spans="1:11" ht="18.95" customHeight="1">
      <c r="A148" s="685"/>
      <c r="B148" s="635" t="str">
        <v>16</v>
      </c>
      <c r="C148" s="260" t="str">
        <v>200 &lt; DN[mm]</v>
      </c>
      <c r="D148" s="6" t="s">
        <v>91</v>
      </c>
      <c r="E148" s="149" t="str">
        <v/>
      </c>
      <c r="F148" s="274"/>
      <c r="G148" s="274"/>
      <c r="H148" s="685"/>
      <c r="I148" s="685"/>
      <c r="J148" s="685"/>
      <c r="K148" s="685"/>
    </row>
    <row r="149" spans="1:11" ht="18.95" customHeight="1">
      <c r="A149" s="685"/>
      <c r="B149" s="636" t="str">
        <v>17</v>
      </c>
      <c r="C149" s="261" t="str">
        <v>100 &lt; DN[mm] ≤ 200</v>
      </c>
      <c r="D149" s="7" t="str">
        <f t="shared" ref="D149:D154" si="4">$D$134</f>
        <v>[tys. zł/km]</v>
      </c>
      <c r="E149" s="150" t="str">
        <v/>
      </c>
      <c r="F149" s="274"/>
      <c r="G149" s="274"/>
      <c r="H149" s="685"/>
      <c r="I149" s="685"/>
      <c r="J149" s="685"/>
      <c r="K149" s="685"/>
    </row>
    <row r="150" spans="1:11" ht="18.95" customHeight="1">
      <c r="A150" s="685"/>
      <c r="B150" s="636" t="str">
        <v>18</v>
      </c>
      <c r="C150" s="262" t="str">
        <v>63 &lt; DN[mm] ≤ 100</v>
      </c>
      <c r="D150" s="7" t="str">
        <f t="shared" si="4"/>
        <v>[tys. zł/km]</v>
      </c>
      <c r="E150" s="150" t="str">
        <v/>
      </c>
      <c r="F150" s="274"/>
      <c r="G150" s="274"/>
      <c r="H150" s="685"/>
      <c r="I150" s="685"/>
      <c r="J150" s="685"/>
      <c r="K150" s="685"/>
    </row>
    <row r="151" spans="1:11" ht="18.95" customHeight="1">
      <c r="A151" s="685"/>
      <c r="B151" s="637" t="str">
        <v>19</v>
      </c>
      <c r="C151" s="264" t="str">
        <v>DN[mm] ≤ 63</v>
      </c>
      <c r="D151" s="8" t="str">
        <f t="shared" si="4"/>
        <v>[tys. zł/km]</v>
      </c>
      <c r="E151" s="151" t="str">
        <v/>
      </c>
      <c r="F151" s="274"/>
      <c r="G151" s="274"/>
      <c r="H151" s="685"/>
      <c r="I151" s="685"/>
      <c r="J151" s="685"/>
      <c r="K151" s="685"/>
    </row>
    <row r="152" spans="1:11" ht="18.95" customHeight="1">
      <c r="A152" s="685"/>
      <c r="B152" s="638" t="str">
        <v>20</v>
      </c>
      <c r="C152" s="259" t="str">
        <v>z tworzyw sztucznych (np. polietylenu)</v>
      </c>
      <c r="D152" s="9" t="str">
        <f t="shared" si="4"/>
        <v>[tys. zł/km]</v>
      </c>
      <c r="E152" s="152" t="str">
        <v/>
      </c>
      <c r="F152" s="274"/>
      <c r="G152" s="274"/>
      <c r="H152" s="685"/>
      <c r="I152" s="685"/>
      <c r="J152" s="685"/>
      <c r="K152" s="685"/>
    </row>
    <row r="153" spans="1:11" ht="18.95" customHeight="1">
      <c r="A153" s="685"/>
      <c r="B153" s="635" t="str">
        <v>21</v>
      </c>
      <c r="C153" s="260" t="str">
        <v>200 &lt; DN[mm]</v>
      </c>
      <c r="D153" s="6" t="str">
        <f t="shared" si="4"/>
        <v>[tys. zł/km]</v>
      </c>
      <c r="E153" s="149" t="str">
        <v/>
      </c>
      <c r="F153" s="274"/>
      <c r="G153" s="274"/>
      <c r="H153" s="685"/>
      <c r="I153" s="685"/>
      <c r="J153" s="685"/>
      <c r="K153" s="685"/>
    </row>
    <row r="154" spans="1:11" ht="18.95" customHeight="1">
      <c r="A154" s="685"/>
      <c r="B154" s="636" t="str">
        <v>22</v>
      </c>
      <c r="C154" s="261" t="str">
        <v>100 &lt; DN[mm] ≤ 200</v>
      </c>
      <c r="D154" s="7" t="str">
        <f t="shared" si="4"/>
        <v>[tys. zł/km]</v>
      </c>
      <c r="E154" s="150" t="str">
        <v/>
      </c>
      <c r="F154" s="274"/>
      <c r="G154" s="274"/>
      <c r="H154" s="685"/>
      <c r="I154" s="685"/>
      <c r="J154" s="685"/>
      <c r="K154" s="685"/>
    </row>
    <row r="155" spans="1:11" ht="18.95" customHeight="1">
      <c r="A155" s="685"/>
      <c r="B155" s="636" t="str">
        <v>23</v>
      </c>
      <c r="C155" s="262" t="str">
        <v>63 &lt; DN[mm] ≤ 100</v>
      </c>
      <c r="D155" s="7" t="s">
        <v>91</v>
      </c>
      <c r="E155" s="150" t="str">
        <v/>
      </c>
      <c r="F155" s="274"/>
      <c r="G155" s="274"/>
      <c r="H155" s="685"/>
      <c r="I155" s="685"/>
      <c r="J155" s="685"/>
      <c r="K155" s="685"/>
    </row>
    <row r="156" spans="1:11" ht="18.95" customHeight="1" thickBot="1">
      <c r="A156" s="685"/>
      <c r="B156" s="639" t="str">
        <v>24</v>
      </c>
      <c r="C156" s="265" t="str">
        <v>DN[mm] ≤ 63</v>
      </c>
      <c r="D156" s="10" t="str">
        <f t="shared" ref="D156:D161" si="5">$D$134</f>
        <v>[tys. zł/km]</v>
      </c>
      <c r="E156" s="153" t="str">
        <v/>
      </c>
      <c r="F156" s="274"/>
      <c r="G156" s="274"/>
      <c r="H156" s="685"/>
      <c r="I156" s="685"/>
      <c r="J156" s="685"/>
      <c r="K156" s="685"/>
    </row>
    <row r="157" spans="1:11" ht="18.95" customHeight="1" thickBot="1">
      <c r="A157" s="685"/>
      <c r="B157" s="633" t="str">
        <v>25</v>
      </c>
      <c r="C157" s="11" t="str">
        <v>A3. przyłącza</v>
      </c>
      <c r="D157" s="4" t="str">
        <f t="shared" si="5"/>
        <v>[tys. zł/km]</v>
      </c>
      <c r="E157" s="147" t="str">
        <v/>
      </c>
      <c r="F157" s="274"/>
      <c r="G157" s="274"/>
      <c r="H157" s="685"/>
      <c r="I157" s="685"/>
      <c r="J157" s="685"/>
      <c r="K157" s="685"/>
    </row>
    <row r="158" spans="1:11" ht="18.95" customHeight="1">
      <c r="A158" s="685"/>
      <c r="B158" s="634" t="str">
        <v>26</v>
      </c>
      <c r="C158" s="258" t="str">
        <v>ze stali</v>
      </c>
      <c r="D158" s="5" t="str">
        <f t="shared" si="5"/>
        <v>[tys. zł/km]</v>
      </c>
      <c r="E158" s="148" t="str">
        <v/>
      </c>
      <c r="F158" s="274"/>
      <c r="G158" s="274"/>
      <c r="H158" s="685"/>
      <c r="I158" s="685"/>
      <c r="J158" s="685"/>
      <c r="K158" s="685"/>
    </row>
    <row r="159" spans="1:11" ht="18.95" customHeight="1">
      <c r="A159" s="685"/>
      <c r="B159" s="635" t="str">
        <v>27</v>
      </c>
      <c r="C159" s="260" t="str">
        <v>100 &lt; DN[mm]</v>
      </c>
      <c r="D159" s="6" t="str">
        <f t="shared" si="5"/>
        <v>[tys. zł/km]</v>
      </c>
      <c r="E159" s="149" t="str">
        <v/>
      </c>
      <c r="F159" s="274"/>
      <c r="G159" s="274"/>
      <c r="H159" s="685"/>
      <c r="I159" s="685"/>
      <c r="J159" s="685"/>
      <c r="K159" s="685"/>
    </row>
    <row r="160" spans="1:11" ht="18.95" customHeight="1">
      <c r="A160" s="685"/>
      <c r="B160" s="636" t="str">
        <v>28</v>
      </c>
      <c r="C160" s="262" t="str">
        <v>63 &lt; DN[mm] ≤ 100</v>
      </c>
      <c r="D160" s="7" t="str">
        <f t="shared" si="5"/>
        <v>[tys. zł/km]</v>
      </c>
      <c r="E160" s="150" t="str">
        <v/>
      </c>
      <c r="F160" s="274"/>
      <c r="G160" s="274"/>
      <c r="H160" s="685"/>
      <c r="I160" s="685"/>
      <c r="J160" s="685"/>
      <c r="K160" s="685"/>
    </row>
    <row r="161" spans="1:11" ht="18.95" customHeight="1">
      <c r="A161" s="685"/>
      <c r="B161" s="636" t="str">
        <v>29</v>
      </c>
      <c r="C161" s="262" t="str">
        <v>32 &lt; DN[mm] ≤ 63</v>
      </c>
      <c r="D161" s="7" t="str">
        <f t="shared" si="5"/>
        <v>[tys. zł/km]</v>
      </c>
      <c r="E161" s="150" t="str">
        <v/>
      </c>
      <c r="F161" s="274"/>
      <c r="G161" s="274"/>
      <c r="H161" s="685"/>
      <c r="I161" s="685"/>
      <c r="J161" s="685"/>
      <c r="K161" s="685"/>
    </row>
    <row r="162" spans="1:11" ht="18.95" customHeight="1">
      <c r="A162" s="685"/>
      <c r="B162" s="637" t="str">
        <v>30</v>
      </c>
      <c r="C162" s="269" t="str">
        <v>DN[mm] ≤ 32</v>
      </c>
      <c r="D162" s="8" t="s">
        <v>91</v>
      </c>
      <c r="E162" s="151" t="str">
        <v/>
      </c>
      <c r="F162" s="274"/>
      <c r="G162" s="274"/>
      <c r="H162" s="685"/>
      <c r="I162" s="685"/>
      <c r="J162" s="685"/>
      <c r="K162" s="685"/>
    </row>
    <row r="163" spans="1:11" ht="18.95" customHeight="1">
      <c r="A163" s="685"/>
      <c r="B163" s="638" t="str">
        <v>31</v>
      </c>
      <c r="C163" s="259" t="str">
        <v>z tworzyw sztucznych (np. polietylenu)</v>
      </c>
      <c r="D163" s="9" t="str">
        <f>$D$134</f>
        <v>[tys. zł/km]</v>
      </c>
      <c r="E163" s="152" t="str">
        <v/>
      </c>
      <c r="F163" s="274"/>
      <c r="G163" s="274"/>
      <c r="H163" s="685"/>
      <c r="I163" s="685"/>
      <c r="J163" s="685"/>
      <c r="K163" s="685"/>
    </row>
    <row r="164" spans="1:11" ht="18.95" customHeight="1">
      <c r="A164" s="685"/>
      <c r="B164" s="635" t="str">
        <v>32</v>
      </c>
      <c r="C164" s="260" t="str">
        <v>100 &lt; DN[mm]</v>
      </c>
      <c r="D164" s="6" t="str">
        <f>$D$134</f>
        <v>[tys. zł/km]</v>
      </c>
      <c r="E164" s="149" t="str">
        <v/>
      </c>
      <c r="F164" s="274"/>
      <c r="G164" s="274"/>
      <c r="H164" s="685"/>
      <c r="I164" s="685"/>
      <c r="J164" s="685"/>
      <c r="K164" s="685"/>
    </row>
    <row r="165" spans="1:11" ht="18.95" customHeight="1">
      <c r="A165" s="685"/>
      <c r="B165" s="636" t="str">
        <v>33</v>
      </c>
      <c r="C165" s="262" t="str">
        <v>63 &lt; DN[mm] ≤ 100</v>
      </c>
      <c r="D165" s="7" t="str">
        <f>$D$134</f>
        <v>[tys. zł/km]</v>
      </c>
      <c r="E165" s="150" t="str">
        <v/>
      </c>
      <c r="F165" s="274"/>
      <c r="G165" s="274"/>
      <c r="H165" s="685"/>
      <c r="I165" s="685"/>
      <c r="J165" s="685"/>
      <c r="K165" s="685"/>
    </row>
    <row r="166" spans="1:11" ht="18.95" customHeight="1">
      <c r="A166" s="685"/>
      <c r="B166" s="636" t="str">
        <v>34</v>
      </c>
      <c r="C166" s="262" t="str">
        <v>32 &lt; DN[mm] ≤ 63</v>
      </c>
      <c r="D166" s="7" t="str">
        <f>$D$134</f>
        <v>[tys. zł/km]</v>
      </c>
      <c r="E166" s="150" t="str">
        <v/>
      </c>
      <c r="F166" s="274"/>
      <c r="G166" s="274"/>
      <c r="H166" s="685"/>
      <c r="I166" s="685"/>
      <c r="J166" s="685"/>
      <c r="K166" s="685"/>
    </row>
    <row r="167" spans="1:11" ht="18.95" customHeight="1" thickBot="1">
      <c r="A167" s="685"/>
      <c r="B167" s="639" t="str">
        <v>35</v>
      </c>
      <c r="C167" s="828" t="str">
        <v>DN[mm] ≤ 32</v>
      </c>
      <c r="D167" s="10" t="s">
        <v>91</v>
      </c>
      <c r="E167" s="153" t="str">
        <v/>
      </c>
      <c r="F167" s="274"/>
      <c r="G167" s="274"/>
      <c r="H167" s="685"/>
      <c r="I167" s="685"/>
      <c r="J167" s="685"/>
      <c r="K167" s="685"/>
    </row>
    <row r="168" spans="1:11" ht="18.95" customHeight="1" thickBot="1">
      <c r="A168" s="685"/>
      <c r="B168" s="641" t="str">
        <v>36</v>
      </c>
      <c r="C168" s="1" t="str">
        <v>B. STACJE GAZOWE, TŁOCZNIE I WĘZŁY</v>
      </c>
      <c r="D168" s="2" t="str">
        <f>"[tys. zł/szt.]"</f>
        <v>[tys. zł/szt.]</v>
      </c>
      <c r="E168" s="146" t="str">
        <v/>
      </c>
      <c r="F168" s="274"/>
      <c r="G168" s="274"/>
      <c r="H168" s="685"/>
      <c r="I168" s="685"/>
      <c r="J168" s="685"/>
      <c r="K168" s="685"/>
    </row>
    <row r="169" spans="1:11" ht="18.95" customHeight="1">
      <c r="A169" s="685"/>
      <c r="B169" s="634" t="str">
        <v>37</v>
      </c>
      <c r="C169" s="12" t="str">
        <v>B1. stacje redukcyjno-pomiarowe I°</v>
      </c>
      <c r="D169" s="5" t="str">
        <f t="shared" ref="D169:D189" si="6">$D$168</f>
        <v>[tys. zł/szt.]</v>
      </c>
      <c r="E169" s="148" t="str">
        <v/>
      </c>
      <c r="F169" s="274"/>
      <c r="G169" s="274"/>
      <c r="H169" s="685"/>
      <c r="I169" s="685"/>
      <c r="J169" s="685"/>
      <c r="K169" s="685"/>
    </row>
    <row r="170" spans="1:11" ht="18.95" customHeight="1">
      <c r="A170" s="685"/>
      <c r="B170" s="635" t="str">
        <v>38</v>
      </c>
      <c r="C170" s="260" t="str">
        <v>3000 &lt; Q[m³/h]</v>
      </c>
      <c r="D170" s="6" t="str">
        <f t="shared" si="6"/>
        <v>[tys. zł/szt.]</v>
      </c>
      <c r="E170" s="149" t="str">
        <v/>
      </c>
      <c r="F170" s="274"/>
      <c r="G170" s="274"/>
      <c r="H170" s="685"/>
      <c r="I170" s="685"/>
      <c r="J170" s="685"/>
      <c r="K170" s="685"/>
    </row>
    <row r="171" spans="1:11" ht="18.95" customHeight="1">
      <c r="A171" s="685"/>
      <c r="B171" s="636" t="str">
        <v>39</v>
      </c>
      <c r="C171" s="261" t="str">
        <v>1000 &lt; Q[m³/h] ≤ 3000</v>
      </c>
      <c r="D171" s="7" t="str">
        <f t="shared" si="6"/>
        <v>[tys. zł/szt.]</v>
      </c>
      <c r="E171" s="150" t="str">
        <v/>
      </c>
      <c r="F171" s="274"/>
      <c r="G171" s="274"/>
      <c r="H171" s="685"/>
      <c r="I171" s="685"/>
      <c r="J171" s="685"/>
      <c r="K171" s="685"/>
    </row>
    <row r="172" spans="1:11" ht="18.95" customHeight="1">
      <c r="A172" s="685"/>
      <c r="B172" s="637" t="str">
        <v>40</v>
      </c>
      <c r="C172" s="269" t="str">
        <v>Q[m³/h] ≤ 1000</v>
      </c>
      <c r="D172" s="8" t="str">
        <f t="shared" si="6"/>
        <v>[tys. zł/szt.]</v>
      </c>
      <c r="E172" s="151" t="str">
        <v/>
      </c>
      <c r="F172" s="274"/>
      <c r="G172" s="274"/>
      <c r="H172" s="685"/>
      <c r="I172" s="685"/>
      <c r="J172" s="685"/>
      <c r="K172" s="685"/>
    </row>
    <row r="173" spans="1:11" ht="18.95" customHeight="1">
      <c r="A173" s="685"/>
      <c r="B173" s="638" t="str">
        <v>41</v>
      </c>
      <c r="C173" s="13" t="str">
        <v>B2. stacje redukcyjno-pomiarowe II°</v>
      </c>
      <c r="D173" s="9" t="str">
        <f t="shared" si="6"/>
        <v>[tys. zł/szt.]</v>
      </c>
      <c r="E173" s="152" t="str">
        <v/>
      </c>
      <c r="F173" s="274"/>
      <c r="G173" s="274"/>
      <c r="H173" s="685"/>
      <c r="I173" s="685"/>
      <c r="J173" s="685"/>
      <c r="K173" s="685"/>
    </row>
    <row r="174" spans="1:11" ht="18.95" customHeight="1">
      <c r="A174" s="685"/>
      <c r="B174" s="635" t="str">
        <v>42</v>
      </c>
      <c r="C174" s="260" t="str">
        <v>1000 &lt; Q[m³/h]</v>
      </c>
      <c r="D174" s="6" t="str">
        <f t="shared" si="6"/>
        <v>[tys. zł/szt.]</v>
      </c>
      <c r="E174" s="149" t="str">
        <v/>
      </c>
      <c r="F174" s="274"/>
      <c r="G174" s="274"/>
      <c r="H174" s="685"/>
      <c r="I174" s="685"/>
      <c r="J174" s="685"/>
      <c r="K174" s="685"/>
    </row>
    <row r="175" spans="1:11" ht="18.95" customHeight="1">
      <c r="A175" s="685"/>
      <c r="B175" s="636" t="str">
        <v>43</v>
      </c>
      <c r="C175" s="262" t="str">
        <v>300 &lt; Q[m³/h] ≤ 1000</v>
      </c>
      <c r="D175" s="7" t="str">
        <f t="shared" si="6"/>
        <v>[tys. zł/szt.]</v>
      </c>
      <c r="E175" s="150" t="str">
        <v/>
      </c>
      <c r="F175" s="274"/>
      <c r="G175" s="274"/>
      <c r="H175" s="685"/>
      <c r="I175" s="685"/>
      <c r="J175" s="685"/>
      <c r="K175" s="685"/>
    </row>
    <row r="176" spans="1:11" ht="18.95" customHeight="1">
      <c r="A176" s="685"/>
      <c r="B176" s="637" t="str">
        <v>44</v>
      </c>
      <c r="C176" s="269" t="str">
        <v>Q[m³/h] ≤ 300</v>
      </c>
      <c r="D176" s="8" t="str">
        <f t="shared" si="6"/>
        <v>[tys. zł/szt.]</v>
      </c>
      <c r="E176" s="151" t="str">
        <v/>
      </c>
      <c r="F176" s="274"/>
      <c r="G176" s="274"/>
      <c r="H176" s="685"/>
      <c r="I176" s="685"/>
      <c r="J176" s="685"/>
      <c r="K176" s="685"/>
    </row>
    <row r="177" spans="1:11" ht="18.95" customHeight="1">
      <c r="A177" s="685"/>
      <c r="B177" s="638" t="str">
        <v>45</v>
      </c>
      <c r="C177" s="13" t="str">
        <v>B3. stacje LNG</v>
      </c>
      <c r="D177" s="9" t="str">
        <f t="shared" si="6"/>
        <v>[tys. zł/szt.]</v>
      </c>
      <c r="E177" s="152" t="str">
        <v/>
      </c>
      <c r="F177" s="274"/>
      <c r="G177" s="274"/>
      <c r="H177" s="685"/>
      <c r="I177" s="685"/>
      <c r="J177" s="685"/>
      <c r="K177" s="685"/>
    </row>
    <row r="178" spans="1:11" ht="18.95" customHeight="1">
      <c r="A178" s="685"/>
      <c r="B178" s="635" t="str">
        <v>46</v>
      </c>
      <c r="C178" s="260" t="str">
        <v>1000 &lt; Q[m³/h]</v>
      </c>
      <c r="D178" s="6" t="str">
        <f t="shared" si="6"/>
        <v>[tys. zł/szt.]</v>
      </c>
      <c r="E178" s="149" t="str">
        <v/>
      </c>
      <c r="F178" s="274"/>
      <c r="G178" s="274"/>
      <c r="H178" s="685"/>
      <c r="I178" s="685"/>
      <c r="J178" s="685"/>
      <c r="K178" s="685"/>
    </row>
    <row r="179" spans="1:11" ht="18.95" customHeight="1">
      <c r="A179" s="685"/>
      <c r="B179" s="636" t="str">
        <v>47</v>
      </c>
      <c r="C179" s="262" t="str">
        <v>300 &lt; Q[m³/h] ≤ 1000</v>
      </c>
      <c r="D179" s="7" t="str">
        <f t="shared" si="6"/>
        <v>[tys. zł/szt.]</v>
      </c>
      <c r="E179" s="150" t="str">
        <v/>
      </c>
      <c r="F179" s="274"/>
      <c r="G179" s="274"/>
      <c r="H179" s="685"/>
      <c r="I179" s="685"/>
      <c r="J179" s="685"/>
      <c r="K179" s="685"/>
    </row>
    <row r="180" spans="1:11" ht="18.95" customHeight="1">
      <c r="A180" s="685"/>
      <c r="B180" s="637" t="str">
        <v>48</v>
      </c>
      <c r="C180" s="269" t="str">
        <v>Q[m³/h] ≤ 300</v>
      </c>
      <c r="D180" s="8" t="str">
        <f t="shared" si="6"/>
        <v>[tys. zł/szt.]</v>
      </c>
      <c r="E180" s="151" t="str">
        <v/>
      </c>
      <c r="F180" s="274"/>
      <c r="G180" s="274"/>
      <c r="H180" s="685"/>
      <c r="I180" s="685"/>
      <c r="J180" s="685"/>
      <c r="K180" s="685"/>
    </row>
    <row r="181" spans="1:11" ht="18.95" customHeight="1">
      <c r="A181" s="685"/>
      <c r="B181" s="642" t="str">
        <v>49</v>
      </c>
      <c r="C181" s="14" t="str">
        <v>B4. tłocznie gazu</v>
      </c>
      <c r="D181" s="15" t="str">
        <f t="shared" si="6"/>
        <v>[tys. zł/szt.]</v>
      </c>
      <c r="E181" s="152" t="str">
        <v/>
      </c>
      <c r="F181" s="274"/>
      <c r="G181" s="274"/>
      <c r="H181" s="685"/>
      <c r="I181" s="685"/>
      <c r="J181" s="685"/>
      <c r="K181" s="685"/>
    </row>
    <row r="182" spans="1:11" ht="18.95" customHeight="1" thickBot="1">
      <c r="A182" s="685"/>
      <c r="B182" s="643" t="str">
        <v>50</v>
      </c>
      <c r="C182" s="16" t="str">
        <v>B5. węzły</v>
      </c>
      <c r="D182" s="17" t="str">
        <f t="shared" si="6"/>
        <v>[tys. zł/szt.]</v>
      </c>
      <c r="E182" s="154" t="str">
        <v/>
      </c>
      <c r="F182" s="274"/>
      <c r="G182" s="274"/>
      <c r="H182" s="685"/>
      <c r="I182" s="685"/>
      <c r="J182" s="685"/>
      <c r="K182" s="685"/>
    </row>
    <row r="183" spans="1:11" ht="18.95" customHeight="1" thickBot="1">
      <c r="A183" s="685"/>
      <c r="B183" s="641" t="str">
        <v>51</v>
      </c>
      <c r="C183" s="1" t="str">
        <v>C. GAZOMIERZE I UKŁADY POMIAROWE</v>
      </c>
      <c r="D183" s="2" t="str">
        <f t="shared" si="6"/>
        <v>[tys. zł/szt.]</v>
      </c>
      <c r="E183" s="146" t="str">
        <v/>
      </c>
      <c r="F183" s="685"/>
      <c r="G183" s="685"/>
      <c r="H183" s="685"/>
      <c r="I183" s="685"/>
      <c r="J183" s="685"/>
      <c r="K183" s="685"/>
    </row>
    <row r="184" spans="1:11" ht="18.95" customHeight="1">
      <c r="A184" s="685"/>
      <c r="B184" s="634" t="str">
        <v>52</v>
      </c>
      <c r="C184" s="12" t="str">
        <v>C1. Gazomierze miechowe</v>
      </c>
      <c r="D184" s="5" t="str">
        <f t="shared" si="6"/>
        <v>[tys. zł/szt.]</v>
      </c>
      <c r="E184" s="148" t="str">
        <v/>
      </c>
      <c r="F184" s="685"/>
      <c r="G184" s="685"/>
      <c r="H184" s="685"/>
      <c r="I184" s="685"/>
      <c r="J184" s="685"/>
      <c r="K184" s="685"/>
    </row>
    <row r="185" spans="1:11" ht="18.95" customHeight="1">
      <c r="A185" s="685"/>
      <c r="B185" s="635" t="str">
        <v>53</v>
      </c>
      <c r="C185" s="263" t="str">
        <v>G1.6 ÷ G6 (nowe)</v>
      </c>
      <c r="D185" s="6" t="str">
        <f t="shared" si="6"/>
        <v>[tys. zł/szt.]</v>
      </c>
      <c r="E185" s="149" t="str">
        <v/>
      </c>
      <c r="F185" s="685"/>
      <c r="G185" s="685"/>
      <c r="H185" s="685"/>
      <c r="I185" s="685"/>
      <c r="J185" s="685"/>
      <c r="K185" s="685"/>
    </row>
    <row r="186" spans="1:11" ht="18.95" customHeight="1">
      <c r="A186" s="685"/>
      <c r="B186" s="640" t="str">
        <v>54</v>
      </c>
      <c r="C186" s="266" t="str">
        <v>G10 ÷ G650 (nowe)</v>
      </c>
      <c r="D186" s="267" t="str">
        <f t="shared" si="6"/>
        <v>[tys. zł/szt.]</v>
      </c>
      <c r="E186" s="268" t="str">
        <v/>
      </c>
      <c r="F186" s="685"/>
      <c r="G186" s="685"/>
      <c r="H186" s="685"/>
      <c r="I186" s="685"/>
      <c r="J186" s="685"/>
      <c r="K186" s="685"/>
    </row>
    <row r="187" spans="1:11" ht="18.95" customHeight="1">
      <c r="A187" s="685"/>
      <c r="B187" s="638" t="str">
        <v>55</v>
      </c>
      <c r="C187" s="13" t="str">
        <v>C2. Gazomierze turbinowe</v>
      </c>
      <c r="D187" s="9" t="str">
        <f t="shared" si="6"/>
        <v>[tys. zł/szt.]</v>
      </c>
      <c r="E187" s="152" t="str">
        <v/>
      </c>
      <c r="F187" s="685"/>
      <c r="G187" s="685"/>
      <c r="H187" s="685"/>
      <c r="I187" s="685"/>
      <c r="J187" s="685"/>
      <c r="K187" s="685"/>
    </row>
    <row r="188" spans="1:11" ht="18.95" customHeight="1">
      <c r="A188" s="685"/>
      <c r="B188" s="638" t="str">
        <v>56</v>
      </c>
      <c r="C188" s="13" t="str">
        <v>C3. Gazomierze rotorowe</v>
      </c>
      <c r="D188" s="9" t="str">
        <f t="shared" si="6"/>
        <v>[tys. zł/szt.]</v>
      </c>
      <c r="E188" s="152" t="str">
        <v/>
      </c>
      <c r="F188" s="685"/>
      <c r="G188" s="685"/>
      <c r="H188" s="685"/>
      <c r="I188" s="685"/>
      <c r="J188" s="685"/>
      <c r="K188" s="685"/>
    </row>
    <row r="189" spans="1:11" ht="18.95" customHeight="1" thickBot="1">
      <c r="A189" s="685"/>
      <c r="B189" s="643" t="str">
        <v>57</v>
      </c>
      <c r="C189" s="16" t="str">
        <v xml:space="preserve">C4. Inne </v>
      </c>
      <c r="D189" s="17" t="str">
        <f t="shared" si="6"/>
        <v>[tys. zł/szt.]</v>
      </c>
      <c r="E189" s="154" t="str">
        <v/>
      </c>
      <c r="F189" s="685"/>
      <c r="G189" s="685"/>
      <c r="H189" s="685"/>
      <c r="I189" s="685"/>
      <c r="J189" s="685"/>
      <c r="K189" s="685"/>
    </row>
    <row r="190" spans="1:11" ht="18.95" customHeight="1">
      <c r="A190" s="685"/>
      <c r="B190" s="685"/>
      <c r="C190" s="685"/>
      <c r="D190" s="685"/>
      <c r="E190" s="685"/>
      <c r="F190" s="685"/>
      <c r="G190" s="685"/>
      <c r="H190" s="685"/>
      <c r="I190" s="685"/>
      <c r="J190" s="685"/>
      <c r="K190" s="685"/>
    </row>
    <row r="191" spans="1:11" ht="18.95" customHeight="1">
      <c r="A191" s="685"/>
      <c r="B191" s="685"/>
      <c r="C191" s="685"/>
      <c r="D191" s="685"/>
      <c r="E191" s="685"/>
      <c r="F191" s="685"/>
      <c r="G191" s="685"/>
      <c r="H191" s="685"/>
      <c r="I191" s="685"/>
      <c r="J191" s="685"/>
      <c r="K191" s="685"/>
    </row>
    <row r="192" spans="1:11" ht="18.95" customHeight="1">
      <c r="K192" s="685"/>
    </row>
  </sheetData>
  <protectedRanges>
    <protectedRange sqref="E9 E71 E133" name="Tabela 3A_1_2"/>
  </protectedRanges>
  <mergeCells count="13">
    <mergeCell ref="B2:G2"/>
    <mergeCell ref="C5:G5"/>
    <mergeCell ref="C3:G3"/>
    <mergeCell ref="C133:D133"/>
    <mergeCell ref="B69:B70"/>
    <mergeCell ref="C69:D70"/>
    <mergeCell ref="C71:D71"/>
    <mergeCell ref="B7:B8"/>
    <mergeCell ref="C7:D8"/>
    <mergeCell ref="C9:D9"/>
    <mergeCell ref="B131:B132"/>
    <mergeCell ref="C131:D132"/>
    <mergeCell ref="C4:G4"/>
  </mergeCells>
  <phoneticPr fontId="37" type="noConversion"/>
  <hyperlinks>
    <hyperlink ref="C1" location="Spis!B7" display="Spis!B7" xr:uid="{00000000-0004-0000-0300-000000000000}"/>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12"/>
  <dimension ref="A1:L247"/>
  <sheetViews>
    <sheetView zoomScale="90" zoomScaleNormal="90" workbookViewId="0">
      <pane ySplit="7" topLeftCell="A8" activePane="bottomLeft" state="frozen"/>
      <selection activeCell="B1" sqref="B1"/>
      <selection pane="bottomLeft" activeCell="C8" sqref="C8"/>
    </sheetView>
  </sheetViews>
  <sheetFormatPr defaultColWidth="8.88671875" defaultRowHeight="12.75"/>
  <cols>
    <col min="1" max="1" width="3.77734375" style="145" customWidth="1"/>
    <col min="2" max="2" width="4.77734375" style="145" customWidth="1"/>
    <col min="3" max="3" width="66.77734375" style="145" customWidth="1"/>
    <col min="4" max="4" width="12.77734375" style="145" customWidth="1"/>
    <col min="5" max="6" width="15.77734375" style="145" customWidth="1"/>
    <col min="7" max="11" width="10.77734375" style="145" customWidth="1"/>
    <col min="12" max="16384" width="8.88671875" style="145"/>
  </cols>
  <sheetData>
    <row r="1" spans="1:12" ht="18.95" customHeight="1">
      <c r="A1" s="685"/>
      <c r="B1" s="685"/>
      <c r="C1" s="927" t="str">
        <f>"&gt;&gt; powrót do spisu treści"</f>
        <v>&gt;&gt; powrót do spisu treści</v>
      </c>
      <c r="D1" s="685"/>
      <c r="E1" s="685"/>
      <c r="F1" s="685"/>
      <c r="G1" s="685"/>
      <c r="H1" s="685"/>
      <c r="I1" s="685"/>
      <c r="J1" s="685"/>
      <c r="K1" s="685"/>
    </row>
    <row r="2" spans="1:12" ht="39.950000000000003" customHeight="1">
      <c r="A2" s="685"/>
      <c r="B2" s="1047" t="s">
        <v>233</v>
      </c>
      <c r="C2" s="1048"/>
      <c r="D2" s="1048"/>
      <c r="E2" s="1048"/>
      <c r="F2" s="1048"/>
      <c r="G2" s="1048"/>
      <c r="H2" s="685"/>
      <c r="I2" s="685"/>
      <c r="J2" s="685"/>
      <c r="K2" s="685"/>
    </row>
    <row r="3" spans="1:12" ht="30" customHeight="1">
      <c r="A3" s="685"/>
      <c r="B3" s="681" t="s">
        <v>13</v>
      </c>
      <c r="C3" s="1049" t="s">
        <v>267</v>
      </c>
      <c r="D3" s="1050"/>
      <c r="E3" s="1050"/>
      <c r="F3" s="1050"/>
      <c r="G3" s="1050"/>
      <c r="H3" s="705"/>
      <c r="I3" s="705"/>
      <c r="J3" s="705"/>
      <c r="K3" s="705"/>
    </row>
    <row r="4" spans="1:12" ht="30" customHeight="1">
      <c r="A4" s="685"/>
      <c r="B4" s="681" t="s">
        <v>27</v>
      </c>
      <c r="C4" s="1051" t="s">
        <v>237</v>
      </c>
      <c r="D4" s="1052"/>
      <c r="E4" s="1052"/>
      <c r="F4" s="1052"/>
      <c r="G4" s="1052"/>
      <c r="H4" s="705"/>
      <c r="I4" s="705"/>
      <c r="J4" s="705"/>
      <c r="K4" s="705"/>
    </row>
    <row r="5" spans="1:12" ht="30" customHeight="1">
      <c r="A5" s="685"/>
      <c r="B5" s="681" t="s">
        <v>28</v>
      </c>
      <c r="C5" s="1051" t="s">
        <v>238</v>
      </c>
      <c r="D5" s="1052"/>
      <c r="E5" s="1052"/>
      <c r="F5" s="1052"/>
      <c r="G5" s="1052"/>
      <c r="H5" s="705"/>
      <c r="I5" s="705"/>
      <c r="J5" s="705"/>
      <c r="K5" s="705"/>
    </row>
    <row r="6" spans="1:12" ht="15" customHeight="1">
      <c r="A6" s="685"/>
      <c r="B6" s="681" t="s">
        <v>35</v>
      </c>
      <c r="C6" s="1051" t="s">
        <v>236</v>
      </c>
      <c r="D6" s="1052"/>
      <c r="E6" s="1052"/>
      <c r="F6" s="1052"/>
      <c r="G6" s="1052"/>
      <c r="H6" s="705"/>
      <c r="I6" s="705"/>
      <c r="J6" s="705"/>
      <c r="K6" s="705"/>
    </row>
    <row r="7" spans="1:12" ht="30" customHeight="1">
      <c r="A7" s="685"/>
      <c r="B7" s="681" t="s">
        <v>38</v>
      </c>
      <c r="C7" s="1051" t="s">
        <v>235</v>
      </c>
      <c r="D7" s="1052"/>
      <c r="E7" s="1052"/>
      <c r="F7" s="1052"/>
      <c r="G7" s="1052"/>
      <c r="H7" s="705"/>
      <c r="I7" s="705"/>
      <c r="J7" s="705"/>
      <c r="K7" s="705"/>
      <c r="L7" s="805"/>
    </row>
    <row r="8" spans="1:12" ht="30" customHeight="1" thickBot="1">
      <c r="A8" s="685"/>
      <c r="B8" s="695" t="s">
        <v>230</v>
      </c>
      <c r="C8" s="685"/>
      <c r="D8" s="685"/>
      <c r="E8" s="685"/>
      <c r="F8" s="685"/>
      <c r="G8" s="685"/>
      <c r="H8" s="685"/>
      <c r="I8" s="685"/>
      <c r="J8" s="685"/>
      <c r="K8" s="685"/>
    </row>
    <row r="9" spans="1:12" ht="18.95" customHeight="1">
      <c r="A9" s="685"/>
      <c r="B9" s="1035" t="str">
        <f>'Tab.G1.1-4'!$B$8</f>
        <v>LP</v>
      </c>
      <c r="C9" s="1037" t="str">
        <f>'Tab.G1.1-4'!$C$8</f>
        <v>Wyszczególnienie</v>
      </c>
      <c r="D9" s="1038"/>
      <c r="E9" s="627" t="str">
        <f>'Tab.G1.1-4'!$E$8</f>
        <v>Wykonanie</v>
      </c>
      <c r="F9" s="274"/>
      <c r="G9" s="274"/>
      <c r="H9" s="685"/>
      <c r="I9" s="685"/>
      <c r="J9" s="685"/>
      <c r="K9" s="685"/>
    </row>
    <row r="10" spans="1:12" ht="18.95" customHeight="1">
      <c r="A10" s="685"/>
      <c r="B10" s="1036"/>
      <c r="C10" s="1039"/>
      <c r="D10" s="1040"/>
      <c r="E10" s="628">
        <f>Rok_ZPR</f>
        <v>2023</v>
      </c>
      <c r="F10" s="274"/>
      <c r="G10" s="274"/>
      <c r="H10" s="685"/>
      <c r="I10" s="685"/>
      <c r="J10" s="685"/>
      <c r="K10" s="685"/>
    </row>
    <row r="11" spans="1:12" ht="14.1" customHeight="1" thickBot="1">
      <c r="A11" s="685"/>
      <c r="B11" s="644" t="str">
        <f t="array" ref="B11:B67">Tab.G17!$B$10:$B$66</f>
        <v>01</v>
      </c>
      <c r="C11" s="1044" t="str">
        <f>Tab.G17!$B$11</f>
        <v>02</v>
      </c>
      <c r="D11" s="1034"/>
      <c r="E11" s="645" t="str">
        <f>Tab.G17!$B$12</f>
        <v>03</v>
      </c>
      <c r="F11" s="274"/>
      <c r="G11" s="274"/>
      <c r="H11" s="685"/>
      <c r="I11" s="685"/>
      <c r="J11" s="685"/>
      <c r="K11" s="685"/>
    </row>
    <row r="12" spans="1:12" ht="18.95" customHeight="1" thickBot="1">
      <c r="A12" s="685"/>
      <c r="B12" s="641" t="str">
        <v>02</v>
      </c>
      <c r="C12" s="706" t="s">
        <v>112</v>
      </c>
      <c r="D12" s="707" t="str">
        <f>'Tab.G1.1-4'!$D$11</f>
        <v>[tys. zł]</v>
      </c>
      <c r="E12" s="708">
        <f>SUM(E13,E24,E35)</f>
        <v>0</v>
      </c>
      <c r="F12" s="274"/>
      <c r="G12" s="274"/>
      <c r="H12" s="685"/>
      <c r="I12" s="685"/>
      <c r="J12" s="685"/>
      <c r="K12" s="685"/>
    </row>
    <row r="13" spans="1:12" ht="18.95" customHeight="1" thickBot="1">
      <c r="A13" s="685"/>
      <c r="B13" s="633" t="str">
        <v>03</v>
      </c>
      <c r="C13" s="3" t="s">
        <v>120</v>
      </c>
      <c r="D13" s="4" t="str">
        <f>$D$12</f>
        <v>[tys. zł]</v>
      </c>
      <c r="E13" s="147">
        <f>SUM(E14,E19)</f>
        <v>0</v>
      </c>
      <c r="F13" s="274"/>
      <c r="G13" s="274"/>
      <c r="H13" s="685"/>
      <c r="I13" s="685"/>
      <c r="J13" s="685"/>
      <c r="K13" s="685"/>
    </row>
    <row r="14" spans="1:12" ht="18.95" customHeight="1">
      <c r="A14" s="685"/>
      <c r="B14" s="634" t="str">
        <v>04</v>
      </c>
      <c r="C14" s="258" t="s">
        <v>72</v>
      </c>
      <c r="D14" s="5" t="str">
        <f>$D$12</f>
        <v>[tys. zł]</v>
      </c>
      <c r="E14" s="148">
        <f>SUM(E15:E18)</f>
        <v>0</v>
      </c>
      <c r="F14" s="274"/>
      <c r="G14" s="274"/>
      <c r="H14" s="685"/>
      <c r="I14" s="685"/>
      <c r="J14" s="685"/>
      <c r="K14" s="685"/>
    </row>
    <row r="15" spans="1:12" ht="18.95" customHeight="1">
      <c r="A15" s="685"/>
      <c r="B15" s="635" t="str">
        <v>05</v>
      </c>
      <c r="C15" s="260" t="s">
        <v>73</v>
      </c>
      <c r="D15" s="6" t="str">
        <f>'Tab.G1.1-4'!$D$11</f>
        <v>[tys. zł]</v>
      </c>
      <c r="E15" s="149"/>
      <c r="F15" s="274"/>
      <c r="G15" s="274"/>
      <c r="H15" s="685"/>
      <c r="I15" s="685"/>
      <c r="J15" s="685"/>
      <c r="K15" s="685"/>
    </row>
    <row r="16" spans="1:12" ht="18.95" customHeight="1">
      <c r="A16" s="685"/>
      <c r="B16" s="636" t="str">
        <v>06</v>
      </c>
      <c r="C16" s="261" t="s">
        <v>74</v>
      </c>
      <c r="D16" s="7" t="str">
        <f>'Tab.G1.1-4'!$D$11</f>
        <v>[tys. zł]</v>
      </c>
      <c r="E16" s="150"/>
      <c r="F16" s="274"/>
      <c r="G16" s="274"/>
      <c r="H16" s="685"/>
      <c r="I16" s="685"/>
      <c r="J16" s="685"/>
      <c r="K16" s="685"/>
    </row>
    <row r="17" spans="1:11" ht="18.95" customHeight="1">
      <c r="A17" s="685"/>
      <c r="B17" s="636" t="str">
        <v>07</v>
      </c>
      <c r="C17" s="261" t="s">
        <v>75</v>
      </c>
      <c r="D17" s="7" t="str">
        <f>'Tab.G1.1-4'!$D$11</f>
        <v>[tys. zł]</v>
      </c>
      <c r="E17" s="150"/>
      <c r="F17" s="274"/>
      <c r="G17" s="274"/>
      <c r="H17" s="685"/>
      <c r="I17" s="685"/>
      <c r="J17" s="685"/>
      <c r="K17" s="685"/>
    </row>
    <row r="18" spans="1:11" ht="18.95" customHeight="1">
      <c r="A18" s="685"/>
      <c r="B18" s="637" t="str">
        <v>08</v>
      </c>
      <c r="C18" s="264" t="s">
        <v>76</v>
      </c>
      <c r="D18" s="8" t="str">
        <f>'Tab.G1.1-4'!$D$11</f>
        <v>[tys. zł]</v>
      </c>
      <c r="E18" s="151"/>
      <c r="F18" s="274"/>
      <c r="G18" s="274"/>
      <c r="H18" s="685"/>
      <c r="I18" s="685"/>
      <c r="J18" s="685"/>
      <c r="K18" s="685"/>
    </row>
    <row r="19" spans="1:11" ht="18.95" customHeight="1">
      <c r="A19" s="685"/>
      <c r="B19" s="638" t="str">
        <v>09</v>
      </c>
      <c r="C19" s="259" t="s">
        <v>77</v>
      </c>
      <c r="D19" s="9" t="str">
        <f>'Tab.G1.1-4'!$D$11</f>
        <v>[tys. zł]</v>
      </c>
      <c r="E19" s="152">
        <f>SUM(E20:E23)</f>
        <v>0</v>
      </c>
      <c r="F19" s="274"/>
      <c r="G19" s="274"/>
      <c r="H19" s="685"/>
      <c r="I19" s="685"/>
      <c r="J19" s="685"/>
      <c r="K19" s="685"/>
    </row>
    <row r="20" spans="1:11" ht="18.95" customHeight="1">
      <c r="A20" s="685"/>
      <c r="B20" s="635" t="str">
        <v>10</v>
      </c>
      <c r="C20" s="260" t="s">
        <v>73</v>
      </c>
      <c r="D20" s="6" t="str">
        <f>'Tab.G1.1-4'!$D$11</f>
        <v>[tys. zł]</v>
      </c>
      <c r="E20" s="149"/>
      <c r="F20" s="274"/>
      <c r="G20" s="274"/>
      <c r="H20" s="685"/>
      <c r="I20" s="685"/>
      <c r="J20" s="685"/>
      <c r="K20" s="685"/>
    </row>
    <row r="21" spans="1:11" ht="18.95" customHeight="1">
      <c r="A21" s="685"/>
      <c r="B21" s="636" t="str">
        <v>11</v>
      </c>
      <c r="C21" s="261" t="s">
        <v>74</v>
      </c>
      <c r="D21" s="7" t="str">
        <f>'Tab.G1.1-4'!$D$11</f>
        <v>[tys. zł]</v>
      </c>
      <c r="E21" s="150"/>
      <c r="F21" s="274"/>
      <c r="G21" s="274"/>
      <c r="H21" s="685"/>
      <c r="I21" s="685"/>
      <c r="J21" s="685"/>
      <c r="K21" s="685"/>
    </row>
    <row r="22" spans="1:11" ht="18.95" customHeight="1">
      <c r="A22" s="685"/>
      <c r="B22" s="636" t="str">
        <v>12</v>
      </c>
      <c r="C22" s="261" t="s">
        <v>75</v>
      </c>
      <c r="D22" s="7" t="str">
        <f>'Tab.G1.1-4'!$D$11</f>
        <v>[tys. zł]</v>
      </c>
      <c r="E22" s="150"/>
      <c r="F22" s="274"/>
      <c r="G22" s="274"/>
      <c r="H22" s="685"/>
      <c r="I22" s="685"/>
      <c r="J22" s="685"/>
      <c r="K22" s="685"/>
    </row>
    <row r="23" spans="1:11" ht="18.95" customHeight="1" thickBot="1">
      <c r="A23" s="685"/>
      <c r="B23" s="639" t="str">
        <v>13</v>
      </c>
      <c r="C23" s="265" t="s">
        <v>76</v>
      </c>
      <c r="D23" s="10" t="str">
        <f>'Tab.G1.1-4'!$D$11</f>
        <v>[tys. zł]</v>
      </c>
      <c r="E23" s="153"/>
      <c r="F23" s="274"/>
      <c r="G23" s="274"/>
      <c r="H23" s="685"/>
      <c r="I23" s="685"/>
      <c r="J23" s="685"/>
      <c r="K23" s="685"/>
    </row>
    <row r="24" spans="1:11" ht="18.95" customHeight="1" thickBot="1">
      <c r="A24" s="685"/>
      <c r="B24" s="633" t="str">
        <v>14</v>
      </c>
      <c r="C24" s="11" t="s">
        <v>121</v>
      </c>
      <c r="D24" s="4" t="str">
        <f>'Tab.G1.1-4'!$D$11</f>
        <v>[tys. zł]</v>
      </c>
      <c r="E24" s="147">
        <f>SUM(E25,E30)</f>
        <v>0</v>
      </c>
      <c r="F24" s="274"/>
      <c r="G24" s="274"/>
      <c r="H24" s="685"/>
      <c r="I24" s="685"/>
      <c r="J24" s="685"/>
      <c r="K24" s="685"/>
    </row>
    <row r="25" spans="1:11" ht="18.95" customHeight="1">
      <c r="A25" s="685"/>
      <c r="B25" s="634" t="str">
        <v>15</v>
      </c>
      <c r="C25" s="258" t="s">
        <v>72</v>
      </c>
      <c r="D25" s="5" t="str">
        <f>'Tab.G1.1-4'!$D$11</f>
        <v>[tys. zł]</v>
      </c>
      <c r="E25" s="148">
        <f>SUM(E26:E29)</f>
        <v>0</v>
      </c>
      <c r="F25" s="274"/>
      <c r="G25" s="274"/>
      <c r="H25" s="685"/>
      <c r="I25" s="685"/>
      <c r="J25" s="685"/>
      <c r="K25" s="685"/>
    </row>
    <row r="26" spans="1:11" ht="18.95" customHeight="1">
      <c r="A26" s="685"/>
      <c r="B26" s="635" t="str">
        <v>16</v>
      </c>
      <c r="C26" s="260" t="s">
        <v>78</v>
      </c>
      <c r="D26" s="6" t="str">
        <f>'Tab.G1.1-4'!$D$11</f>
        <v>[tys. zł]</v>
      </c>
      <c r="E26" s="149"/>
      <c r="F26" s="274"/>
      <c r="G26" s="274"/>
      <c r="H26" s="685"/>
      <c r="I26" s="685"/>
      <c r="J26" s="685"/>
      <c r="K26" s="685"/>
    </row>
    <row r="27" spans="1:11" ht="18.95" customHeight="1">
      <c r="A27" s="685"/>
      <c r="B27" s="636" t="str">
        <v>17</v>
      </c>
      <c r="C27" s="261" t="s">
        <v>75</v>
      </c>
      <c r="D27" s="7" t="str">
        <f>'Tab.G1.1-4'!$D$11</f>
        <v>[tys. zł]</v>
      </c>
      <c r="E27" s="150"/>
      <c r="F27" s="274"/>
      <c r="G27" s="274"/>
      <c r="H27" s="685"/>
      <c r="I27" s="685"/>
      <c r="J27" s="685"/>
      <c r="K27" s="685"/>
    </row>
    <row r="28" spans="1:11" ht="18.95" customHeight="1">
      <c r="A28" s="685"/>
      <c r="B28" s="636" t="str">
        <v>18</v>
      </c>
      <c r="C28" s="262" t="s">
        <v>79</v>
      </c>
      <c r="D28" s="7" t="str">
        <f>'Tab.G1.1-4'!$D$11</f>
        <v>[tys. zł]</v>
      </c>
      <c r="E28" s="150"/>
      <c r="F28" s="274"/>
      <c r="G28" s="274"/>
      <c r="H28" s="685"/>
      <c r="I28" s="685"/>
      <c r="J28" s="685"/>
      <c r="K28" s="685"/>
    </row>
    <row r="29" spans="1:11" ht="18.95" customHeight="1">
      <c r="A29" s="685"/>
      <c r="B29" s="637" t="str">
        <v>19</v>
      </c>
      <c r="C29" s="264" t="s">
        <v>80</v>
      </c>
      <c r="D29" s="8" t="str">
        <f>'Tab.G1.1-4'!$D$11</f>
        <v>[tys. zł]</v>
      </c>
      <c r="E29" s="151"/>
      <c r="F29" s="274"/>
      <c r="G29" s="274"/>
      <c r="H29" s="685"/>
      <c r="I29" s="685"/>
      <c r="J29" s="685"/>
      <c r="K29" s="685"/>
    </row>
    <row r="30" spans="1:11" ht="18.95" customHeight="1">
      <c r="A30" s="685"/>
      <c r="B30" s="638" t="str">
        <v>20</v>
      </c>
      <c r="C30" s="259" t="s">
        <v>77</v>
      </c>
      <c r="D30" s="9" t="str">
        <f>'Tab.G1.1-4'!$D$11</f>
        <v>[tys. zł]</v>
      </c>
      <c r="E30" s="152">
        <f>SUM(E31:E34)</f>
        <v>0</v>
      </c>
      <c r="F30" s="274"/>
      <c r="G30" s="274"/>
      <c r="H30" s="685"/>
      <c r="I30" s="685"/>
      <c r="J30" s="685"/>
      <c r="K30" s="685"/>
    </row>
    <row r="31" spans="1:11" ht="18.95" customHeight="1">
      <c r="A31" s="685"/>
      <c r="B31" s="635" t="str">
        <v>21</v>
      </c>
      <c r="C31" s="260" t="s">
        <v>78</v>
      </c>
      <c r="D31" s="6" t="str">
        <f>'Tab.G1.1-4'!$D$11</f>
        <v>[tys. zł]</v>
      </c>
      <c r="E31" s="149"/>
      <c r="F31" s="274"/>
      <c r="G31" s="274"/>
      <c r="H31" s="685"/>
      <c r="I31" s="685"/>
      <c r="J31" s="685"/>
      <c r="K31" s="685"/>
    </row>
    <row r="32" spans="1:11" ht="18.95" customHeight="1">
      <c r="A32" s="685"/>
      <c r="B32" s="636" t="str">
        <v>22</v>
      </c>
      <c r="C32" s="261" t="s">
        <v>75</v>
      </c>
      <c r="D32" s="7" t="str">
        <f>'Tab.G1.1-4'!$D$11</f>
        <v>[tys. zł]</v>
      </c>
      <c r="E32" s="150"/>
      <c r="F32" s="274"/>
      <c r="G32" s="274"/>
      <c r="H32" s="685"/>
      <c r="I32" s="685"/>
      <c r="J32" s="685"/>
      <c r="K32" s="685"/>
    </row>
    <row r="33" spans="1:11" ht="18.95" customHeight="1">
      <c r="A33" s="685"/>
      <c r="B33" s="636" t="str">
        <v>23</v>
      </c>
      <c r="C33" s="262" t="s">
        <v>79</v>
      </c>
      <c r="D33" s="7" t="str">
        <f>'Tab.G1.1-4'!$D$11</f>
        <v>[tys. zł]</v>
      </c>
      <c r="E33" s="150"/>
      <c r="F33" s="274"/>
      <c r="G33" s="274"/>
      <c r="H33" s="685"/>
      <c r="I33" s="685"/>
      <c r="J33" s="685"/>
      <c r="K33" s="685"/>
    </row>
    <row r="34" spans="1:11" ht="18.95" customHeight="1" thickBot="1">
      <c r="A34" s="685"/>
      <c r="B34" s="639" t="str">
        <v>24</v>
      </c>
      <c r="C34" s="265" t="s">
        <v>80</v>
      </c>
      <c r="D34" s="10" t="str">
        <f>'Tab.G1.1-4'!$D$11</f>
        <v>[tys. zł]</v>
      </c>
      <c r="E34" s="153"/>
      <c r="F34" s="274"/>
      <c r="G34" s="274"/>
      <c r="H34" s="685"/>
      <c r="I34" s="685"/>
      <c r="J34" s="685"/>
      <c r="K34" s="685"/>
    </row>
    <row r="35" spans="1:11" ht="18.95" customHeight="1" thickBot="1">
      <c r="A35" s="685"/>
      <c r="B35" s="633" t="str">
        <v>25</v>
      </c>
      <c r="C35" s="11" t="s">
        <v>114</v>
      </c>
      <c r="D35" s="4" t="str">
        <f>'Tab.G1.1-4'!$D$11</f>
        <v>[tys. zł]</v>
      </c>
      <c r="E35" s="147">
        <f>SUM(E36,E41)</f>
        <v>0</v>
      </c>
      <c r="F35" s="274"/>
      <c r="G35" s="274"/>
      <c r="H35" s="685"/>
      <c r="I35" s="685"/>
      <c r="J35" s="685"/>
      <c r="K35" s="685"/>
    </row>
    <row r="36" spans="1:11" ht="18.95" customHeight="1">
      <c r="A36" s="685"/>
      <c r="B36" s="634" t="str">
        <v>26</v>
      </c>
      <c r="C36" s="258" t="s">
        <v>72</v>
      </c>
      <c r="D36" s="5" t="str">
        <f>'Tab.G1.1-4'!$D$11</f>
        <v>[tys. zł]</v>
      </c>
      <c r="E36" s="148">
        <f>SUM(E37:E40)</f>
        <v>0</v>
      </c>
      <c r="F36" s="274"/>
      <c r="G36" s="274"/>
      <c r="H36" s="685"/>
      <c r="I36" s="685"/>
      <c r="J36" s="685"/>
      <c r="K36" s="685"/>
    </row>
    <row r="37" spans="1:11" ht="18.95" customHeight="1">
      <c r="A37" s="685"/>
      <c r="B37" s="635" t="str">
        <v>27</v>
      </c>
      <c r="C37" s="260" t="s">
        <v>278</v>
      </c>
      <c r="D37" s="6" t="str">
        <f>'Tab.G1.1-4'!$D$11</f>
        <v>[tys. zł]</v>
      </c>
      <c r="E37" s="149"/>
      <c r="F37" s="274"/>
      <c r="G37" s="274"/>
      <c r="H37" s="685"/>
      <c r="I37" s="685"/>
      <c r="J37" s="685"/>
      <c r="K37" s="685"/>
    </row>
    <row r="38" spans="1:11" ht="18.95" customHeight="1">
      <c r="A38" s="685"/>
      <c r="B38" s="636" t="str">
        <v>28</v>
      </c>
      <c r="C38" s="262" t="s">
        <v>79</v>
      </c>
      <c r="D38" s="7" t="str">
        <f>'Tab.G1.1-4'!$D$11</f>
        <v>[tys. zł]</v>
      </c>
      <c r="E38" s="150"/>
      <c r="F38" s="274"/>
      <c r="G38" s="274"/>
      <c r="H38" s="685"/>
      <c r="I38" s="685"/>
      <c r="J38" s="685"/>
      <c r="K38" s="685"/>
    </row>
    <row r="39" spans="1:11" ht="18.95" customHeight="1">
      <c r="A39" s="685"/>
      <c r="B39" s="636" t="str">
        <v>29</v>
      </c>
      <c r="C39" s="262" t="s">
        <v>83</v>
      </c>
      <c r="D39" s="7" t="str">
        <f>'Tab.G1.1-4'!$D$11</f>
        <v>[tys. zł]</v>
      </c>
      <c r="E39" s="150"/>
      <c r="F39" s="274"/>
      <c r="G39" s="274"/>
      <c r="H39" s="685"/>
      <c r="I39" s="685"/>
      <c r="J39" s="685"/>
      <c r="K39" s="685"/>
    </row>
    <row r="40" spans="1:11" ht="18.95" customHeight="1">
      <c r="A40" s="685"/>
      <c r="B40" s="637" t="str">
        <v>30</v>
      </c>
      <c r="C40" s="269" t="s">
        <v>84</v>
      </c>
      <c r="D40" s="8" t="str">
        <f>'Tab.G1.1-4'!$D$11</f>
        <v>[tys. zł]</v>
      </c>
      <c r="E40" s="151"/>
      <c r="F40" s="274"/>
      <c r="G40" s="274"/>
      <c r="H40" s="685"/>
      <c r="I40" s="685"/>
      <c r="J40" s="685"/>
      <c r="K40" s="685"/>
    </row>
    <row r="41" spans="1:11" ht="18.95" customHeight="1">
      <c r="A41" s="685"/>
      <c r="B41" s="638" t="str">
        <v>31</v>
      </c>
      <c r="C41" s="259" t="s">
        <v>77</v>
      </c>
      <c r="D41" s="9" t="str">
        <f>'Tab.G1.1-4'!$D$11</f>
        <v>[tys. zł]</v>
      </c>
      <c r="E41" s="152">
        <f>SUM(E42:E45)</f>
        <v>0</v>
      </c>
      <c r="F41" s="274"/>
      <c r="G41" s="274"/>
      <c r="H41" s="685"/>
      <c r="I41" s="685"/>
      <c r="J41" s="685"/>
      <c r="K41" s="685"/>
    </row>
    <row r="42" spans="1:11" ht="18.95" customHeight="1">
      <c r="A42" s="685"/>
      <c r="B42" s="635" t="str">
        <v>32</v>
      </c>
      <c r="C42" s="260" t="s">
        <v>278</v>
      </c>
      <c r="D42" s="6" t="str">
        <f>'Tab.G1.1-4'!$D$11</f>
        <v>[tys. zł]</v>
      </c>
      <c r="E42" s="149"/>
      <c r="F42" s="274"/>
      <c r="G42" s="274"/>
      <c r="H42" s="685"/>
      <c r="I42" s="685"/>
      <c r="J42" s="685"/>
      <c r="K42" s="685"/>
    </row>
    <row r="43" spans="1:11" ht="18.95" customHeight="1">
      <c r="A43" s="685"/>
      <c r="B43" s="636" t="str">
        <v>33</v>
      </c>
      <c r="C43" s="262" t="s">
        <v>79</v>
      </c>
      <c r="D43" s="7" t="str">
        <f>'Tab.G1.1-4'!$D$11</f>
        <v>[tys. zł]</v>
      </c>
      <c r="E43" s="150"/>
      <c r="F43" s="274"/>
      <c r="G43" s="274"/>
      <c r="H43" s="685"/>
      <c r="I43" s="685"/>
      <c r="J43" s="685"/>
      <c r="K43" s="685"/>
    </row>
    <row r="44" spans="1:11" ht="18.95" customHeight="1">
      <c r="A44" s="685"/>
      <c r="B44" s="636" t="str">
        <v>34</v>
      </c>
      <c r="C44" s="262" t="s">
        <v>83</v>
      </c>
      <c r="D44" s="7" t="str">
        <f>'Tab.G1.1-4'!$D$11</f>
        <v>[tys. zł]</v>
      </c>
      <c r="E44" s="150"/>
      <c r="F44" s="274"/>
      <c r="G44" s="274"/>
      <c r="H44" s="685"/>
      <c r="I44" s="685"/>
      <c r="J44" s="685"/>
      <c r="K44" s="685"/>
    </row>
    <row r="45" spans="1:11" ht="18.95" customHeight="1" thickBot="1">
      <c r="A45" s="685"/>
      <c r="B45" s="639" t="str">
        <v>35</v>
      </c>
      <c r="C45" s="269" t="s">
        <v>84</v>
      </c>
      <c r="D45" s="10" t="str">
        <f>'Tab.G1.1-4'!$D$11</f>
        <v>[tys. zł]</v>
      </c>
      <c r="E45" s="153"/>
      <c r="F45" s="274"/>
      <c r="G45" s="274"/>
      <c r="H45" s="685"/>
      <c r="I45" s="685"/>
      <c r="J45" s="685"/>
      <c r="K45" s="685"/>
    </row>
    <row r="46" spans="1:11" ht="18.95" customHeight="1" thickBot="1">
      <c r="A46" s="685"/>
      <c r="B46" s="641" t="str">
        <v>36</v>
      </c>
      <c r="C46" s="1" t="s">
        <v>113</v>
      </c>
      <c r="D46" s="2" t="str">
        <f>'Tab.G1.1-4'!$D$11</f>
        <v>[tys. zł]</v>
      </c>
      <c r="E46" s="146">
        <f>SUM(E47,E51,E55,E59:E60)</f>
        <v>0</v>
      </c>
      <c r="F46" s="274"/>
      <c r="G46" s="274"/>
      <c r="H46" s="685"/>
      <c r="I46" s="685"/>
      <c r="J46" s="685"/>
      <c r="K46" s="685"/>
    </row>
    <row r="47" spans="1:11" ht="18.95" customHeight="1">
      <c r="A47" s="685"/>
      <c r="B47" s="634" t="str">
        <v>37</v>
      </c>
      <c r="C47" s="12" t="s">
        <v>115</v>
      </c>
      <c r="D47" s="5" t="str">
        <f>'Tab.G1.1-4'!$D$11</f>
        <v>[tys. zł]</v>
      </c>
      <c r="E47" s="148">
        <f>SUM(E48:E50)</f>
        <v>0</v>
      </c>
      <c r="F47" s="274"/>
      <c r="G47" s="274"/>
      <c r="H47" s="685"/>
      <c r="I47" s="685"/>
      <c r="J47" s="685"/>
      <c r="K47" s="685"/>
    </row>
    <row r="48" spans="1:11" ht="18.95" customHeight="1">
      <c r="A48" s="685"/>
      <c r="B48" s="635" t="str">
        <v>38</v>
      </c>
      <c r="C48" s="260" t="s">
        <v>85</v>
      </c>
      <c r="D48" s="6" t="str">
        <f>'Tab.G1.1-4'!$D$11</f>
        <v>[tys. zł]</v>
      </c>
      <c r="E48" s="149"/>
      <c r="F48" s="274"/>
      <c r="G48" s="274"/>
      <c r="H48" s="685"/>
      <c r="I48" s="685"/>
      <c r="J48" s="685"/>
      <c r="K48" s="685"/>
    </row>
    <row r="49" spans="1:11" ht="18.95" customHeight="1">
      <c r="A49" s="685"/>
      <c r="B49" s="636" t="str">
        <v>39</v>
      </c>
      <c r="C49" s="261" t="s">
        <v>86</v>
      </c>
      <c r="D49" s="7" t="str">
        <f>'Tab.G1.1-4'!$D$11</f>
        <v>[tys. zł]</v>
      </c>
      <c r="E49" s="150"/>
      <c r="F49" s="274"/>
      <c r="G49" s="274"/>
      <c r="H49" s="685"/>
      <c r="I49" s="685"/>
      <c r="J49" s="685"/>
      <c r="K49" s="685"/>
    </row>
    <row r="50" spans="1:11" ht="18.95" customHeight="1">
      <c r="A50" s="685"/>
      <c r="B50" s="637" t="str">
        <v>40</v>
      </c>
      <c r="C50" s="269" t="s">
        <v>87</v>
      </c>
      <c r="D50" s="8" t="str">
        <f>'Tab.G1.1-4'!$D$11</f>
        <v>[tys. zł]</v>
      </c>
      <c r="E50" s="151"/>
      <c r="F50" s="274"/>
      <c r="G50" s="274"/>
      <c r="H50" s="685"/>
      <c r="I50" s="685"/>
      <c r="J50" s="685"/>
      <c r="K50" s="685"/>
    </row>
    <row r="51" spans="1:11" ht="18.95" customHeight="1">
      <c r="A51" s="685"/>
      <c r="B51" s="638" t="str">
        <v>41</v>
      </c>
      <c r="C51" s="13" t="s">
        <v>116</v>
      </c>
      <c r="D51" s="9" t="str">
        <f>'Tab.G1.1-4'!$D$11</f>
        <v>[tys. zł]</v>
      </c>
      <c r="E51" s="152">
        <f>SUM(E52:E54)</f>
        <v>0</v>
      </c>
      <c r="F51" s="274"/>
      <c r="G51" s="274"/>
      <c r="H51" s="685"/>
      <c r="I51" s="685"/>
      <c r="J51" s="685"/>
      <c r="K51" s="685"/>
    </row>
    <row r="52" spans="1:11" ht="18.95" customHeight="1">
      <c r="A52" s="685"/>
      <c r="B52" s="635" t="str">
        <v>42</v>
      </c>
      <c r="C52" s="260" t="s">
        <v>88</v>
      </c>
      <c r="D52" s="6" t="str">
        <f>'Tab.G1.1-4'!$D$11</f>
        <v>[tys. zł]</v>
      </c>
      <c r="E52" s="149"/>
      <c r="F52" s="274"/>
      <c r="G52" s="274"/>
      <c r="H52" s="685"/>
      <c r="I52" s="685"/>
      <c r="J52" s="685"/>
      <c r="K52" s="685"/>
    </row>
    <row r="53" spans="1:11" ht="18.95" customHeight="1">
      <c r="A53" s="685"/>
      <c r="B53" s="636" t="str">
        <v>43</v>
      </c>
      <c r="C53" s="262" t="s">
        <v>89</v>
      </c>
      <c r="D53" s="7" t="str">
        <f>'Tab.G1.1-4'!$D$11</f>
        <v>[tys. zł]</v>
      </c>
      <c r="E53" s="150"/>
      <c r="F53" s="274"/>
      <c r="G53" s="274"/>
      <c r="H53" s="685"/>
      <c r="I53" s="685"/>
      <c r="J53" s="685"/>
      <c r="K53" s="685"/>
    </row>
    <row r="54" spans="1:11" ht="18.95" customHeight="1">
      <c r="A54" s="685"/>
      <c r="B54" s="637" t="str">
        <v>44</v>
      </c>
      <c r="C54" s="269" t="s">
        <v>90</v>
      </c>
      <c r="D54" s="8" t="str">
        <f>'Tab.G1.1-4'!$D$11</f>
        <v>[tys. zł]</v>
      </c>
      <c r="E54" s="151"/>
      <c r="F54" s="274"/>
      <c r="G54" s="274"/>
      <c r="H54" s="685"/>
      <c r="I54" s="685"/>
      <c r="J54" s="685"/>
      <c r="K54" s="685"/>
    </row>
    <row r="55" spans="1:11" ht="18.95" customHeight="1">
      <c r="A55" s="685"/>
      <c r="B55" s="638" t="str">
        <v>45</v>
      </c>
      <c r="C55" s="13" t="s">
        <v>117</v>
      </c>
      <c r="D55" s="9" t="str">
        <f>'Tab.G1.1-4'!$D$11</f>
        <v>[tys. zł]</v>
      </c>
      <c r="E55" s="152">
        <f>SUM(E56:E58)</f>
        <v>0</v>
      </c>
      <c r="F55" s="274"/>
      <c r="G55" s="274"/>
      <c r="H55" s="685"/>
      <c r="I55" s="685"/>
      <c r="J55" s="685"/>
      <c r="K55" s="685"/>
    </row>
    <row r="56" spans="1:11" ht="18.95" customHeight="1">
      <c r="A56" s="685"/>
      <c r="B56" s="635" t="str">
        <v>46</v>
      </c>
      <c r="C56" s="260" t="s">
        <v>88</v>
      </c>
      <c r="D56" s="6" t="str">
        <f>'Tab.G1.1-4'!$D$11</f>
        <v>[tys. zł]</v>
      </c>
      <c r="E56" s="149"/>
      <c r="F56" s="274"/>
      <c r="G56" s="274"/>
      <c r="H56" s="685"/>
      <c r="I56" s="685"/>
      <c r="J56" s="685"/>
      <c r="K56" s="685"/>
    </row>
    <row r="57" spans="1:11" ht="18.95" customHeight="1">
      <c r="A57" s="685"/>
      <c r="B57" s="636" t="str">
        <v>47</v>
      </c>
      <c r="C57" s="262" t="s">
        <v>89</v>
      </c>
      <c r="D57" s="7" t="str">
        <f>'Tab.G1.1-4'!$D$11</f>
        <v>[tys. zł]</v>
      </c>
      <c r="E57" s="150"/>
      <c r="F57" s="274"/>
      <c r="G57" s="274"/>
      <c r="H57" s="685"/>
      <c r="I57" s="685"/>
      <c r="J57" s="685"/>
      <c r="K57" s="685"/>
    </row>
    <row r="58" spans="1:11" ht="18.95" customHeight="1">
      <c r="A58" s="685"/>
      <c r="B58" s="637" t="str">
        <v>48</v>
      </c>
      <c r="C58" s="269" t="s">
        <v>90</v>
      </c>
      <c r="D58" s="8" t="str">
        <f>'Tab.G1.1-4'!$D$11</f>
        <v>[tys. zł]</v>
      </c>
      <c r="E58" s="151"/>
      <c r="F58" s="274"/>
      <c r="G58" s="274"/>
      <c r="H58" s="685"/>
      <c r="I58" s="685"/>
      <c r="J58" s="685"/>
      <c r="K58" s="685"/>
    </row>
    <row r="59" spans="1:11" ht="18.95" customHeight="1">
      <c r="A59" s="685"/>
      <c r="B59" s="642" t="str">
        <v>49</v>
      </c>
      <c r="C59" s="14" t="s">
        <v>118</v>
      </c>
      <c r="D59" s="15" t="str">
        <f>'Tab.G1.1-4'!$D$11</f>
        <v>[tys. zł]</v>
      </c>
      <c r="E59" s="152"/>
      <c r="F59" s="274"/>
      <c r="G59" s="274"/>
      <c r="H59" s="685"/>
      <c r="I59" s="685"/>
      <c r="J59" s="685"/>
      <c r="K59" s="685"/>
    </row>
    <row r="60" spans="1:11" ht="18.95" customHeight="1" thickBot="1">
      <c r="A60" s="685"/>
      <c r="B60" s="643" t="str">
        <v>50</v>
      </c>
      <c r="C60" s="16" t="s">
        <v>119</v>
      </c>
      <c r="D60" s="17" t="str">
        <f>'Tab.G1.1-4'!$D$11</f>
        <v>[tys. zł]</v>
      </c>
      <c r="E60" s="154"/>
      <c r="F60" s="274"/>
      <c r="G60" s="274"/>
      <c r="H60" s="685"/>
      <c r="I60" s="685"/>
      <c r="J60" s="685"/>
      <c r="K60" s="685"/>
    </row>
    <row r="61" spans="1:11" ht="18.95" customHeight="1" thickBot="1">
      <c r="A61" s="685"/>
      <c r="B61" s="641" t="str">
        <v>51</v>
      </c>
      <c r="C61" s="1" t="s">
        <v>126</v>
      </c>
      <c r="D61" s="2" t="str">
        <f>'Tab.G1.1-4'!$D$11</f>
        <v>[tys. zł]</v>
      </c>
      <c r="E61" s="146">
        <f>SUM(E62,E65:E67)</f>
        <v>0</v>
      </c>
      <c r="F61" s="685"/>
      <c r="G61" s="685"/>
      <c r="H61" s="685"/>
      <c r="I61" s="685"/>
      <c r="J61" s="685"/>
      <c r="K61" s="685"/>
    </row>
    <row r="62" spans="1:11" ht="18.95" customHeight="1">
      <c r="A62" s="685"/>
      <c r="B62" s="634" t="str">
        <v>52</v>
      </c>
      <c r="C62" s="12" t="s">
        <v>127</v>
      </c>
      <c r="D62" s="5" t="str">
        <f>'Tab.G1.1-4'!$D$11</f>
        <v>[tys. zł]</v>
      </c>
      <c r="E62" s="148">
        <f>SUM(E63:E64)</f>
        <v>0</v>
      </c>
      <c r="F62" s="685"/>
      <c r="G62" s="685"/>
      <c r="H62" s="685"/>
      <c r="I62" s="685"/>
      <c r="J62" s="685"/>
      <c r="K62" s="685"/>
    </row>
    <row r="63" spans="1:11" ht="18.95" customHeight="1">
      <c r="A63" s="685"/>
      <c r="B63" s="635" t="str">
        <v>53</v>
      </c>
      <c r="C63" s="263" t="s">
        <v>128</v>
      </c>
      <c r="D63" s="6" t="str">
        <f>'Tab.G1.1-4'!$D$11</f>
        <v>[tys. zł]</v>
      </c>
      <c r="E63" s="149"/>
      <c r="F63" s="685"/>
      <c r="G63" s="685"/>
      <c r="H63" s="685"/>
      <c r="I63" s="685"/>
      <c r="J63" s="685"/>
      <c r="K63" s="685"/>
    </row>
    <row r="64" spans="1:11" ht="18.95" customHeight="1">
      <c r="A64" s="685"/>
      <c r="B64" s="640" t="str">
        <v>54</v>
      </c>
      <c r="C64" s="266" t="s">
        <v>129</v>
      </c>
      <c r="D64" s="267" t="str">
        <f>'Tab.G1.1-4'!$D$11</f>
        <v>[tys. zł]</v>
      </c>
      <c r="E64" s="268"/>
      <c r="F64" s="685"/>
      <c r="G64" s="685"/>
      <c r="H64" s="685"/>
      <c r="I64" s="685"/>
      <c r="J64" s="685"/>
      <c r="K64" s="685"/>
    </row>
    <row r="65" spans="1:11" ht="18.95" customHeight="1">
      <c r="A65" s="685"/>
      <c r="B65" s="638" t="str">
        <v>55</v>
      </c>
      <c r="C65" s="13" t="s">
        <v>130</v>
      </c>
      <c r="D65" s="9" t="str">
        <f>'Tab.G1.1-4'!$D$11</f>
        <v>[tys. zł]</v>
      </c>
      <c r="E65" s="152"/>
      <c r="F65" s="685"/>
      <c r="G65" s="685"/>
      <c r="H65" s="685"/>
      <c r="I65" s="685"/>
      <c r="J65" s="685"/>
      <c r="K65" s="685"/>
    </row>
    <row r="66" spans="1:11" ht="18.95" customHeight="1">
      <c r="A66" s="685"/>
      <c r="B66" s="638" t="str">
        <v>56</v>
      </c>
      <c r="C66" s="13" t="s">
        <v>131</v>
      </c>
      <c r="D66" s="9" t="str">
        <f>'Tab.G1.1-4'!$D$11</f>
        <v>[tys. zł]</v>
      </c>
      <c r="E66" s="152"/>
      <c r="F66" s="685"/>
      <c r="G66" s="685"/>
      <c r="H66" s="685"/>
      <c r="I66" s="685"/>
      <c r="J66" s="685"/>
      <c r="K66" s="685"/>
    </row>
    <row r="67" spans="1:11" ht="18.95" customHeight="1" thickBot="1">
      <c r="A67" s="685"/>
      <c r="B67" s="643" t="str">
        <v>57</v>
      </c>
      <c r="C67" s="16" t="s">
        <v>132</v>
      </c>
      <c r="D67" s="17" t="str">
        <f>'Tab.G1.1-4'!$D$11</f>
        <v>[tys. zł]</v>
      </c>
      <c r="E67" s="154"/>
      <c r="F67" s="685"/>
      <c r="G67" s="685"/>
      <c r="H67" s="685"/>
      <c r="I67" s="685"/>
      <c r="J67" s="685"/>
      <c r="K67" s="685"/>
    </row>
    <row r="68" spans="1:11" ht="18.95" customHeight="1">
      <c r="A68" s="685"/>
      <c r="B68" s="685"/>
      <c r="C68" s="685"/>
      <c r="D68" s="685"/>
      <c r="E68" s="685"/>
      <c r="F68" s="685"/>
      <c r="G68" s="685"/>
      <c r="H68" s="685"/>
      <c r="I68" s="685"/>
      <c r="J68" s="685"/>
      <c r="K68" s="685"/>
    </row>
    <row r="69" spans="1:11" ht="18.95" customHeight="1">
      <c r="A69" s="685"/>
      <c r="B69" s="685"/>
      <c r="C69" s="685"/>
      <c r="D69" s="685"/>
      <c r="E69" s="685"/>
      <c r="F69" s="685"/>
      <c r="G69" s="685"/>
      <c r="H69" s="685"/>
      <c r="I69" s="685"/>
      <c r="J69" s="685"/>
      <c r="K69" s="685"/>
    </row>
    <row r="70" spans="1:11" ht="30" customHeight="1" thickBot="1">
      <c r="A70" s="685"/>
      <c r="B70" s="695" t="s">
        <v>231</v>
      </c>
      <c r="C70" s="685"/>
      <c r="D70" s="685"/>
      <c r="E70" s="685"/>
      <c r="F70" s="685"/>
      <c r="G70" s="685"/>
      <c r="H70" s="685"/>
      <c r="I70" s="685"/>
      <c r="J70" s="685"/>
      <c r="K70" s="685"/>
    </row>
    <row r="71" spans="1:11" ht="18.95" customHeight="1">
      <c r="A71" s="685"/>
      <c r="B71" s="1035" t="str">
        <f>'Tab.G1.1-4'!$B$8</f>
        <v>LP</v>
      </c>
      <c r="C71" s="1037" t="str">
        <f>'Tab.G1.1-4'!$C$8</f>
        <v>Wyszczególnienie</v>
      </c>
      <c r="D71" s="1038"/>
      <c r="E71" s="627" t="str">
        <f>'Tab.G1.1-4'!$E$8</f>
        <v>Wykonanie</v>
      </c>
      <c r="F71" s="274"/>
      <c r="G71" s="274"/>
      <c r="H71" s="685"/>
      <c r="I71" s="685"/>
      <c r="J71" s="685"/>
      <c r="K71" s="685"/>
    </row>
    <row r="72" spans="1:11" ht="18.95" customHeight="1">
      <c r="A72" s="685"/>
      <c r="B72" s="1036"/>
      <c r="C72" s="1039"/>
      <c r="D72" s="1040"/>
      <c r="E72" s="628">
        <f>Rok_ZPR</f>
        <v>2023</v>
      </c>
      <c r="F72" s="274"/>
      <c r="G72" s="274"/>
      <c r="H72" s="685"/>
      <c r="I72" s="685"/>
      <c r="J72" s="685"/>
      <c r="K72" s="685"/>
    </row>
    <row r="73" spans="1:11" ht="14.1" customHeight="1" thickBot="1">
      <c r="A73" s="685"/>
      <c r="B73" s="644" t="str">
        <f t="array" ref="B73:B129">Tab.G17!$B$10:$B$66</f>
        <v>01</v>
      </c>
      <c r="C73" s="1044" t="str">
        <f>Tab.G17!$B$11</f>
        <v>02</v>
      </c>
      <c r="D73" s="1034"/>
      <c r="E73" s="645" t="str">
        <f>Tab.G17!$B$12</f>
        <v>03</v>
      </c>
      <c r="F73" s="274"/>
      <c r="G73" s="274"/>
      <c r="H73" s="685"/>
      <c r="I73" s="685"/>
      <c r="J73" s="685"/>
      <c r="K73" s="685"/>
    </row>
    <row r="74" spans="1:11" ht="18.95" customHeight="1" thickBot="1">
      <c r="A74" s="685"/>
      <c r="B74" s="641" t="str">
        <v>02</v>
      </c>
      <c r="C74" s="706" t="str">
        <f t="array" ref="C74:C129">$C$12:$C$67</f>
        <v>A. GAZOCIĄGI DYSTRYBUCYJNE, Z TEGO:</v>
      </c>
      <c r="D74" s="707" t="str">
        <f>"[km]"</f>
        <v>[km]</v>
      </c>
      <c r="E74" s="708">
        <f>SUM(E75,E86,E97)</f>
        <v>0</v>
      </c>
      <c r="F74" s="274"/>
      <c r="G74" s="274"/>
      <c r="H74" s="685"/>
      <c r="I74" s="685"/>
      <c r="J74" s="685"/>
      <c r="K74" s="685"/>
    </row>
    <row r="75" spans="1:11" ht="18.95" customHeight="1" thickBot="1">
      <c r="A75" s="685"/>
      <c r="B75" s="633" t="str">
        <v>03</v>
      </c>
      <c r="C75" s="3" t="str">
        <v>A1. Gazociągi wysokiego i podyższonego średniego ciśnienia</v>
      </c>
      <c r="D75" s="4" t="str">
        <f t="shared" ref="D75:D107" si="0">$D$74</f>
        <v>[km]</v>
      </c>
      <c r="E75" s="147">
        <f>SUM(E76,E81)</f>
        <v>0</v>
      </c>
      <c r="F75" s="274"/>
      <c r="G75" s="274"/>
      <c r="H75" s="685"/>
      <c r="I75" s="685"/>
      <c r="J75" s="685"/>
      <c r="K75" s="685"/>
    </row>
    <row r="76" spans="1:11" ht="18.95" customHeight="1">
      <c r="A76" s="685"/>
      <c r="B76" s="634" t="str">
        <v>04</v>
      </c>
      <c r="C76" s="258" t="str">
        <v>ze stali</v>
      </c>
      <c r="D76" s="5" t="str">
        <f t="shared" si="0"/>
        <v>[km]</v>
      </c>
      <c r="E76" s="148">
        <f>SUM(E77:E80)</f>
        <v>0</v>
      </c>
      <c r="F76" s="274"/>
      <c r="G76" s="274"/>
      <c r="H76" s="685"/>
      <c r="I76" s="685"/>
      <c r="J76" s="685"/>
      <c r="K76" s="685"/>
    </row>
    <row r="77" spans="1:11" ht="18.95" customHeight="1">
      <c r="A77" s="685"/>
      <c r="B77" s="635" t="str">
        <v>05</v>
      </c>
      <c r="C77" s="260" t="str">
        <v>300 &lt; DN[mm]</v>
      </c>
      <c r="D77" s="6" t="str">
        <f t="shared" si="0"/>
        <v>[km]</v>
      </c>
      <c r="E77" s="149"/>
      <c r="F77" s="274"/>
      <c r="G77" s="274"/>
      <c r="H77" s="685"/>
      <c r="I77" s="685"/>
      <c r="J77" s="685"/>
      <c r="K77" s="685"/>
    </row>
    <row r="78" spans="1:11" ht="18.95" customHeight="1">
      <c r="A78" s="685"/>
      <c r="B78" s="636" t="str">
        <v>06</v>
      </c>
      <c r="C78" s="261" t="str">
        <v>200 &lt; DN[mm] ≤ 300</v>
      </c>
      <c r="D78" s="7" t="str">
        <f t="shared" si="0"/>
        <v>[km]</v>
      </c>
      <c r="E78" s="150"/>
      <c r="F78" s="274"/>
      <c r="G78" s="274"/>
      <c r="H78" s="685"/>
      <c r="I78" s="685"/>
      <c r="J78" s="685"/>
      <c r="K78" s="685"/>
    </row>
    <row r="79" spans="1:11" ht="18.95" customHeight="1">
      <c r="A79" s="685"/>
      <c r="B79" s="636" t="str">
        <v>07</v>
      </c>
      <c r="C79" s="261" t="str">
        <v>100 &lt; DN[mm] ≤ 200</v>
      </c>
      <c r="D79" s="7" t="str">
        <f t="shared" si="0"/>
        <v>[km]</v>
      </c>
      <c r="E79" s="150"/>
      <c r="F79" s="274"/>
      <c r="G79" s="274"/>
      <c r="H79" s="685"/>
      <c r="I79" s="685"/>
      <c r="J79" s="685"/>
      <c r="K79" s="685"/>
    </row>
    <row r="80" spans="1:11" ht="18.95" customHeight="1">
      <c r="A80" s="685"/>
      <c r="B80" s="637" t="str">
        <v>08</v>
      </c>
      <c r="C80" s="264" t="str">
        <v>DN[mm] ≤ 100</v>
      </c>
      <c r="D80" s="8" t="str">
        <f t="shared" si="0"/>
        <v>[km]</v>
      </c>
      <c r="E80" s="151"/>
      <c r="F80" s="274"/>
      <c r="G80" s="274"/>
      <c r="H80" s="685"/>
      <c r="I80" s="685"/>
      <c r="J80" s="685"/>
      <c r="K80" s="685"/>
    </row>
    <row r="81" spans="1:11" ht="18.95" customHeight="1">
      <c r="A81" s="685"/>
      <c r="B81" s="638" t="str">
        <v>09</v>
      </c>
      <c r="C81" s="259" t="str">
        <v>z tworzyw sztucznych (np. polietylenu)</v>
      </c>
      <c r="D81" s="9" t="str">
        <f t="shared" si="0"/>
        <v>[km]</v>
      </c>
      <c r="E81" s="152">
        <f>SUM(E82:E85)</f>
        <v>0</v>
      </c>
      <c r="F81" s="274"/>
      <c r="G81" s="274"/>
      <c r="H81" s="685"/>
      <c r="I81" s="685"/>
      <c r="J81" s="685"/>
      <c r="K81" s="685"/>
    </row>
    <row r="82" spans="1:11" ht="18.95" customHeight="1">
      <c r="A82" s="685"/>
      <c r="B82" s="635" t="str">
        <v>10</v>
      </c>
      <c r="C82" s="260" t="str">
        <v>300 &lt; DN[mm]</v>
      </c>
      <c r="D82" s="6" t="str">
        <f t="shared" si="0"/>
        <v>[km]</v>
      </c>
      <c r="E82" s="149"/>
      <c r="F82" s="274"/>
      <c r="G82" s="274"/>
      <c r="H82" s="685"/>
      <c r="I82" s="685"/>
      <c r="J82" s="685"/>
      <c r="K82" s="685"/>
    </row>
    <row r="83" spans="1:11" ht="18.95" customHeight="1">
      <c r="A83" s="685"/>
      <c r="B83" s="636" t="str">
        <v>11</v>
      </c>
      <c r="C83" s="261" t="str">
        <v>200 &lt; DN[mm] ≤ 300</v>
      </c>
      <c r="D83" s="7" t="str">
        <f t="shared" si="0"/>
        <v>[km]</v>
      </c>
      <c r="E83" s="150"/>
      <c r="F83" s="274"/>
      <c r="G83" s="274"/>
      <c r="H83" s="685"/>
      <c r="I83" s="685"/>
      <c r="J83" s="685"/>
      <c r="K83" s="685"/>
    </row>
    <row r="84" spans="1:11" ht="18.95" customHeight="1">
      <c r="A84" s="685"/>
      <c r="B84" s="636" t="str">
        <v>12</v>
      </c>
      <c r="C84" s="261" t="str">
        <v>100 &lt; DN[mm] ≤ 200</v>
      </c>
      <c r="D84" s="7" t="str">
        <f t="shared" si="0"/>
        <v>[km]</v>
      </c>
      <c r="E84" s="150"/>
      <c r="F84" s="274"/>
      <c r="G84" s="274"/>
      <c r="H84" s="685"/>
      <c r="I84" s="685"/>
      <c r="J84" s="685"/>
      <c r="K84" s="685"/>
    </row>
    <row r="85" spans="1:11" ht="18.95" customHeight="1" thickBot="1">
      <c r="A85" s="685"/>
      <c r="B85" s="639" t="str">
        <v>13</v>
      </c>
      <c r="C85" s="265" t="str">
        <v>DN[mm] ≤ 100</v>
      </c>
      <c r="D85" s="10" t="str">
        <f t="shared" si="0"/>
        <v>[km]</v>
      </c>
      <c r="E85" s="153"/>
      <c r="F85" s="274"/>
      <c r="G85" s="274"/>
      <c r="H85" s="685"/>
      <c r="I85" s="685"/>
      <c r="J85" s="685"/>
      <c r="K85" s="685"/>
    </row>
    <row r="86" spans="1:11" ht="18.95" customHeight="1" thickBot="1">
      <c r="A86" s="685"/>
      <c r="B86" s="633" t="str">
        <v>14</v>
      </c>
      <c r="C86" s="11" t="str">
        <v>A2. Gazociągi średniego i niskiego ciśnienia</v>
      </c>
      <c r="D86" s="4" t="str">
        <f t="shared" si="0"/>
        <v>[km]</v>
      </c>
      <c r="E86" s="147">
        <f>SUM(E87,E92)</f>
        <v>0</v>
      </c>
      <c r="F86" s="274"/>
      <c r="G86" s="274"/>
      <c r="H86" s="685"/>
      <c r="I86" s="685"/>
      <c r="J86" s="685"/>
      <c r="K86" s="685"/>
    </row>
    <row r="87" spans="1:11" ht="18.95" customHeight="1">
      <c r="A87" s="685"/>
      <c r="B87" s="634" t="str">
        <v>15</v>
      </c>
      <c r="C87" s="258" t="str">
        <v>ze stali</v>
      </c>
      <c r="D87" s="5" t="str">
        <f t="shared" si="0"/>
        <v>[km]</v>
      </c>
      <c r="E87" s="148">
        <f>SUM(E88:E91)</f>
        <v>0</v>
      </c>
      <c r="F87" s="274"/>
      <c r="G87" s="274"/>
      <c r="H87" s="685"/>
      <c r="I87" s="685"/>
      <c r="J87" s="685"/>
      <c r="K87" s="685"/>
    </row>
    <row r="88" spans="1:11" ht="18.95" customHeight="1">
      <c r="A88" s="685"/>
      <c r="B88" s="635" t="str">
        <v>16</v>
      </c>
      <c r="C88" s="260" t="str">
        <v>200 &lt; DN[mm]</v>
      </c>
      <c r="D88" s="6" t="str">
        <f t="shared" si="0"/>
        <v>[km]</v>
      </c>
      <c r="E88" s="149"/>
      <c r="F88" s="274"/>
      <c r="G88" s="274"/>
      <c r="H88" s="685"/>
      <c r="I88" s="685"/>
      <c r="J88" s="685"/>
      <c r="K88" s="685"/>
    </row>
    <row r="89" spans="1:11" ht="18.95" customHeight="1">
      <c r="A89" s="685"/>
      <c r="B89" s="636" t="str">
        <v>17</v>
      </c>
      <c r="C89" s="261" t="str">
        <v>100 &lt; DN[mm] ≤ 200</v>
      </c>
      <c r="D89" s="7" t="str">
        <f t="shared" si="0"/>
        <v>[km]</v>
      </c>
      <c r="E89" s="150"/>
      <c r="F89" s="274"/>
      <c r="G89" s="274"/>
      <c r="H89" s="685"/>
      <c r="I89" s="685"/>
      <c r="J89" s="685"/>
      <c r="K89" s="685"/>
    </row>
    <row r="90" spans="1:11" ht="18.95" customHeight="1">
      <c r="A90" s="685"/>
      <c r="B90" s="636" t="str">
        <v>18</v>
      </c>
      <c r="C90" s="262" t="str">
        <v>63 &lt; DN[mm] ≤ 100</v>
      </c>
      <c r="D90" s="7" t="str">
        <f t="shared" si="0"/>
        <v>[km]</v>
      </c>
      <c r="E90" s="150"/>
      <c r="F90" s="274"/>
      <c r="G90" s="274"/>
      <c r="H90" s="685"/>
      <c r="I90" s="685"/>
      <c r="J90" s="685"/>
      <c r="K90" s="685"/>
    </row>
    <row r="91" spans="1:11" ht="18.95" customHeight="1">
      <c r="A91" s="685"/>
      <c r="B91" s="637" t="str">
        <v>19</v>
      </c>
      <c r="C91" s="264" t="str">
        <v>DN[mm] ≤ 63</v>
      </c>
      <c r="D91" s="8" t="str">
        <f t="shared" si="0"/>
        <v>[km]</v>
      </c>
      <c r="E91" s="151"/>
      <c r="F91" s="274"/>
      <c r="G91" s="274"/>
      <c r="H91" s="685"/>
      <c r="I91" s="685"/>
      <c r="J91" s="685"/>
      <c r="K91" s="685"/>
    </row>
    <row r="92" spans="1:11" ht="18.95" customHeight="1">
      <c r="A92" s="685"/>
      <c r="B92" s="638" t="str">
        <v>20</v>
      </c>
      <c r="C92" s="259" t="str">
        <v>z tworzyw sztucznych (np. polietylenu)</v>
      </c>
      <c r="D92" s="9" t="str">
        <f t="shared" si="0"/>
        <v>[km]</v>
      </c>
      <c r="E92" s="152">
        <f>SUM(E93:E96)</f>
        <v>0</v>
      </c>
      <c r="F92" s="274"/>
      <c r="G92" s="274"/>
      <c r="H92" s="685"/>
      <c r="I92" s="685"/>
      <c r="J92" s="685"/>
      <c r="K92" s="685"/>
    </row>
    <row r="93" spans="1:11" ht="18.95" customHeight="1">
      <c r="A93" s="685"/>
      <c r="B93" s="635" t="str">
        <v>21</v>
      </c>
      <c r="C93" s="260" t="str">
        <v>200 &lt; DN[mm]</v>
      </c>
      <c r="D93" s="6" t="str">
        <f t="shared" si="0"/>
        <v>[km]</v>
      </c>
      <c r="E93" s="149"/>
      <c r="F93" s="274"/>
      <c r="G93" s="274"/>
      <c r="H93" s="685"/>
      <c r="I93" s="685"/>
      <c r="J93" s="685"/>
      <c r="K93" s="685"/>
    </row>
    <row r="94" spans="1:11" ht="18.95" customHeight="1">
      <c r="A94" s="685"/>
      <c r="B94" s="636" t="str">
        <v>22</v>
      </c>
      <c r="C94" s="261" t="str">
        <v>100 &lt; DN[mm] ≤ 200</v>
      </c>
      <c r="D94" s="7" t="str">
        <f t="shared" si="0"/>
        <v>[km]</v>
      </c>
      <c r="E94" s="150"/>
      <c r="F94" s="274"/>
      <c r="G94" s="274"/>
      <c r="H94" s="685"/>
      <c r="I94" s="685"/>
      <c r="J94" s="685"/>
      <c r="K94" s="685"/>
    </row>
    <row r="95" spans="1:11" ht="18.95" customHeight="1">
      <c r="A95" s="685"/>
      <c r="B95" s="636" t="str">
        <v>23</v>
      </c>
      <c r="C95" s="262" t="str">
        <v>63 &lt; DN[mm] ≤ 100</v>
      </c>
      <c r="D95" s="7" t="str">
        <f t="shared" si="0"/>
        <v>[km]</v>
      </c>
      <c r="E95" s="150"/>
      <c r="F95" s="274"/>
      <c r="G95" s="274"/>
      <c r="H95" s="685"/>
      <c r="I95" s="685"/>
      <c r="J95" s="685"/>
      <c r="K95" s="685"/>
    </row>
    <row r="96" spans="1:11" ht="18.95" customHeight="1" thickBot="1">
      <c r="A96" s="685"/>
      <c r="B96" s="639" t="str">
        <v>24</v>
      </c>
      <c r="C96" s="265" t="str">
        <v>DN[mm] ≤ 63</v>
      </c>
      <c r="D96" s="10" t="str">
        <f t="shared" si="0"/>
        <v>[km]</v>
      </c>
      <c r="E96" s="153"/>
      <c r="F96" s="274"/>
      <c r="G96" s="274"/>
      <c r="H96" s="685"/>
      <c r="I96" s="685"/>
      <c r="J96" s="685"/>
      <c r="K96" s="685"/>
    </row>
    <row r="97" spans="1:11" ht="18.95" customHeight="1" thickBot="1">
      <c r="A97" s="685"/>
      <c r="B97" s="633" t="str">
        <v>25</v>
      </c>
      <c r="C97" s="11" t="str">
        <v>A3. przyłącza</v>
      </c>
      <c r="D97" s="4" t="str">
        <f t="shared" si="0"/>
        <v>[km]</v>
      </c>
      <c r="E97" s="147">
        <f>SUM(E98,E103)</f>
        <v>0</v>
      </c>
      <c r="F97" s="274"/>
      <c r="G97" s="274"/>
      <c r="H97" s="685"/>
      <c r="I97" s="685"/>
      <c r="J97" s="685"/>
      <c r="K97" s="685"/>
    </row>
    <row r="98" spans="1:11" ht="18.95" customHeight="1">
      <c r="A98" s="685"/>
      <c r="B98" s="634" t="str">
        <v>26</v>
      </c>
      <c r="C98" s="258" t="str">
        <v>ze stali</v>
      </c>
      <c r="D98" s="5" t="str">
        <f t="shared" si="0"/>
        <v>[km]</v>
      </c>
      <c r="E98" s="148">
        <f>SUM(E99:E102)</f>
        <v>0</v>
      </c>
      <c r="F98" s="274"/>
      <c r="G98" s="274"/>
      <c r="H98" s="685"/>
      <c r="I98" s="685"/>
      <c r="J98" s="685"/>
      <c r="K98" s="685"/>
    </row>
    <row r="99" spans="1:11" ht="18.95" customHeight="1">
      <c r="A99" s="685"/>
      <c r="B99" s="635" t="str">
        <v>27</v>
      </c>
      <c r="C99" s="260" t="str">
        <v>100 &lt; DN[mm]</v>
      </c>
      <c r="D99" s="6" t="str">
        <f t="shared" si="0"/>
        <v>[km]</v>
      </c>
      <c r="E99" s="149"/>
      <c r="F99" s="274"/>
      <c r="G99" s="274"/>
      <c r="H99" s="685"/>
      <c r="I99" s="685"/>
      <c r="J99" s="685"/>
      <c r="K99" s="685"/>
    </row>
    <row r="100" spans="1:11" ht="18.95" customHeight="1">
      <c r="A100" s="685"/>
      <c r="B100" s="636" t="str">
        <v>28</v>
      </c>
      <c r="C100" s="262" t="str">
        <v>63 &lt; DN[mm] ≤ 100</v>
      </c>
      <c r="D100" s="7" t="str">
        <f t="shared" si="0"/>
        <v>[km]</v>
      </c>
      <c r="E100" s="150"/>
      <c r="F100" s="274"/>
      <c r="G100" s="274"/>
      <c r="H100" s="685"/>
      <c r="I100" s="685"/>
      <c r="J100" s="685"/>
      <c r="K100" s="685"/>
    </row>
    <row r="101" spans="1:11" ht="18.95" customHeight="1">
      <c r="A101" s="685"/>
      <c r="B101" s="636" t="str">
        <v>29</v>
      </c>
      <c r="C101" s="262" t="str">
        <v>32 &lt; DN[mm] ≤ 63</v>
      </c>
      <c r="D101" s="7" t="str">
        <f t="shared" si="0"/>
        <v>[km]</v>
      </c>
      <c r="E101" s="150"/>
      <c r="F101" s="274"/>
      <c r="G101" s="274"/>
      <c r="H101" s="685"/>
      <c r="I101" s="685"/>
      <c r="J101" s="685"/>
      <c r="K101" s="685"/>
    </row>
    <row r="102" spans="1:11" ht="18.95" customHeight="1">
      <c r="A102" s="685"/>
      <c r="B102" s="637" t="str">
        <v>30</v>
      </c>
      <c r="C102" s="269" t="str">
        <v>DN[mm] ≤ 32</v>
      </c>
      <c r="D102" s="8" t="str">
        <f t="shared" si="0"/>
        <v>[km]</v>
      </c>
      <c r="E102" s="151"/>
      <c r="F102" s="274"/>
      <c r="G102" s="274"/>
      <c r="H102" s="685"/>
      <c r="I102" s="685"/>
      <c r="J102" s="685"/>
      <c r="K102" s="685"/>
    </row>
    <row r="103" spans="1:11" ht="18.95" customHeight="1">
      <c r="A103" s="685"/>
      <c r="B103" s="638" t="str">
        <v>31</v>
      </c>
      <c r="C103" s="259" t="str">
        <v>z tworzyw sztucznych (np. polietylenu)</v>
      </c>
      <c r="D103" s="9" t="str">
        <f t="shared" si="0"/>
        <v>[km]</v>
      </c>
      <c r="E103" s="152">
        <f>SUM(E104:E107)</f>
        <v>0</v>
      </c>
      <c r="F103" s="274"/>
      <c r="G103" s="274"/>
      <c r="H103" s="685"/>
      <c r="I103" s="685"/>
      <c r="J103" s="685"/>
      <c r="K103" s="685"/>
    </row>
    <row r="104" spans="1:11" ht="18.95" customHeight="1">
      <c r="A104" s="685"/>
      <c r="B104" s="635" t="str">
        <v>32</v>
      </c>
      <c r="C104" s="260" t="str">
        <v>100 &lt; DN[mm]</v>
      </c>
      <c r="D104" s="6" t="str">
        <f t="shared" si="0"/>
        <v>[km]</v>
      </c>
      <c r="E104" s="149"/>
      <c r="F104" s="274"/>
      <c r="G104" s="274"/>
      <c r="H104" s="685"/>
      <c r="I104" s="685"/>
      <c r="J104" s="685"/>
      <c r="K104" s="685"/>
    </row>
    <row r="105" spans="1:11" ht="18.95" customHeight="1">
      <c r="A105" s="685"/>
      <c r="B105" s="636" t="str">
        <v>33</v>
      </c>
      <c r="C105" s="262" t="str">
        <v>63 &lt; DN[mm] ≤ 100</v>
      </c>
      <c r="D105" s="7" t="str">
        <f t="shared" si="0"/>
        <v>[km]</v>
      </c>
      <c r="E105" s="150"/>
      <c r="F105" s="274"/>
      <c r="G105" s="274"/>
      <c r="H105" s="685"/>
      <c r="I105" s="685"/>
      <c r="J105" s="685"/>
      <c r="K105" s="685"/>
    </row>
    <row r="106" spans="1:11" ht="18.95" customHeight="1">
      <c r="A106" s="685"/>
      <c r="B106" s="636" t="str">
        <v>34</v>
      </c>
      <c r="C106" s="262" t="str">
        <v>32 &lt; DN[mm] ≤ 63</v>
      </c>
      <c r="D106" s="7" t="str">
        <f t="shared" si="0"/>
        <v>[km]</v>
      </c>
      <c r="E106" s="150"/>
      <c r="F106" s="274"/>
      <c r="G106" s="274"/>
      <c r="H106" s="685"/>
      <c r="I106" s="685"/>
      <c r="J106" s="685"/>
      <c r="K106" s="685"/>
    </row>
    <row r="107" spans="1:11" ht="18.95" customHeight="1" thickBot="1">
      <c r="A107" s="685"/>
      <c r="B107" s="639" t="str">
        <v>35</v>
      </c>
      <c r="C107" s="269" t="str">
        <v>DN[mm] ≤ 32</v>
      </c>
      <c r="D107" s="10" t="str">
        <f t="shared" si="0"/>
        <v>[km]</v>
      </c>
      <c r="E107" s="153"/>
      <c r="F107" s="274"/>
      <c r="G107" s="274"/>
      <c r="H107" s="685"/>
      <c r="I107" s="685"/>
      <c r="J107" s="685"/>
      <c r="K107" s="685"/>
    </row>
    <row r="108" spans="1:11" ht="18.95" customHeight="1" thickBot="1">
      <c r="A108" s="685"/>
      <c r="B108" s="641" t="str">
        <v>36</v>
      </c>
      <c r="C108" s="1" t="str">
        <v>B. STACJE GAZOWE, TŁOCZNIE I WĘZŁY</v>
      </c>
      <c r="D108" s="2" t="str">
        <f>"[szt.]"</f>
        <v>[szt.]</v>
      </c>
      <c r="E108" s="146">
        <f>SUM(E109,E113,E117,E121:E122)</f>
        <v>0</v>
      </c>
      <c r="F108" s="274"/>
      <c r="G108" s="274"/>
      <c r="H108" s="685"/>
      <c r="I108" s="685"/>
      <c r="J108" s="685"/>
      <c r="K108" s="685"/>
    </row>
    <row r="109" spans="1:11" ht="18.95" customHeight="1">
      <c r="A109" s="685"/>
      <c r="B109" s="634" t="str">
        <v>37</v>
      </c>
      <c r="C109" s="12" t="str">
        <v>B1. stacje redukcyjno-pomiarowe I°</v>
      </c>
      <c r="D109" s="5" t="str">
        <f t="shared" ref="D109:D129" si="1">$D$108</f>
        <v>[szt.]</v>
      </c>
      <c r="E109" s="148">
        <f>SUM(E110:E112)</f>
        <v>0</v>
      </c>
      <c r="F109" s="274"/>
      <c r="G109" s="274"/>
      <c r="H109" s="685"/>
      <c r="I109" s="685"/>
      <c r="J109" s="685"/>
      <c r="K109" s="685"/>
    </row>
    <row r="110" spans="1:11" ht="18.95" customHeight="1">
      <c r="A110" s="685"/>
      <c r="B110" s="635" t="str">
        <v>38</v>
      </c>
      <c r="C110" s="260" t="str">
        <v>3000 &lt; Q[m³/h]</v>
      </c>
      <c r="D110" s="6" t="str">
        <f t="shared" si="1"/>
        <v>[szt.]</v>
      </c>
      <c r="E110" s="149"/>
      <c r="F110" s="274"/>
      <c r="G110" s="274"/>
      <c r="H110" s="685"/>
      <c r="I110" s="685"/>
      <c r="J110" s="685"/>
      <c r="K110" s="685"/>
    </row>
    <row r="111" spans="1:11" ht="18.95" customHeight="1">
      <c r="A111" s="685"/>
      <c r="B111" s="636" t="str">
        <v>39</v>
      </c>
      <c r="C111" s="261" t="str">
        <v>1000 &lt; Q[m³/h] ≤ 3000</v>
      </c>
      <c r="D111" s="7" t="str">
        <f t="shared" si="1"/>
        <v>[szt.]</v>
      </c>
      <c r="E111" s="150"/>
      <c r="F111" s="274"/>
      <c r="G111" s="274"/>
      <c r="H111" s="685"/>
      <c r="I111" s="685"/>
      <c r="J111" s="685"/>
      <c r="K111" s="685"/>
    </row>
    <row r="112" spans="1:11" ht="18.95" customHeight="1">
      <c r="A112" s="685"/>
      <c r="B112" s="637" t="str">
        <v>40</v>
      </c>
      <c r="C112" s="269" t="str">
        <v>Q[m³/h] ≤ 1000</v>
      </c>
      <c r="D112" s="8" t="str">
        <f t="shared" si="1"/>
        <v>[szt.]</v>
      </c>
      <c r="E112" s="151"/>
      <c r="F112" s="274"/>
      <c r="G112" s="274"/>
      <c r="H112" s="685"/>
      <c r="I112" s="685"/>
      <c r="J112" s="685"/>
      <c r="K112" s="685"/>
    </row>
    <row r="113" spans="1:11" ht="18.95" customHeight="1">
      <c r="A113" s="685"/>
      <c r="B113" s="638" t="str">
        <v>41</v>
      </c>
      <c r="C113" s="13" t="str">
        <v>B2. stacje redukcyjno-pomiarowe II°</v>
      </c>
      <c r="D113" s="9" t="str">
        <f t="shared" si="1"/>
        <v>[szt.]</v>
      </c>
      <c r="E113" s="152">
        <f>SUM(E114:E116)</f>
        <v>0</v>
      </c>
      <c r="F113" s="274"/>
      <c r="G113" s="274"/>
      <c r="H113" s="685"/>
      <c r="I113" s="685"/>
      <c r="J113" s="685"/>
      <c r="K113" s="685"/>
    </row>
    <row r="114" spans="1:11" ht="18.95" customHeight="1">
      <c r="A114" s="685"/>
      <c r="B114" s="635" t="str">
        <v>42</v>
      </c>
      <c r="C114" s="260" t="str">
        <v>1000 &lt; Q[m³/h]</v>
      </c>
      <c r="D114" s="6" t="str">
        <f t="shared" si="1"/>
        <v>[szt.]</v>
      </c>
      <c r="E114" s="149"/>
      <c r="F114" s="274"/>
      <c r="G114" s="274"/>
      <c r="H114" s="685"/>
      <c r="I114" s="685"/>
      <c r="J114" s="685"/>
      <c r="K114" s="685"/>
    </row>
    <row r="115" spans="1:11" ht="18.95" customHeight="1">
      <c r="A115" s="685"/>
      <c r="B115" s="636" t="str">
        <v>43</v>
      </c>
      <c r="C115" s="262" t="str">
        <v>300 &lt; Q[m³/h] ≤ 1000</v>
      </c>
      <c r="D115" s="7" t="str">
        <f t="shared" si="1"/>
        <v>[szt.]</v>
      </c>
      <c r="E115" s="150"/>
      <c r="F115" s="274"/>
      <c r="G115" s="274"/>
      <c r="H115" s="685"/>
      <c r="I115" s="685"/>
      <c r="J115" s="685"/>
      <c r="K115" s="685"/>
    </row>
    <row r="116" spans="1:11" ht="18.95" customHeight="1">
      <c r="A116" s="685"/>
      <c r="B116" s="637" t="str">
        <v>44</v>
      </c>
      <c r="C116" s="269" t="str">
        <v>Q[m³/h] ≤ 300</v>
      </c>
      <c r="D116" s="8" t="str">
        <f t="shared" si="1"/>
        <v>[szt.]</v>
      </c>
      <c r="E116" s="151"/>
      <c r="F116" s="274"/>
      <c r="G116" s="274"/>
      <c r="H116" s="685"/>
      <c r="I116" s="685"/>
      <c r="J116" s="685"/>
      <c r="K116" s="685"/>
    </row>
    <row r="117" spans="1:11" ht="18.95" customHeight="1">
      <c r="A117" s="685"/>
      <c r="B117" s="638" t="str">
        <v>45</v>
      </c>
      <c r="C117" s="13" t="str">
        <v>B3. stacje LNG</v>
      </c>
      <c r="D117" s="9" t="str">
        <f t="shared" si="1"/>
        <v>[szt.]</v>
      </c>
      <c r="E117" s="152">
        <f>SUM(E118:E120)</f>
        <v>0</v>
      </c>
      <c r="F117" s="274"/>
      <c r="G117" s="274"/>
      <c r="H117" s="685"/>
      <c r="I117" s="685"/>
      <c r="J117" s="685"/>
      <c r="K117" s="685"/>
    </row>
    <row r="118" spans="1:11" ht="18.95" customHeight="1">
      <c r="A118" s="685"/>
      <c r="B118" s="635" t="str">
        <v>46</v>
      </c>
      <c r="C118" s="260" t="str">
        <v>1000 &lt; Q[m³/h]</v>
      </c>
      <c r="D118" s="6" t="str">
        <f t="shared" si="1"/>
        <v>[szt.]</v>
      </c>
      <c r="E118" s="149"/>
      <c r="F118" s="274"/>
      <c r="G118" s="274"/>
      <c r="H118" s="685"/>
      <c r="I118" s="685"/>
      <c r="J118" s="685"/>
      <c r="K118" s="685"/>
    </row>
    <row r="119" spans="1:11" ht="18.95" customHeight="1">
      <c r="A119" s="685"/>
      <c r="B119" s="636" t="str">
        <v>47</v>
      </c>
      <c r="C119" s="262" t="str">
        <v>300 &lt; Q[m³/h] ≤ 1000</v>
      </c>
      <c r="D119" s="7" t="str">
        <f t="shared" si="1"/>
        <v>[szt.]</v>
      </c>
      <c r="E119" s="150"/>
      <c r="F119" s="274"/>
      <c r="G119" s="274"/>
      <c r="H119" s="685"/>
      <c r="I119" s="685"/>
      <c r="J119" s="685"/>
      <c r="K119" s="685"/>
    </row>
    <row r="120" spans="1:11" ht="18.95" customHeight="1">
      <c r="A120" s="685"/>
      <c r="B120" s="637" t="str">
        <v>48</v>
      </c>
      <c r="C120" s="269" t="str">
        <v>Q[m³/h] ≤ 300</v>
      </c>
      <c r="D120" s="8" t="str">
        <f t="shared" si="1"/>
        <v>[szt.]</v>
      </c>
      <c r="E120" s="151"/>
      <c r="F120" s="274"/>
      <c r="G120" s="274"/>
      <c r="H120" s="685"/>
      <c r="I120" s="685"/>
      <c r="J120" s="685"/>
      <c r="K120" s="685"/>
    </row>
    <row r="121" spans="1:11" ht="18.95" customHeight="1">
      <c r="A121" s="685"/>
      <c r="B121" s="642" t="str">
        <v>49</v>
      </c>
      <c r="C121" s="14" t="str">
        <v>B4. tłocznie gazu</v>
      </c>
      <c r="D121" s="15" t="str">
        <f t="shared" si="1"/>
        <v>[szt.]</v>
      </c>
      <c r="E121" s="152"/>
      <c r="F121" s="274"/>
      <c r="G121" s="274"/>
      <c r="H121" s="685"/>
      <c r="I121" s="685"/>
      <c r="J121" s="685"/>
      <c r="K121" s="685"/>
    </row>
    <row r="122" spans="1:11" ht="18.95" customHeight="1" thickBot="1">
      <c r="A122" s="685"/>
      <c r="B122" s="643" t="str">
        <v>50</v>
      </c>
      <c r="C122" s="16" t="str">
        <v>B5. węzły</v>
      </c>
      <c r="D122" s="17" t="str">
        <f t="shared" si="1"/>
        <v>[szt.]</v>
      </c>
      <c r="E122" s="154"/>
      <c r="F122" s="274"/>
      <c r="G122" s="274"/>
      <c r="H122" s="685"/>
      <c r="I122" s="685"/>
      <c r="J122" s="685"/>
      <c r="K122" s="685"/>
    </row>
    <row r="123" spans="1:11" ht="18.95" customHeight="1" thickBot="1">
      <c r="A123" s="685"/>
      <c r="B123" s="641" t="str">
        <v>51</v>
      </c>
      <c r="C123" s="1" t="str">
        <v>C. GAZOMIERZE I UKŁADY POMIAROWE</v>
      </c>
      <c r="D123" s="2" t="str">
        <f t="shared" si="1"/>
        <v>[szt.]</v>
      </c>
      <c r="E123" s="146">
        <f>SUM(E124,E127:E129)</f>
        <v>0</v>
      </c>
      <c r="F123" s="685"/>
      <c r="G123" s="685"/>
      <c r="H123" s="685"/>
      <c r="I123" s="685"/>
      <c r="J123" s="685"/>
      <c r="K123" s="685"/>
    </row>
    <row r="124" spans="1:11" ht="18.95" customHeight="1">
      <c r="A124" s="685"/>
      <c r="B124" s="634" t="str">
        <v>52</v>
      </c>
      <c r="C124" s="12" t="str">
        <v>C1. Gazomierze miechowe</v>
      </c>
      <c r="D124" s="5" t="str">
        <f t="shared" si="1"/>
        <v>[szt.]</v>
      </c>
      <c r="E124" s="148">
        <f>SUM(E125:E126)</f>
        <v>0</v>
      </c>
      <c r="F124" s="685"/>
      <c r="G124" s="685"/>
      <c r="H124" s="685"/>
      <c r="I124" s="685"/>
      <c r="J124" s="685"/>
      <c r="K124" s="685"/>
    </row>
    <row r="125" spans="1:11" ht="18.95" customHeight="1">
      <c r="A125" s="685"/>
      <c r="B125" s="635" t="str">
        <v>53</v>
      </c>
      <c r="C125" s="263" t="str">
        <v>G1.6 ÷ G6 (nowe)</v>
      </c>
      <c r="D125" s="6" t="str">
        <f t="shared" si="1"/>
        <v>[szt.]</v>
      </c>
      <c r="E125" s="149"/>
      <c r="F125" s="685"/>
      <c r="G125" s="685"/>
      <c r="H125" s="685"/>
      <c r="I125" s="685"/>
      <c r="J125" s="685"/>
      <c r="K125" s="685"/>
    </row>
    <row r="126" spans="1:11" ht="18.95" customHeight="1">
      <c r="A126" s="685"/>
      <c r="B126" s="640" t="str">
        <v>54</v>
      </c>
      <c r="C126" s="266" t="str">
        <v>G10 ÷ G650 (nowe)</v>
      </c>
      <c r="D126" s="267" t="str">
        <f t="shared" si="1"/>
        <v>[szt.]</v>
      </c>
      <c r="E126" s="268"/>
      <c r="F126" s="685"/>
      <c r="G126" s="685"/>
      <c r="H126" s="685"/>
      <c r="I126" s="685"/>
      <c r="J126" s="685"/>
      <c r="K126" s="685"/>
    </row>
    <row r="127" spans="1:11" ht="18.95" customHeight="1">
      <c r="A127" s="685"/>
      <c r="B127" s="638" t="str">
        <v>55</v>
      </c>
      <c r="C127" s="13" t="str">
        <v>C2. Gazomierze turbinowe</v>
      </c>
      <c r="D127" s="9" t="str">
        <f t="shared" si="1"/>
        <v>[szt.]</v>
      </c>
      <c r="E127" s="152"/>
      <c r="F127" s="685"/>
      <c r="G127" s="685"/>
      <c r="H127" s="685"/>
      <c r="I127" s="685"/>
      <c r="J127" s="685"/>
      <c r="K127" s="685"/>
    </row>
    <row r="128" spans="1:11" ht="18.95" customHeight="1">
      <c r="A128" s="685"/>
      <c r="B128" s="638" t="str">
        <v>56</v>
      </c>
      <c r="C128" s="13" t="str">
        <v>C3. Gazomierze rotorowe</v>
      </c>
      <c r="D128" s="9" t="str">
        <f t="shared" si="1"/>
        <v>[szt.]</v>
      </c>
      <c r="E128" s="152"/>
      <c r="F128" s="685"/>
      <c r="G128" s="685"/>
      <c r="H128" s="685"/>
      <c r="I128" s="685"/>
      <c r="J128" s="685"/>
      <c r="K128" s="685"/>
    </row>
    <row r="129" spans="1:11" ht="18.95" customHeight="1" thickBot="1">
      <c r="A129" s="685"/>
      <c r="B129" s="643" t="str">
        <v>57</v>
      </c>
      <c r="C129" s="16" t="str">
        <v xml:space="preserve">C4. Inne </v>
      </c>
      <c r="D129" s="17" t="str">
        <f t="shared" si="1"/>
        <v>[szt.]</v>
      </c>
      <c r="E129" s="154"/>
      <c r="F129" s="685"/>
      <c r="G129" s="685"/>
      <c r="H129" s="685"/>
      <c r="I129" s="685"/>
      <c r="J129" s="685"/>
      <c r="K129" s="685"/>
    </row>
    <row r="130" spans="1:11" ht="18.95" customHeight="1">
      <c r="A130" s="685"/>
      <c r="B130" s="685"/>
      <c r="C130" s="685"/>
      <c r="D130" s="685"/>
      <c r="E130" s="685"/>
      <c r="F130" s="685"/>
      <c r="G130" s="685"/>
      <c r="H130" s="685"/>
      <c r="I130" s="685"/>
      <c r="J130" s="685"/>
      <c r="K130" s="685"/>
    </row>
    <row r="131" spans="1:11" ht="18.95" customHeight="1">
      <c r="A131" s="685"/>
      <c r="B131" s="685"/>
      <c r="C131" s="685"/>
      <c r="D131" s="685"/>
      <c r="E131" s="685"/>
      <c r="F131" s="685"/>
      <c r="G131" s="685"/>
      <c r="H131" s="685"/>
      <c r="I131" s="685"/>
      <c r="J131" s="685"/>
      <c r="K131" s="685"/>
    </row>
    <row r="132" spans="1:11" ht="30" customHeight="1" thickBot="1">
      <c r="A132" s="685"/>
      <c r="B132" s="695" t="s">
        <v>232</v>
      </c>
      <c r="C132" s="685"/>
      <c r="D132" s="685"/>
      <c r="E132" s="685"/>
      <c r="F132" s="685"/>
      <c r="G132" s="685"/>
      <c r="H132" s="685"/>
      <c r="I132" s="685"/>
      <c r="J132" s="685"/>
      <c r="K132" s="685"/>
    </row>
    <row r="133" spans="1:11" ht="18.95" customHeight="1">
      <c r="A133" s="685"/>
      <c r="B133" s="1035" t="str">
        <f>'Tab.G1.1-4'!$B$8</f>
        <v>LP</v>
      </c>
      <c r="C133" s="1037" t="str">
        <f>'Tab.G1.1-4'!$C$8</f>
        <v>Wyszczególnienie</v>
      </c>
      <c r="D133" s="1038"/>
      <c r="E133" s="627" t="str">
        <f>'Tab.G1.1-4'!$E$8</f>
        <v>Wykonanie</v>
      </c>
      <c r="F133" s="274"/>
      <c r="G133" s="274"/>
      <c r="H133" s="685"/>
      <c r="I133" s="685"/>
      <c r="J133" s="685"/>
      <c r="K133" s="685"/>
    </row>
    <row r="134" spans="1:11" ht="18.95" customHeight="1">
      <c r="A134" s="685"/>
      <c r="B134" s="1036"/>
      <c r="C134" s="1039"/>
      <c r="D134" s="1040"/>
      <c r="E134" s="628">
        <f>Rok_ZPR</f>
        <v>2023</v>
      </c>
      <c r="F134" s="274"/>
      <c r="G134" s="274"/>
      <c r="H134" s="685"/>
      <c r="I134" s="685"/>
      <c r="J134" s="685"/>
      <c r="K134" s="685"/>
    </row>
    <row r="135" spans="1:11" ht="14.1" customHeight="1" thickBot="1">
      <c r="A135" s="685"/>
      <c r="B135" s="644" t="str">
        <f t="array" ref="B135:B191">Tab.G17!$B$10:$B$66</f>
        <v>01</v>
      </c>
      <c r="C135" s="1044" t="str">
        <f>Tab.G17!$B$11</f>
        <v>02</v>
      </c>
      <c r="D135" s="1034"/>
      <c r="E135" s="645" t="str">
        <f>Tab.G17!$B$12</f>
        <v>03</v>
      </c>
      <c r="F135" s="274"/>
      <c r="G135" s="274"/>
      <c r="H135" s="685"/>
      <c r="I135" s="685"/>
      <c r="J135" s="685"/>
      <c r="K135" s="685"/>
    </row>
    <row r="136" spans="1:11" ht="18.95" customHeight="1" thickBot="1">
      <c r="A136" s="685"/>
      <c r="B136" s="641" t="str">
        <v>02</v>
      </c>
      <c r="C136" s="706" t="str">
        <f t="array" ref="C136:C191">$C$12:$C$67</f>
        <v>A. GAZOCIĄGI DYSTRYBUCYJNE, Z TEGO:</v>
      </c>
      <c r="D136" s="707" t="str">
        <f>"[tys. zł/km]"</f>
        <v>[tys. zł/km]</v>
      </c>
      <c r="E136" s="708" t="str">
        <f t="array" ref="E136:E191">IFERROR($E$12:$E$67/$E$74:$E$129,"")</f>
        <v/>
      </c>
      <c r="F136" s="274"/>
      <c r="G136" s="274"/>
      <c r="H136" s="685"/>
      <c r="I136" s="685"/>
      <c r="J136" s="685"/>
      <c r="K136" s="685"/>
    </row>
    <row r="137" spans="1:11" ht="18.95" customHeight="1" thickBot="1">
      <c r="A137" s="685"/>
      <c r="B137" s="633" t="str">
        <v>03</v>
      </c>
      <c r="C137" s="3" t="str">
        <v>A1. Gazociągi wysokiego i podyższonego średniego ciśnienia</v>
      </c>
      <c r="D137" s="4" t="str">
        <f t="shared" ref="D137:D142" si="2">$D$136</f>
        <v>[tys. zł/km]</v>
      </c>
      <c r="E137" s="147" t="str">
        <v/>
      </c>
      <c r="F137" s="274"/>
      <c r="G137" s="274"/>
      <c r="H137" s="685"/>
      <c r="I137" s="685"/>
      <c r="J137" s="685"/>
      <c r="K137" s="685"/>
    </row>
    <row r="138" spans="1:11" ht="18.95" customHeight="1">
      <c r="A138" s="685"/>
      <c r="B138" s="634" t="str">
        <v>04</v>
      </c>
      <c r="C138" s="258" t="str">
        <v>ze stali</v>
      </c>
      <c r="D138" s="5" t="str">
        <f t="shared" si="2"/>
        <v>[tys. zł/km]</v>
      </c>
      <c r="E138" s="148" t="str">
        <v/>
      </c>
      <c r="F138" s="274"/>
      <c r="G138" s="274"/>
      <c r="H138" s="685"/>
      <c r="I138" s="685"/>
      <c r="J138" s="685"/>
      <c r="K138" s="685"/>
    </row>
    <row r="139" spans="1:11" ht="18.95" customHeight="1">
      <c r="A139" s="685"/>
      <c r="B139" s="635" t="str">
        <v>05</v>
      </c>
      <c r="C139" s="260" t="str">
        <v>300 &lt; DN[mm]</v>
      </c>
      <c r="D139" s="6" t="str">
        <f t="shared" si="2"/>
        <v>[tys. zł/km]</v>
      </c>
      <c r="E139" s="149" t="str">
        <v/>
      </c>
      <c r="F139" s="274"/>
      <c r="G139" s="274"/>
      <c r="H139" s="685"/>
      <c r="I139" s="685"/>
      <c r="J139" s="685"/>
      <c r="K139" s="685"/>
    </row>
    <row r="140" spans="1:11" ht="18.95" customHeight="1">
      <c r="A140" s="685"/>
      <c r="B140" s="636" t="str">
        <v>06</v>
      </c>
      <c r="C140" s="261" t="str">
        <v>200 &lt; DN[mm] ≤ 300</v>
      </c>
      <c r="D140" s="7" t="str">
        <f t="shared" si="2"/>
        <v>[tys. zł/km]</v>
      </c>
      <c r="E140" s="150" t="str">
        <v/>
      </c>
      <c r="F140" s="274"/>
      <c r="G140" s="274"/>
      <c r="H140" s="685"/>
      <c r="I140" s="685"/>
      <c r="J140" s="685"/>
      <c r="K140" s="685"/>
    </row>
    <row r="141" spans="1:11" ht="18.95" customHeight="1">
      <c r="A141" s="685"/>
      <c r="B141" s="636" t="str">
        <v>07</v>
      </c>
      <c r="C141" s="261" t="str">
        <v>100 &lt; DN[mm] ≤ 200</v>
      </c>
      <c r="D141" s="7" t="str">
        <f t="shared" si="2"/>
        <v>[tys. zł/km]</v>
      </c>
      <c r="E141" s="150" t="str">
        <v/>
      </c>
      <c r="F141" s="274"/>
      <c r="G141" s="274"/>
      <c r="H141" s="685"/>
      <c r="I141" s="685"/>
      <c r="J141" s="685"/>
      <c r="K141" s="685"/>
    </row>
    <row r="142" spans="1:11" ht="18.95" customHeight="1">
      <c r="A142" s="685"/>
      <c r="B142" s="637" t="str">
        <v>08</v>
      </c>
      <c r="C142" s="264" t="str">
        <v>DN[mm] ≤ 100</v>
      </c>
      <c r="D142" s="8" t="str">
        <f t="shared" si="2"/>
        <v>[tys. zł/km]</v>
      </c>
      <c r="E142" s="151" t="str">
        <v/>
      </c>
      <c r="F142" s="274"/>
      <c r="G142" s="274"/>
      <c r="H142" s="685"/>
      <c r="I142" s="685"/>
      <c r="J142" s="685"/>
      <c r="K142" s="685"/>
    </row>
    <row r="143" spans="1:11" ht="18.95" customHeight="1">
      <c r="A143" s="685"/>
      <c r="B143" s="638" t="str">
        <v>09</v>
      </c>
      <c r="C143" s="259" t="str">
        <v>z tworzyw sztucznych (np. polietylenu)</v>
      </c>
      <c r="D143" s="9" t="s">
        <v>91</v>
      </c>
      <c r="E143" s="152" t="str">
        <v/>
      </c>
      <c r="F143" s="274"/>
      <c r="G143" s="274"/>
      <c r="H143" s="685"/>
      <c r="I143" s="685"/>
      <c r="J143" s="685"/>
      <c r="K143" s="685"/>
    </row>
    <row r="144" spans="1:11" ht="18.95" customHeight="1">
      <c r="A144" s="685"/>
      <c r="B144" s="635" t="str">
        <v>10</v>
      </c>
      <c r="C144" s="260" t="str">
        <v>300 &lt; DN[mm]</v>
      </c>
      <c r="D144" s="6" t="str">
        <f t="shared" ref="D144:D149" si="3">$D$136</f>
        <v>[tys. zł/km]</v>
      </c>
      <c r="E144" s="149" t="str">
        <v/>
      </c>
      <c r="F144" s="274"/>
      <c r="G144" s="274"/>
      <c r="H144" s="685"/>
      <c r="I144" s="685"/>
      <c r="J144" s="685"/>
      <c r="K144" s="685"/>
    </row>
    <row r="145" spans="1:11" ht="18.95" customHeight="1">
      <c r="A145" s="685"/>
      <c r="B145" s="636" t="str">
        <v>11</v>
      </c>
      <c r="C145" s="261" t="str">
        <v>200 &lt; DN[mm] ≤ 300</v>
      </c>
      <c r="D145" s="7" t="str">
        <f t="shared" si="3"/>
        <v>[tys. zł/km]</v>
      </c>
      <c r="E145" s="150" t="str">
        <v/>
      </c>
      <c r="F145" s="274"/>
      <c r="G145" s="274"/>
      <c r="H145" s="685"/>
      <c r="I145" s="685"/>
      <c r="J145" s="685"/>
      <c r="K145" s="685"/>
    </row>
    <row r="146" spans="1:11" ht="18.95" customHeight="1">
      <c r="A146" s="685"/>
      <c r="B146" s="636" t="str">
        <v>12</v>
      </c>
      <c r="C146" s="261" t="str">
        <v>100 &lt; DN[mm] ≤ 200</v>
      </c>
      <c r="D146" s="7" t="str">
        <f t="shared" si="3"/>
        <v>[tys. zł/km]</v>
      </c>
      <c r="E146" s="150" t="str">
        <v/>
      </c>
      <c r="F146" s="274"/>
      <c r="G146" s="274"/>
      <c r="H146" s="685"/>
      <c r="I146" s="685"/>
      <c r="J146" s="685"/>
      <c r="K146" s="685"/>
    </row>
    <row r="147" spans="1:11" ht="18.95" customHeight="1" thickBot="1">
      <c r="A147" s="685"/>
      <c r="B147" s="639" t="str">
        <v>13</v>
      </c>
      <c r="C147" s="265" t="str">
        <v>DN[mm] ≤ 100</v>
      </c>
      <c r="D147" s="10" t="str">
        <f t="shared" si="3"/>
        <v>[tys. zł/km]</v>
      </c>
      <c r="E147" s="153" t="str">
        <v/>
      </c>
      <c r="F147" s="274"/>
      <c r="G147" s="274"/>
      <c r="H147" s="685"/>
      <c r="I147" s="685"/>
      <c r="J147" s="685"/>
      <c r="K147" s="685"/>
    </row>
    <row r="148" spans="1:11" ht="18.95" customHeight="1" thickBot="1">
      <c r="A148" s="685"/>
      <c r="B148" s="633" t="str">
        <v>14</v>
      </c>
      <c r="C148" s="11" t="str">
        <v>A2. Gazociągi średniego i niskiego ciśnienia</v>
      </c>
      <c r="D148" s="4" t="str">
        <f t="shared" si="3"/>
        <v>[tys. zł/km]</v>
      </c>
      <c r="E148" s="147" t="str">
        <v/>
      </c>
      <c r="F148" s="274"/>
      <c r="G148" s="274"/>
      <c r="H148" s="685"/>
      <c r="I148" s="685"/>
      <c r="J148" s="685"/>
      <c r="K148" s="685"/>
    </row>
    <row r="149" spans="1:11" ht="18.95" customHeight="1">
      <c r="A149" s="685"/>
      <c r="B149" s="634" t="str">
        <v>15</v>
      </c>
      <c r="C149" s="258" t="str">
        <v>ze stali</v>
      </c>
      <c r="D149" s="5" t="str">
        <f t="shared" si="3"/>
        <v>[tys. zł/km]</v>
      </c>
      <c r="E149" s="148" t="str">
        <v/>
      </c>
      <c r="F149" s="274"/>
      <c r="G149" s="274"/>
      <c r="H149" s="685"/>
      <c r="I149" s="685"/>
      <c r="J149" s="685"/>
      <c r="K149" s="685"/>
    </row>
    <row r="150" spans="1:11" ht="18.95" customHeight="1">
      <c r="A150" s="685"/>
      <c r="B150" s="635" t="str">
        <v>16</v>
      </c>
      <c r="C150" s="260" t="str">
        <v>200 &lt; DN[mm]</v>
      </c>
      <c r="D150" s="6" t="s">
        <v>91</v>
      </c>
      <c r="E150" s="149" t="str">
        <v/>
      </c>
      <c r="F150" s="274"/>
      <c r="G150" s="274"/>
      <c r="H150" s="685"/>
      <c r="I150" s="685"/>
      <c r="J150" s="685"/>
      <c r="K150" s="685"/>
    </row>
    <row r="151" spans="1:11" ht="18.95" customHeight="1">
      <c r="A151" s="685"/>
      <c r="B151" s="636" t="str">
        <v>17</v>
      </c>
      <c r="C151" s="261" t="str">
        <v>100 &lt; DN[mm] ≤ 200</v>
      </c>
      <c r="D151" s="7" t="str">
        <f t="shared" ref="D151:D156" si="4">$D$136</f>
        <v>[tys. zł/km]</v>
      </c>
      <c r="E151" s="150" t="str">
        <v/>
      </c>
      <c r="F151" s="274"/>
      <c r="G151" s="274"/>
      <c r="H151" s="685"/>
      <c r="I151" s="685"/>
      <c r="J151" s="685"/>
      <c r="K151" s="685"/>
    </row>
    <row r="152" spans="1:11" ht="18.95" customHeight="1">
      <c r="A152" s="685"/>
      <c r="B152" s="636" t="str">
        <v>18</v>
      </c>
      <c r="C152" s="262" t="str">
        <v>63 &lt; DN[mm] ≤ 100</v>
      </c>
      <c r="D152" s="7" t="str">
        <f t="shared" si="4"/>
        <v>[tys. zł/km]</v>
      </c>
      <c r="E152" s="150" t="str">
        <v/>
      </c>
      <c r="F152" s="274"/>
      <c r="G152" s="274"/>
      <c r="H152" s="685"/>
      <c r="I152" s="685"/>
      <c r="J152" s="685"/>
      <c r="K152" s="685"/>
    </row>
    <row r="153" spans="1:11" ht="18.95" customHeight="1">
      <c r="A153" s="685"/>
      <c r="B153" s="637" t="str">
        <v>19</v>
      </c>
      <c r="C153" s="264" t="str">
        <v>DN[mm] ≤ 63</v>
      </c>
      <c r="D153" s="8" t="str">
        <f t="shared" si="4"/>
        <v>[tys. zł/km]</v>
      </c>
      <c r="E153" s="151" t="str">
        <v/>
      </c>
      <c r="F153" s="274"/>
      <c r="G153" s="274"/>
      <c r="H153" s="685"/>
      <c r="I153" s="685"/>
      <c r="J153" s="685"/>
      <c r="K153" s="685"/>
    </row>
    <row r="154" spans="1:11" ht="18.95" customHeight="1">
      <c r="A154" s="685"/>
      <c r="B154" s="638" t="str">
        <v>20</v>
      </c>
      <c r="C154" s="259" t="str">
        <v>z tworzyw sztucznych (np. polietylenu)</v>
      </c>
      <c r="D154" s="9" t="str">
        <f t="shared" si="4"/>
        <v>[tys. zł/km]</v>
      </c>
      <c r="E154" s="152" t="str">
        <v/>
      </c>
      <c r="F154" s="274"/>
      <c r="G154" s="274"/>
      <c r="H154" s="685"/>
      <c r="I154" s="685"/>
      <c r="J154" s="685"/>
      <c r="K154" s="685"/>
    </row>
    <row r="155" spans="1:11" ht="18.95" customHeight="1">
      <c r="A155" s="685"/>
      <c r="B155" s="635" t="str">
        <v>21</v>
      </c>
      <c r="C155" s="260" t="str">
        <v>200 &lt; DN[mm]</v>
      </c>
      <c r="D155" s="6" t="str">
        <f t="shared" si="4"/>
        <v>[tys. zł/km]</v>
      </c>
      <c r="E155" s="149" t="str">
        <v/>
      </c>
      <c r="F155" s="274"/>
      <c r="G155" s="274"/>
      <c r="H155" s="685"/>
      <c r="I155" s="685"/>
      <c r="J155" s="685"/>
      <c r="K155" s="685"/>
    </row>
    <row r="156" spans="1:11" ht="18.95" customHeight="1">
      <c r="A156" s="685"/>
      <c r="B156" s="636" t="str">
        <v>22</v>
      </c>
      <c r="C156" s="261" t="str">
        <v>100 &lt; DN[mm] ≤ 200</v>
      </c>
      <c r="D156" s="7" t="str">
        <f t="shared" si="4"/>
        <v>[tys. zł/km]</v>
      </c>
      <c r="E156" s="150" t="str">
        <v/>
      </c>
      <c r="F156" s="274"/>
      <c r="G156" s="274"/>
      <c r="H156" s="685"/>
      <c r="I156" s="685"/>
      <c r="J156" s="685"/>
      <c r="K156" s="685"/>
    </row>
    <row r="157" spans="1:11" ht="18.95" customHeight="1">
      <c r="A157" s="685"/>
      <c r="B157" s="636" t="str">
        <v>23</v>
      </c>
      <c r="C157" s="262" t="str">
        <v>63 &lt; DN[mm] ≤ 100</v>
      </c>
      <c r="D157" s="7" t="s">
        <v>91</v>
      </c>
      <c r="E157" s="150" t="str">
        <v/>
      </c>
      <c r="F157" s="274"/>
      <c r="G157" s="274"/>
      <c r="H157" s="685"/>
      <c r="I157" s="685"/>
      <c r="J157" s="685"/>
      <c r="K157" s="685"/>
    </row>
    <row r="158" spans="1:11" ht="18.95" customHeight="1" thickBot="1">
      <c r="A158" s="685"/>
      <c r="B158" s="639" t="str">
        <v>24</v>
      </c>
      <c r="C158" s="265" t="str">
        <v>DN[mm] ≤ 63</v>
      </c>
      <c r="D158" s="10" t="str">
        <f t="shared" ref="D158:D163" si="5">$D$136</f>
        <v>[tys. zł/km]</v>
      </c>
      <c r="E158" s="153" t="str">
        <v/>
      </c>
      <c r="F158" s="274"/>
      <c r="G158" s="274"/>
      <c r="H158" s="685"/>
      <c r="I158" s="685"/>
      <c r="J158" s="685"/>
      <c r="K158" s="685"/>
    </row>
    <row r="159" spans="1:11" ht="18.95" customHeight="1" thickBot="1">
      <c r="A159" s="685"/>
      <c r="B159" s="633" t="str">
        <v>25</v>
      </c>
      <c r="C159" s="11" t="str">
        <v>A3. przyłącza</v>
      </c>
      <c r="D159" s="4" t="str">
        <f t="shared" si="5"/>
        <v>[tys. zł/km]</v>
      </c>
      <c r="E159" s="147" t="str">
        <v/>
      </c>
      <c r="F159" s="274"/>
      <c r="G159" s="274"/>
      <c r="H159" s="685"/>
      <c r="I159" s="685"/>
      <c r="J159" s="685"/>
      <c r="K159" s="685"/>
    </row>
    <row r="160" spans="1:11" ht="18.95" customHeight="1">
      <c r="A160" s="685"/>
      <c r="B160" s="634" t="str">
        <v>26</v>
      </c>
      <c r="C160" s="258" t="str">
        <v>ze stali</v>
      </c>
      <c r="D160" s="5" t="str">
        <f t="shared" si="5"/>
        <v>[tys. zł/km]</v>
      </c>
      <c r="E160" s="148" t="str">
        <v/>
      </c>
      <c r="F160" s="274"/>
      <c r="G160" s="274"/>
      <c r="H160" s="685"/>
      <c r="I160" s="685"/>
      <c r="J160" s="685"/>
      <c r="K160" s="685"/>
    </row>
    <row r="161" spans="1:11" ht="18.95" customHeight="1">
      <c r="A161" s="685"/>
      <c r="B161" s="635" t="str">
        <v>27</v>
      </c>
      <c r="C161" s="260" t="str">
        <v>100 &lt; DN[mm]</v>
      </c>
      <c r="D161" s="6" t="str">
        <f t="shared" si="5"/>
        <v>[tys. zł/km]</v>
      </c>
      <c r="E161" s="149" t="str">
        <v/>
      </c>
      <c r="F161" s="274"/>
      <c r="G161" s="274"/>
      <c r="H161" s="685"/>
      <c r="I161" s="685"/>
      <c r="J161" s="685"/>
      <c r="K161" s="685"/>
    </row>
    <row r="162" spans="1:11" ht="18.95" customHeight="1">
      <c r="A162" s="685"/>
      <c r="B162" s="636" t="str">
        <v>28</v>
      </c>
      <c r="C162" s="262" t="str">
        <v>63 &lt; DN[mm] ≤ 100</v>
      </c>
      <c r="D162" s="7" t="str">
        <f t="shared" si="5"/>
        <v>[tys. zł/km]</v>
      </c>
      <c r="E162" s="150" t="str">
        <v/>
      </c>
      <c r="F162" s="274"/>
      <c r="G162" s="274"/>
      <c r="H162" s="685"/>
      <c r="I162" s="685"/>
      <c r="J162" s="685"/>
      <c r="K162" s="685"/>
    </row>
    <row r="163" spans="1:11" ht="18.95" customHeight="1">
      <c r="A163" s="685"/>
      <c r="B163" s="636" t="str">
        <v>29</v>
      </c>
      <c r="C163" s="262" t="str">
        <v>32 &lt; DN[mm] ≤ 63</v>
      </c>
      <c r="D163" s="7" t="str">
        <f t="shared" si="5"/>
        <v>[tys. zł/km]</v>
      </c>
      <c r="E163" s="150" t="str">
        <v/>
      </c>
      <c r="F163" s="274"/>
      <c r="G163" s="274"/>
      <c r="H163" s="685"/>
      <c r="I163" s="685"/>
      <c r="J163" s="685"/>
      <c r="K163" s="685"/>
    </row>
    <row r="164" spans="1:11" ht="18.95" customHeight="1">
      <c r="A164" s="685"/>
      <c r="B164" s="637" t="str">
        <v>30</v>
      </c>
      <c r="C164" s="269" t="str">
        <v>DN[mm] ≤ 32</v>
      </c>
      <c r="D164" s="8" t="s">
        <v>91</v>
      </c>
      <c r="E164" s="151" t="str">
        <v/>
      </c>
      <c r="F164" s="274"/>
      <c r="G164" s="274"/>
      <c r="H164" s="685"/>
      <c r="I164" s="685"/>
      <c r="J164" s="685"/>
      <c r="K164" s="685"/>
    </row>
    <row r="165" spans="1:11" ht="18.95" customHeight="1">
      <c r="A165" s="685"/>
      <c r="B165" s="638" t="str">
        <v>31</v>
      </c>
      <c r="C165" s="259" t="str">
        <v>z tworzyw sztucznych (np. polietylenu)</v>
      </c>
      <c r="D165" s="9" t="str">
        <f>$D$136</f>
        <v>[tys. zł/km]</v>
      </c>
      <c r="E165" s="152" t="str">
        <v/>
      </c>
      <c r="F165" s="274"/>
      <c r="G165" s="274"/>
      <c r="H165" s="685"/>
      <c r="I165" s="685"/>
      <c r="J165" s="685"/>
      <c r="K165" s="685"/>
    </row>
    <row r="166" spans="1:11" ht="18.95" customHeight="1">
      <c r="A166" s="685"/>
      <c r="B166" s="635" t="str">
        <v>32</v>
      </c>
      <c r="C166" s="260" t="str">
        <v>100 &lt; DN[mm]</v>
      </c>
      <c r="D166" s="6" t="str">
        <f>$D$136</f>
        <v>[tys. zł/km]</v>
      </c>
      <c r="E166" s="149" t="str">
        <v/>
      </c>
      <c r="F166" s="274"/>
      <c r="G166" s="274"/>
      <c r="H166" s="685"/>
      <c r="I166" s="685"/>
      <c r="J166" s="685"/>
      <c r="K166" s="685"/>
    </row>
    <row r="167" spans="1:11" ht="18.95" customHeight="1">
      <c r="A167" s="685"/>
      <c r="B167" s="636" t="str">
        <v>33</v>
      </c>
      <c r="C167" s="262" t="str">
        <v>63 &lt; DN[mm] ≤ 100</v>
      </c>
      <c r="D167" s="7" t="str">
        <f>$D$136</f>
        <v>[tys. zł/km]</v>
      </c>
      <c r="E167" s="150" t="str">
        <v/>
      </c>
      <c r="F167" s="274"/>
      <c r="G167" s="274"/>
      <c r="H167" s="685"/>
      <c r="I167" s="685"/>
      <c r="J167" s="685"/>
      <c r="K167" s="685"/>
    </row>
    <row r="168" spans="1:11" ht="18.95" customHeight="1">
      <c r="A168" s="685"/>
      <c r="B168" s="636" t="str">
        <v>34</v>
      </c>
      <c r="C168" s="262" t="str">
        <v>32 &lt; DN[mm] ≤ 63</v>
      </c>
      <c r="D168" s="7" t="str">
        <f>$D$136</f>
        <v>[tys. zł/km]</v>
      </c>
      <c r="E168" s="150" t="str">
        <v/>
      </c>
      <c r="F168" s="274"/>
      <c r="G168" s="274"/>
      <c r="H168" s="685"/>
      <c r="I168" s="685"/>
      <c r="J168" s="685"/>
      <c r="K168" s="685"/>
    </row>
    <row r="169" spans="1:11" ht="18.95" customHeight="1" thickBot="1">
      <c r="A169" s="685"/>
      <c r="B169" s="639" t="str">
        <v>35</v>
      </c>
      <c r="C169" s="269" t="str">
        <v>DN[mm] ≤ 32</v>
      </c>
      <c r="D169" s="10" t="s">
        <v>91</v>
      </c>
      <c r="E169" s="153" t="str">
        <v/>
      </c>
      <c r="F169" s="274"/>
      <c r="G169" s="274"/>
      <c r="H169" s="685"/>
      <c r="I169" s="685"/>
      <c r="J169" s="685"/>
      <c r="K169" s="685"/>
    </row>
    <row r="170" spans="1:11" ht="18.95" customHeight="1" thickBot="1">
      <c r="A170" s="685"/>
      <c r="B170" s="641" t="str">
        <v>36</v>
      </c>
      <c r="C170" s="1" t="str">
        <v>B. STACJE GAZOWE, TŁOCZNIE I WĘZŁY</v>
      </c>
      <c r="D170" s="2" t="str">
        <f>"[tys. zł/szt.]"</f>
        <v>[tys. zł/szt.]</v>
      </c>
      <c r="E170" s="146" t="str">
        <v/>
      </c>
      <c r="F170" s="274"/>
      <c r="G170" s="274"/>
      <c r="H170" s="685"/>
      <c r="I170" s="685"/>
      <c r="J170" s="685"/>
      <c r="K170" s="685"/>
    </row>
    <row r="171" spans="1:11" ht="18.95" customHeight="1">
      <c r="A171" s="685"/>
      <c r="B171" s="634" t="str">
        <v>37</v>
      </c>
      <c r="C171" s="12" t="str">
        <v>B1. stacje redukcyjno-pomiarowe I°</v>
      </c>
      <c r="D171" s="5" t="str">
        <f t="shared" ref="D171:D191" si="6">$D$170</f>
        <v>[tys. zł/szt.]</v>
      </c>
      <c r="E171" s="148" t="str">
        <v/>
      </c>
      <c r="F171" s="274"/>
      <c r="G171" s="274"/>
      <c r="H171" s="685"/>
      <c r="I171" s="685"/>
      <c r="J171" s="685"/>
      <c r="K171" s="685"/>
    </row>
    <row r="172" spans="1:11" ht="18.95" customHeight="1">
      <c r="A172" s="685"/>
      <c r="B172" s="635" t="str">
        <v>38</v>
      </c>
      <c r="C172" s="260" t="str">
        <v>3000 &lt; Q[m³/h]</v>
      </c>
      <c r="D172" s="6" t="str">
        <f t="shared" si="6"/>
        <v>[tys. zł/szt.]</v>
      </c>
      <c r="E172" s="149" t="str">
        <v/>
      </c>
      <c r="F172" s="274"/>
      <c r="G172" s="274"/>
      <c r="H172" s="685"/>
      <c r="I172" s="685"/>
      <c r="J172" s="685"/>
      <c r="K172" s="685"/>
    </row>
    <row r="173" spans="1:11" ht="18.95" customHeight="1">
      <c r="A173" s="685"/>
      <c r="B173" s="636" t="str">
        <v>39</v>
      </c>
      <c r="C173" s="261" t="str">
        <v>1000 &lt; Q[m³/h] ≤ 3000</v>
      </c>
      <c r="D173" s="7" t="str">
        <f t="shared" si="6"/>
        <v>[tys. zł/szt.]</v>
      </c>
      <c r="E173" s="150" t="str">
        <v/>
      </c>
      <c r="F173" s="274"/>
      <c r="G173" s="274"/>
      <c r="H173" s="685"/>
      <c r="I173" s="685"/>
      <c r="J173" s="685"/>
      <c r="K173" s="685"/>
    </row>
    <row r="174" spans="1:11" ht="18.95" customHeight="1">
      <c r="A174" s="685"/>
      <c r="B174" s="637" t="str">
        <v>40</v>
      </c>
      <c r="C174" s="269" t="str">
        <v>Q[m³/h] ≤ 1000</v>
      </c>
      <c r="D174" s="8" t="str">
        <f t="shared" si="6"/>
        <v>[tys. zł/szt.]</v>
      </c>
      <c r="E174" s="151" t="str">
        <v/>
      </c>
      <c r="F174" s="274"/>
      <c r="G174" s="274"/>
      <c r="H174" s="685"/>
      <c r="I174" s="685"/>
      <c r="J174" s="685"/>
      <c r="K174" s="685"/>
    </row>
    <row r="175" spans="1:11" ht="18.95" customHeight="1">
      <c r="A175" s="685"/>
      <c r="B175" s="638" t="str">
        <v>41</v>
      </c>
      <c r="C175" s="13" t="str">
        <v>B2. stacje redukcyjno-pomiarowe II°</v>
      </c>
      <c r="D175" s="9" t="str">
        <f t="shared" si="6"/>
        <v>[tys. zł/szt.]</v>
      </c>
      <c r="E175" s="152" t="str">
        <v/>
      </c>
      <c r="F175" s="274"/>
      <c r="G175" s="274"/>
      <c r="H175" s="685"/>
      <c r="I175" s="685"/>
      <c r="J175" s="685"/>
      <c r="K175" s="685"/>
    </row>
    <row r="176" spans="1:11" ht="18.95" customHeight="1">
      <c r="A176" s="685"/>
      <c r="B176" s="635" t="str">
        <v>42</v>
      </c>
      <c r="C176" s="260" t="str">
        <v>1000 &lt; Q[m³/h]</v>
      </c>
      <c r="D176" s="6" t="str">
        <f t="shared" si="6"/>
        <v>[tys. zł/szt.]</v>
      </c>
      <c r="E176" s="149" t="str">
        <v/>
      </c>
      <c r="F176" s="274"/>
      <c r="G176" s="274"/>
      <c r="H176" s="685"/>
      <c r="I176" s="685"/>
      <c r="J176" s="685"/>
      <c r="K176" s="685"/>
    </row>
    <row r="177" spans="1:11" ht="18.95" customHeight="1">
      <c r="A177" s="685"/>
      <c r="B177" s="636" t="str">
        <v>43</v>
      </c>
      <c r="C177" s="262" t="str">
        <v>300 &lt; Q[m³/h] ≤ 1000</v>
      </c>
      <c r="D177" s="7" t="str">
        <f t="shared" si="6"/>
        <v>[tys. zł/szt.]</v>
      </c>
      <c r="E177" s="150" t="str">
        <v/>
      </c>
      <c r="F177" s="274"/>
      <c r="G177" s="274"/>
      <c r="H177" s="685"/>
      <c r="I177" s="685"/>
      <c r="J177" s="685"/>
      <c r="K177" s="685"/>
    </row>
    <row r="178" spans="1:11" ht="18.95" customHeight="1">
      <c r="A178" s="685"/>
      <c r="B178" s="637" t="str">
        <v>44</v>
      </c>
      <c r="C178" s="269" t="str">
        <v>Q[m³/h] ≤ 300</v>
      </c>
      <c r="D178" s="8" t="str">
        <f t="shared" si="6"/>
        <v>[tys. zł/szt.]</v>
      </c>
      <c r="E178" s="151" t="str">
        <v/>
      </c>
      <c r="F178" s="274"/>
      <c r="G178" s="274"/>
      <c r="H178" s="685"/>
      <c r="I178" s="685"/>
      <c r="J178" s="685"/>
      <c r="K178" s="685"/>
    </row>
    <row r="179" spans="1:11" ht="18.95" customHeight="1">
      <c r="A179" s="685"/>
      <c r="B179" s="638" t="str">
        <v>45</v>
      </c>
      <c r="C179" s="13" t="str">
        <v>B3. stacje LNG</v>
      </c>
      <c r="D179" s="9" t="str">
        <f t="shared" si="6"/>
        <v>[tys. zł/szt.]</v>
      </c>
      <c r="E179" s="152" t="str">
        <v/>
      </c>
      <c r="F179" s="274"/>
      <c r="G179" s="274"/>
      <c r="H179" s="685"/>
      <c r="I179" s="685"/>
      <c r="J179" s="685"/>
      <c r="K179" s="685"/>
    </row>
    <row r="180" spans="1:11" ht="18.95" customHeight="1">
      <c r="A180" s="685"/>
      <c r="B180" s="635" t="str">
        <v>46</v>
      </c>
      <c r="C180" s="260" t="str">
        <v>1000 &lt; Q[m³/h]</v>
      </c>
      <c r="D180" s="6" t="str">
        <f t="shared" si="6"/>
        <v>[tys. zł/szt.]</v>
      </c>
      <c r="E180" s="149" t="str">
        <v/>
      </c>
      <c r="F180" s="274"/>
      <c r="G180" s="274"/>
      <c r="H180" s="685"/>
      <c r="I180" s="685"/>
      <c r="J180" s="685"/>
      <c r="K180" s="685"/>
    </row>
    <row r="181" spans="1:11" ht="18.95" customHeight="1">
      <c r="A181" s="685"/>
      <c r="B181" s="636" t="str">
        <v>47</v>
      </c>
      <c r="C181" s="262" t="str">
        <v>300 &lt; Q[m³/h] ≤ 1000</v>
      </c>
      <c r="D181" s="7" t="str">
        <f t="shared" si="6"/>
        <v>[tys. zł/szt.]</v>
      </c>
      <c r="E181" s="150" t="str">
        <v/>
      </c>
      <c r="F181" s="274"/>
      <c r="G181" s="274"/>
      <c r="H181" s="685"/>
      <c r="I181" s="685"/>
      <c r="J181" s="685"/>
      <c r="K181" s="685"/>
    </row>
    <row r="182" spans="1:11" ht="18.95" customHeight="1">
      <c r="A182" s="685"/>
      <c r="B182" s="637" t="str">
        <v>48</v>
      </c>
      <c r="C182" s="269" t="str">
        <v>Q[m³/h] ≤ 300</v>
      </c>
      <c r="D182" s="8" t="str">
        <f t="shared" si="6"/>
        <v>[tys. zł/szt.]</v>
      </c>
      <c r="E182" s="151" t="str">
        <v/>
      </c>
      <c r="F182" s="274"/>
      <c r="G182" s="274"/>
      <c r="H182" s="685"/>
      <c r="I182" s="685"/>
      <c r="J182" s="685"/>
      <c r="K182" s="685"/>
    </row>
    <row r="183" spans="1:11" ht="18.95" customHeight="1">
      <c r="A183" s="685"/>
      <c r="B183" s="642" t="str">
        <v>49</v>
      </c>
      <c r="C183" s="14" t="str">
        <v>B4. tłocznie gazu</v>
      </c>
      <c r="D183" s="15" t="str">
        <f t="shared" si="6"/>
        <v>[tys. zł/szt.]</v>
      </c>
      <c r="E183" s="152" t="str">
        <v/>
      </c>
      <c r="F183" s="274"/>
      <c r="G183" s="274"/>
      <c r="H183" s="685"/>
      <c r="I183" s="685"/>
      <c r="J183" s="685"/>
      <c r="K183" s="685"/>
    </row>
    <row r="184" spans="1:11" ht="18.95" customHeight="1" thickBot="1">
      <c r="A184" s="685"/>
      <c r="B184" s="643" t="str">
        <v>50</v>
      </c>
      <c r="C184" s="16" t="str">
        <v>B5. węzły</v>
      </c>
      <c r="D184" s="17" t="str">
        <f t="shared" si="6"/>
        <v>[tys. zł/szt.]</v>
      </c>
      <c r="E184" s="154" t="str">
        <v/>
      </c>
      <c r="F184" s="274"/>
      <c r="G184" s="274"/>
      <c r="H184" s="685"/>
      <c r="I184" s="685"/>
      <c r="J184" s="685"/>
      <c r="K184" s="685"/>
    </row>
    <row r="185" spans="1:11" ht="18.95" customHeight="1" thickBot="1">
      <c r="A185" s="685"/>
      <c r="B185" s="641" t="str">
        <v>51</v>
      </c>
      <c r="C185" s="1" t="str">
        <v>C. GAZOMIERZE I UKŁADY POMIAROWE</v>
      </c>
      <c r="D185" s="2" t="str">
        <f t="shared" si="6"/>
        <v>[tys. zł/szt.]</v>
      </c>
      <c r="E185" s="146" t="str">
        <v/>
      </c>
      <c r="F185" s="685"/>
      <c r="G185" s="685"/>
      <c r="H185" s="685"/>
      <c r="I185" s="685"/>
      <c r="J185" s="685"/>
      <c r="K185" s="685"/>
    </row>
    <row r="186" spans="1:11" ht="18.95" customHeight="1">
      <c r="A186" s="685"/>
      <c r="B186" s="634" t="str">
        <v>52</v>
      </c>
      <c r="C186" s="12" t="str">
        <v>C1. Gazomierze miechowe</v>
      </c>
      <c r="D186" s="5" t="str">
        <f t="shared" si="6"/>
        <v>[tys. zł/szt.]</v>
      </c>
      <c r="E186" s="148" t="str">
        <v/>
      </c>
      <c r="F186" s="685"/>
      <c r="G186" s="685"/>
      <c r="H186" s="685"/>
      <c r="I186" s="685"/>
      <c r="J186" s="685"/>
      <c r="K186" s="685"/>
    </row>
    <row r="187" spans="1:11" ht="18.95" customHeight="1">
      <c r="A187" s="685"/>
      <c r="B187" s="635" t="str">
        <v>53</v>
      </c>
      <c r="C187" s="263" t="str">
        <v>G1.6 ÷ G6 (nowe)</v>
      </c>
      <c r="D187" s="6" t="str">
        <f t="shared" si="6"/>
        <v>[tys. zł/szt.]</v>
      </c>
      <c r="E187" s="149" t="str">
        <v/>
      </c>
      <c r="F187" s="685"/>
      <c r="G187" s="685"/>
      <c r="H187" s="685"/>
      <c r="I187" s="685"/>
      <c r="J187" s="685"/>
      <c r="K187" s="685"/>
    </row>
    <row r="188" spans="1:11" ht="18.95" customHeight="1">
      <c r="A188" s="685"/>
      <c r="B188" s="640" t="str">
        <v>54</v>
      </c>
      <c r="C188" s="266" t="str">
        <v>G10 ÷ G650 (nowe)</v>
      </c>
      <c r="D188" s="267" t="str">
        <f t="shared" si="6"/>
        <v>[tys. zł/szt.]</v>
      </c>
      <c r="E188" s="268" t="str">
        <v/>
      </c>
      <c r="F188" s="685"/>
      <c r="G188" s="685"/>
      <c r="H188" s="685"/>
      <c r="I188" s="685"/>
      <c r="J188" s="685"/>
      <c r="K188" s="685"/>
    </row>
    <row r="189" spans="1:11" ht="18.95" customHeight="1">
      <c r="A189" s="685"/>
      <c r="B189" s="638" t="str">
        <v>55</v>
      </c>
      <c r="C189" s="13" t="str">
        <v>C2. Gazomierze turbinowe</v>
      </c>
      <c r="D189" s="9" t="str">
        <f t="shared" si="6"/>
        <v>[tys. zł/szt.]</v>
      </c>
      <c r="E189" s="152" t="str">
        <v/>
      </c>
      <c r="F189" s="685"/>
      <c r="G189" s="685"/>
      <c r="H189" s="685"/>
      <c r="I189" s="685"/>
      <c r="J189" s="685"/>
      <c r="K189" s="685"/>
    </row>
    <row r="190" spans="1:11" ht="18.95" customHeight="1">
      <c r="A190" s="685"/>
      <c r="B190" s="638" t="str">
        <v>56</v>
      </c>
      <c r="C190" s="13" t="str">
        <v>C3. Gazomierze rotorowe</v>
      </c>
      <c r="D190" s="9" t="str">
        <f t="shared" si="6"/>
        <v>[tys. zł/szt.]</v>
      </c>
      <c r="E190" s="152" t="str">
        <v/>
      </c>
      <c r="F190" s="685"/>
      <c r="G190" s="685"/>
      <c r="H190" s="685"/>
      <c r="I190" s="685"/>
      <c r="J190" s="685"/>
      <c r="K190" s="685"/>
    </row>
    <row r="191" spans="1:11" ht="18.95" customHeight="1" thickBot="1">
      <c r="A191" s="685"/>
      <c r="B191" s="643" t="str">
        <v>57</v>
      </c>
      <c r="C191" s="16" t="str">
        <v xml:space="preserve">C4. Inne </v>
      </c>
      <c r="D191" s="17" t="str">
        <f t="shared" si="6"/>
        <v>[tys. zł/szt.]</v>
      </c>
      <c r="E191" s="154" t="str">
        <v/>
      </c>
      <c r="F191" s="685"/>
      <c r="G191" s="685"/>
      <c r="H191" s="685"/>
      <c r="I191" s="685"/>
      <c r="J191" s="685"/>
      <c r="K191" s="685"/>
    </row>
    <row r="192" spans="1:11" ht="18.95" customHeight="1">
      <c r="A192" s="685"/>
      <c r="B192" s="685"/>
      <c r="C192" s="685"/>
      <c r="D192" s="685"/>
      <c r="E192" s="685"/>
      <c r="F192" s="685"/>
      <c r="G192" s="685"/>
      <c r="H192" s="685"/>
      <c r="I192" s="685"/>
      <c r="J192" s="685"/>
      <c r="K192" s="685"/>
    </row>
    <row r="193" spans="1:11" ht="18.95" customHeight="1">
      <c r="A193" s="685"/>
      <c r="B193" s="685"/>
      <c r="C193" s="685"/>
      <c r="D193" s="685"/>
      <c r="E193" s="685"/>
      <c r="F193" s="685"/>
      <c r="G193" s="685"/>
      <c r="H193" s="685"/>
      <c r="I193" s="685"/>
      <c r="J193" s="685"/>
      <c r="K193" s="685"/>
    </row>
    <row r="194" spans="1:11" ht="30" customHeight="1" thickBot="1">
      <c r="A194" s="685"/>
      <c r="B194" s="695" t="str">
        <f>"Tabela G2.4E. Poniesione nakłady na budowę nowych stacji CNG i LCNG (infrastruktura wewnętrzna stacji)"</f>
        <v>Tabela G2.4E. Poniesione nakłady na budowę nowych stacji CNG i LCNG (infrastruktura wewnętrzna stacji)</v>
      </c>
      <c r="C194" s="685"/>
      <c r="D194" s="685"/>
      <c r="E194" s="685"/>
      <c r="F194" s="685"/>
      <c r="G194" s="685"/>
      <c r="H194" s="685"/>
      <c r="I194" s="685"/>
      <c r="J194" s="685"/>
      <c r="K194" s="685"/>
    </row>
    <row r="195" spans="1:11" ht="15.75">
      <c r="A195" s="685"/>
      <c r="B195" s="1035" t="str">
        <f>'Tab.G1.1-4'!$B$8</f>
        <v>LP</v>
      </c>
      <c r="C195" s="1037" t="str">
        <f>'Tab.G1.1-4'!$C$8</f>
        <v>Wyszczególnienie</v>
      </c>
      <c r="D195" s="1038"/>
      <c r="E195" s="627" t="str">
        <f>'Tab.G1.1-4'!$E$8</f>
        <v>Wykonanie</v>
      </c>
      <c r="F195" s="685"/>
      <c r="G195" s="685"/>
      <c r="H195" s="685"/>
      <c r="I195" s="685"/>
      <c r="J195" s="685"/>
      <c r="K195" s="685"/>
    </row>
    <row r="196" spans="1:11" ht="15.75">
      <c r="A196" s="685"/>
      <c r="B196" s="1036"/>
      <c r="C196" s="1039"/>
      <c r="D196" s="1040"/>
      <c r="E196" s="628">
        <f>Rok_ZPR</f>
        <v>2023</v>
      </c>
      <c r="F196" s="685"/>
      <c r="G196" s="685"/>
      <c r="H196" s="685"/>
      <c r="I196" s="685"/>
      <c r="J196" s="685"/>
      <c r="K196" s="685"/>
    </row>
    <row r="197" spans="1:11" ht="13.5" thickBot="1">
      <c r="A197" s="685"/>
      <c r="B197" s="644" t="str">
        <f t="array" ref="B197:B206">$B$11:$B$20</f>
        <v>01</v>
      </c>
      <c r="C197" s="1044" t="str">
        <f>$B$12</f>
        <v>02</v>
      </c>
      <c r="D197" s="1034"/>
      <c r="E197" s="645" t="str">
        <f>$B$13</f>
        <v>03</v>
      </c>
      <c r="F197" s="685"/>
      <c r="G197" s="685"/>
      <c r="H197" s="685"/>
      <c r="I197" s="685"/>
      <c r="J197" s="685"/>
      <c r="K197" s="685"/>
    </row>
    <row r="198" spans="1:11" ht="16.5" thickBot="1">
      <c r="A198" s="685"/>
      <c r="B198" s="641" t="str">
        <v>02</v>
      </c>
      <c r="C198" s="706" t="str">
        <f>"OGÓŁEM STACJE CNG I LCNG"</f>
        <v>OGÓŁEM STACJE CNG I LCNG</v>
      </c>
      <c r="D198" s="707" t="str">
        <f t="shared" ref="D198:D206" si="7">$D$12</f>
        <v>[tys. zł]</v>
      </c>
      <c r="E198" s="708">
        <f>SUM(E199,E203)</f>
        <v>0</v>
      </c>
      <c r="F198" s="685"/>
      <c r="G198" s="685"/>
      <c r="H198" s="685"/>
      <c r="I198" s="685"/>
      <c r="J198" s="685"/>
      <c r="K198" s="685"/>
    </row>
    <row r="199" spans="1:11" ht="15.75">
      <c r="A199" s="685"/>
      <c r="B199" s="634" t="str">
        <v>03</v>
      </c>
      <c r="C199" s="12" t="str">
        <f>"STACJE CNG"</f>
        <v>STACJE CNG</v>
      </c>
      <c r="D199" s="5" t="str">
        <f t="shared" si="7"/>
        <v>[tys. zł]</v>
      </c>
      <c r="E199" s="148">
        <f>SUM(E200:E202)</f>
        <v>0</v>
      </c>
      <c r="F199" s="685"/>
      <c r="G199" s="685"/>
      <c r="H199" s="685"/>
      <c r="I199" s="685"/>
      <c r="J199" s="685"/>
      <c r="K199" s="685"/>
    </row>
    <row r="200" spans="1:11" ht="15.75">
      <c r="A200" s="685"/>
      <c r="B200" s="635" t="str">
        <v>04</v>
      </c>
      <c r="C200" s="260" t="s">
        <v>279</v>
      </c>
      <c r="D200" s="6" t="str">
        <f t="shared" si="7"/>
        <v>[tys. zł]</v>
      </c>
      <c r="E200" s="149"/>
      <c r="F200" s="685"/>
      <c r="G200" s="685"/>
      <c r="H200" s="685"/>
      <c r="I200" s="685"/>
      <c r="J200" s="685"/>
      <c r="K200" s="685"/>
    </row>
    <row r="201" spans="1:11" ht="15.75">
      <c r="A201" s="685"/>
      <c r="B201" s="636" t="str">
        <v>05</v>
      </c>
      <c r="C201" s="261" t="s">
        <v>280</v>
      </c>
      <c r="D201" s="7" t="str">
        <f t="shared" si="7"/>
        <v>[tys. zł]</v>
      </c>
      <c r="E201" s="150"/>
      <c r="F201" s="685"/>
      <c r="G201" s="685"/>
      <c r="H201" s="685"/>
      <c r="I201" s="685"/>
      <c r="J201" s="685"/>
      <c r="K201" s="685"/>
    </row>
    <row r="202" spans="1:11" ht="15.75">
      <c r="A202" s="685"/>
      <c r="B202" s="637" t="str">
        <v>06</v>
      </c>
      <c r="C202" s="269" t="s">
        <v>281</v>
      </c>
      <c r="D202" s="8" t="str">
        <f t="shared" si="7"/>
        <v>[tys. zł]</v>
      </c>
      <c r="E202" s="151"/>
      <c r="F202" s="685"/>
      <c r="G202" s="685"/>
      <c r="H202" s="685"/>
      <c r="I202" s="685"/>
      <c r="J202" s="685"/>
      <c r="K202" s="685"/>
    </row>
    <row r="203" spans="1:11" ht="15.75">
      <c r="A203" s="685"/>
      <c r="B203" s="634" t="str">
        <v>07</v>
      </c>
      <c r="C203" s="12" t="str">
        <f>"STACJE LCNG"</f>
        <v>STACJE LCNG</v>
      </c>
      <c r="D203" s="5" t="str">
        <f t="shared" si="7"/>
        <v>[tys. zł]</v>
      </c>
      <c r="E203" s="148">
        <f>SUM(E204:E206)</f>
        <v>0</v>
      </c>
      <c r="F203" s="685"/>
      <c r="G203" s="685"/>
      <c r="H203" s="685"/>
      <c r="I203" s="685"/>
      <c r="J203" s="685"/>
      <c r="K203" s="685"/>
    </row>
    <row r="204" spans="1:11" ht="15.75">
      <c r="A204" s="685"/>
      <c r="B204" s="635" t="str">
        <v>08</v>
      </c>
      <c r="C204" s="260" t="s">
        <v>279</v>
      </c>
      <c r="D204" s="6" t="str">
        <f t="shared" si="7"/>
        <v>[tys. zł]</v>
      </c>
      <c r="E204" s="149"/>
      <c r="F204" s="685"/>
      <c r="G204" s="685"/>
      <c r="H204" s="685"/>
      <c r="I204" s="685"/>
      <c r="J204" s="685"/>
      <c r="K204" s="685"/>
    </row>
    <row r="205" spans="1:11" ht="15.75">
      <c r="A205" s="685"/>
      <c r="B205" s="636" t="str">
        <v>09</v>
      </c>
      <c r="C205" s="261" t="s">
        <v>280</v>
      </c>
      <c r="D205" s="7" t="str">
        <f t="shared" si="7"/>
        <v>[tys. zł]</v>
      </c>
      <c r="E205" s="150"/>
      <c r="F205" s="685"/>
      <c r="G205" s="685"/>
      <c r="H205" s="685"/>
      <c r="I205" s="685"/>
      <c r="J205" s="685"/>
      <c r="K205" s="685"/>
    </row>
    <row r="206" spans="1:11" ht="16.5" thickBot="1">
      <c r="A206" s="685"/>
      <c r="B206" s="639" t="str">
        <v>10</v>
      </c>
      <c r="C206" s="828" t="s">
        <v>281</v>
      </c>
      <c r="D206" s="10" t="str">
        <f t="shared" si="7"/>
        <v>[tys. zł]</v>
      </c>
      <c r="E206" s="153"/>
      <c r="F206" s="685"/>
      <c r="G206" s="685"/>
      <c r="H206" s="685"/>
      <c r="I206" s="685"/>
      <c r="J206" s="685"/>
      <c r="K206" s="685"/>
    </row>
    <row r="207" spans="1:11">
      <c r="A207" s="685"/>
      <c r="B207" s="685"/>
      <c r="C207" s="685"/>
      <c r="D207" s="685"/>
      <c r="E207" s="685"/>
      <c r="F207" s="685"/>
      <c r="G207" s="685"/>
      <c r="H207" s="685"/>
      <c r="I207" s="685"/>
      <c r="J207" s="685"/>
      <c r="K207" s="685"/>
    </row>
    <row r="208" spans="1:11">
      <c r="A208" s="685"/>
      <c r="B208" s="685"/>
      <c r="C208" s="685"/>
      <c r="D208" s="685"/>
      <c r="E208" s="685"/>
      <c r="F208" s="685"/>
      <c r="G208" s="685"/>
      <c r="H208" s="685"/>
      <c r="I208" s="685"/>
      <c r="J208" s="685"/>
      <c r="K208" s="685"/>
    </row>
    <row r="209" spans="1:11" ht="30" customHeight="1" thickBot="1">
      <c r="A209" s="685"/>
      <c r="B209" s="695" t="str">
        <f>"Tabela G2.5E. Liczba zbudowanych nowych stacji CNG i LCNG oraz punktów tankowania"</f>
        <v>Tabela G2.5E. Liczba zbudowanych nowych stacji CNG i LCNG oraz punktów tankowania</v>
      </c>
      <c r="C209" s="685"/>
      <c r="D209" s="685"/>
      <c r="E209" s="685"/>
      <c r="F209" s="685"/>
      <c r="G209" s="685"/>
      <c r="H209" s="685"/>
      <c r="I209" s="685"/>
      <c r="J209" s="685"/>
      <c r="K209" s="685"/>
    </row>
    <row r="210" spans="1:11" ht="18.75" customHeight="1" thickBot="1">
      <c r="A210" s="685"/>
      <c r="B210" s="1035" t="str">
        <f>'Tab.G1.1-4'!$B$8</f>
        <v>LP</v>
      </c>
      <c r="C210" s="1037" t="str">
        <f>'Tab.G1.1-4'!$C$8</f>
        <v>Wyszczególnienie</v>
      </c>
      <c r="D210" s="1038"/>
      <c r="E210" s="1053" t="str">
        <f>"LICZBA WYKONANYCH W "&amp;Rok_ZPR</f>
        <v>LICZBA WYKONANYCH W 2023</v>
      </c>
      <c r="F210" s="1054"/>
      <c r="G210" s="685"/>
      <c r="H210" s="685"/>
      <c r="I210" s="685"/>
      <c r="J210" s="685"/>
      <c r="K210" s="685"/>
    </row>
    <row r="211" spans="1:11" ht="35.1" customHeight="1">
      <c r="A211" s="685"/>
      <c r="B211" s="1036"/>
      <c r="C211" s="1039"/>
      <c r="D211" s="1040"/>
      <c r="E211" s="829" t="str">
        <f>"STACJI"</f>
        <v>STACJI</v>
      </c>
      <c r="F211" s="829" t="str">
        <f>"PUNKTÓW TANKOWANIA"</f>
        <v>PUNKTÓW TANKOWANIA</v>
      </c>
      <c r="G211" s="685"/>
      <c r="H211" s="685"/>
      <c r="I211" s="685"/>
      <c r="J211" s="685"/>
      <c r="K211" s="685"/>
    </row>
    <row r="212" spans="1:11" ht="13.5" thickBot="1">
      <c r="A212" s="685"/>
      <c r="B212" s="644" t="str">
        <f t="array" ref="B212:B221">$B$11:$B$20</f>
        <v>01</v>
      </c>
      <c r="C212" s="1044" t="str">
        <f>$B$12</f>
        <v>02</v>
      </c>
      <c r="D212" s="1034"/>
      <c r="E212" s="645" t="str">
        <f>$B$13</f>
        <v>03</v>
      </c>
      <c r="F212" s="645" t="str">
        <f>$B$14</f>
        <v>04</v>
      </c>
      <c r="G212" s="685"/>
      <c r="H212" s="685"/>
      <c r="I212" s="685"/>
      <c r="J212" s="685"/>
      <c r="K212" s="685"/>
    </row>
    <row r="213" spans="1:11" ht="16.5" thickBot="1">
      <c r="A213" s="685"/>
      <c r="B213" s="641" t="str">
        <v>02</v>
      </c>
      <c r="C213" s="706" t="str">
        <f>"OGÓŁEM STACJE CNG I LCNG"</f>
        <v>OGÓŁEM STACJE CNG I LCNG</v>
      </c>
      <c r="D213" s="707" t="str">
        <f t="shared" ref="D213:D221" si="8">$D$108</f>
        <v>[szt.]</v>
      </c>
      <c r="E213" s="708">
        <f>SUM(E214,E218)</f>
        <v>0</v>
      </c>
      <c r="F213" s="708">
        <f>SUM(F214,F218)</f>
        <v>0</v>
      </c>
      <c r="G213" s="685"/>
      <c r="H213" s="685"/>
      <c r="I213" s="685"/>
      <c r="J213" s="685"/>
      <c r="K213" s="685"/>
    </row>
    <row r="214" spans="1:11" ht="15.75">
      <c r="A214" s="685"/>
      <c r="B214" s="634" t="str">
        <v>03</v>
      </c>
      <c r="C214" s="12" t="str">
        <f>"STACJE CNG"</f>
        <v>STACJE CNG</v>
      </c>
      <c r="D214" s="5" t="str">
        <f t="shared" si="8"/>
        <v>[szt.]</v>
      </c>
      <c r="E214" s="148">
        <f>SUM(E215:E217)</f>
        <v>0</v>
      </c>
      <c r="F214" s="148">
        <f>SUM(F215:F217)</f>
        <v>0</v>
      </c>
      <c r="G214" s="685"/>
      <c r="H214" s="685"/>
      <c r="I214" s="685"/>
      <c r="J214" s="685"/>
      <c r="K214" s="685"/>
    </row>
    <row r="215" spans="1:11" ht="15.75">
      <c r="A215" s="685"/>
      <c r="B215" s="635" t="str">
        <v>04</v>
      </c>
      <c r="C215" s="260" t="s">
        <v>279</v>
      </c>
      <c r="D215" s="6" t="str">
        <f t="shared" si="8"/>
        <v>[szt.]</v>
      </c>
      <c r="E215" s="149"/>
      <c r="F215" s="149"/>
      <c r="G215" s="685"/>
      <c r="H215" s="685"/>
      <c r="I215" s="685"/>
      <c r="J215" s="685"/>
      <c r="K215" s="685"/>
    </row>
    <row r="216" spans="1:11" ht="15.75">
      <c r="A216" s="685"/>
      <c r="B216" s="636" t="str">
        <v>05</v>
      </c>
      <c r="C216" s="261" t="s">
        <v>280</v>
      </c>
      <c r="D216" s="7" t="str">
        <f t="shared" si="8"/>
        <v>[szt.]</v>
      </c>
      <c r="E216" s="150"/>
      <c r="F216" s="150"/>
      <c r="G216" s="685"/>
      <c r="H216" s="685"/>
      <c r="I216" s="685"/>
      <c r="J216" s="685"/>
      <c r="K216" s="685"/>
    </row>
    <row r="217" spans="1:11" ht="15.75">
      <c r="A217" s="685"/>
      <c r="B217" s="637" t="str">
        <v>06</v>
      </c>
      <c r="C217" s="269" t="s">
        <v>281</v>
      </c>
      <c r="D217" s="8" t="str">
        <f t="shared" si="8"/>
        <v>[szt.]</v>
      </c>
      <c r="E217" s="151"/>
      <c r="F217" s="151"/>
      <c r="G217" s="685"/>
      <c r="H217" s="685"/>
      <c r="I217" s="685"/>
      <c r="J217" s="685"/>
      <c r="K217" s="685"/>
    </row>
    <row r="218" spans="1:11" ht="15.75">
      <c r="A218" s="685"/>
      <c r="B218" s="634" t="str">
        <v>07</v>
      </c>
      <c r="C218" s="12" t="str">
        <f>"STACJE LCNG"</f>
        <v>STACJE LCNG</v>
      </c>
      <c r="D218" s="5" t="str">
        <f t="shared" si="8"/>
        <v>[szt.]</v>
      </c>
      <c r="E218" s="148">
        <f>SUM(E219:E221)</f>
        <v>0</v>
      </c>
      <c r="F218" s="148">
        <f>SUM(F219:F221)</f>
        <v>0</v>
      </c>
      <c r="G218" s="685"/>
      <c r="H218" s="685"/>
      <c r="I218" s="685"/>
      <c r="J218" s="685"/>
      <c r="K218" s="685"/>
    </row>
    <row r="219" spans="1:11" ht="15.75">
      <c r="A219" s="685"/>
      <c r="B219" s="635" t="str">
        <v>08</v>
      </c>
      <c r="C219" s="260" t="s">
        <v>279</v>
      </c>
      <c r="D219" s="6" t="str">
        <f t="shared" si="8"/>
        <v>[szt.]</v>
      </c>
      <c r="E219" s="149"/>
      <c r="F219" s="149"/>
      <c r="G219" s="685"/>
      <c r="H219" s="685"/>
      <c r="I219" s="685"/>
      <c r="J219" s="685"/>
      <c r="K219" s="685"/>
    </row>
    <row r="220" spans="1:11" ht="15.75">
      <c r="A220" s="685"/>
      <c r="B220" s="636" t="str">
        <v>09</v>
      </c>
      <c r="C220" s="261" t="s">
        <v>280</v>
      </c>
      <c r="D220" s="7" t="str">
        <f t="shared" si="8"/>
        <v>[szt.]</v>
      </c>
      <c r="E220" s="150"/>
      <c r="F220" s="150"/>
      <c r="G220" s="685"/>
      <c r="H220" s="685"/>
      <c r="I220" s="685"/>
      <c r="J220" s="685"/>
      <c r="K220" s="685"/>
    </row>
    <row r="221" spans="1:11" ht="16.5" thickBot="1">
      <c r="A221" s="685"/>
      <c r="B221" s="639" t="str">
        <v>10</v>
      </c>
      <c r="C221" s="828" t="s">
        <v>281</v>
      </c>
      <c r="D221" s="10" t="str">
        <f t="shared" si="8"/>
        <v>[szt.]</v>
      </c>
      <c r="E221" s="153"/>
      <c r="F221" s="153"/>
      <c r="G221" s="685"/>
      <c r="H221" s="685"/>
      <c r="I221" s="685"/>
      <c r="J221" s="685"/>
      <c r="K221" s="685"/>
    </row>
    <row r="222" spans="1:11">
      <c r="A222" s="685"/>
      <c r="B222" s="685"/>
      <c r="C222" s="685"/>
      <c r="D222" s="685"/>
      <c r="E222" s="685"/>
      <c r="F222" s="685"/>
      <c r="G222" s="685"/>
      <c r="H222" s="685"/>
      <c r="I222" s="685"/>
      <c r="J222" s="685"/>
      <c r="K222" s="685"/>
    </row>
    <row r="223" spans="1:11">
      <c r="A223" s="685"/>
      <c r="B223" s="685"/>
      <c r="C223" s="685"/>
      <c r="D223" s="685"/>
      <c r="E223" s="685"/>
      <c r="F223" s="685"/>
      <c r="G223" s="685"/>
      <c r="H223" s="685"/>
      <c r="I223" s="685"/>
      <c r="J223" s="685"/>
      <c r="K223" s="685"/>
    </row>
    <row r="224" spans="1:11" ht="30" customHeight="1" thickBot="1">
      <c r="A224" s="685"/>
      <c r="B224" s="695" t="s">
        <v>234</v>
      </c>
      <c r="C224" s="685"/>
      <c r="D224" s="685"/>
      <c r="E224" s="685"/>
      <c r="F224" s="685"/>
      <c r="G224" s="685"/>
      <c r="H224" s="685"/>
      <c r="I224" s="685"/>
      <c r="J224" s="685"/>
      <c r="K224" s="685"/>
    </row>
    <row r="225" spans="1:11" ht="15.75">
      <c r="A225" s="685"/>
      <c r="B225" s="1035" t="str">
        <f>'Tab.G1.1-4'!$B$8</f>
        <v>LP</v>
      </c>
      <c r="C225" s="1037" t="str">
        <f>'Tab.G1.1-4'!$C$8</f>
        <v>Wyszczególnienie</v>
      </c>
      <c r="D225" s="1038"/>
      <c r="E225" s="627" t="str">
        <f>'Tab.G1.1-4'!$E$8</f>
        <v>Wykonanie</v>
      </c>
      <c r="F225" s="685"/>
      <c r="G225" s="685"/>
      <c r="H225" s="685"/>
      <c r="I225" s="685"/>
      <c r="J225" s="685"/>
      <c r="K225" s="685"/>
    </row>
    <row r="226" spans="1:11" ht="15.75">
      <c r="A226" s="685"/>
      <c r="B226" s="1036"/>
      <c r="C226" s="1039"/>
      <c r="D226" s="1040"/>
      <c r="E226" s="628">
        <f>Rok_ZPR</f>
        <v>2023</v>
      </c>
      <c r="F226" s="685"/>
      <c r="G226" s="685"/>
      <c r="H226" s="685"/>
      <c r="I226" s="685"/>
      <c r="J226" s="685"/>
      <c r="K226" s="685"/>
    </row>
    <row r="227" spans="1:11" ht="13.5" thickBot="1">
      <c r="A227" s="685"/>
      <c r="B227" s="644" t="str">
        <f t="array" ref="B227:B236">$B$11:$B$20</f>
        <v>01</v>
      </c>
      <c r="C227" s="1044" t="str">
        <f>$B$12</f>
        <v>02</v>
      </c>
      <c r="D227" s="1034"/>
      <c r="E227" s="645" t="str">
        <f>$B$13</f>
        <v>03</v>
      </c>
      <c r="F227" s="685"/>
      <c r="G227" s="685"/>
      <c r="H227" s="685"/>
      <c r="I227" s="685"/>
      <c r="J227" s="685"/>
      <c r="K227" s="685"/>
    </row>
    <row r="228" spans="1:11" ht="16.5" thickBot="1">
      <c r="A228" s="685"/>
      <c r="B228" s="641" t="str">
        <v>02</v>
      </c>
      <c r="C228" s="706" t="str">
        <f>"OGÓŁEM STACJE CNG I LCNG"</f>
        <v>OGÓŁEM STACJE CNG I LCNG</v>
      </c>
      <c r="D228" s="707" t="str">
        <f t="shared" ref="D228:D236" si="9">$D$170</f>
        <v>[tys. zł/szt.]</v>
      </c>
      <c r="E228" s="708" t="str">
        <f t="array" ref="E228:E236">IFERROR(E198:E206/E213:E221,"")</f>
        <v/>
      </c>
      <c r="F228" s="685"/>
      <c r="G228" s="685"/>
      <c r="H228" s="685"/>
      <c r="I228" s="685"/>
      <c r="J228" s="685"/>
      <c r="K228" s="685"/>
    </row>
    <row r="229" spans="1:11" ht="15.75">
      <c r="A229" s="685"/>
      <c r="B229" s="634" t="str">
        <v>03</v>
      </c>
      <c r="C229" s="12" t="str">
        <f>"STACJE CNG"</f>
        <v>STACJE CNG</v>
      </c>
      <c r="D229" s="5" t="str">
        <f t="shared" si="9"/>
        <v>[tys. zł/szt.]</v>
      </c>
      <c r="E229" s="148" t="str">
        <v/>
      </c>
      <c r="F229" s="685"/>
      <c r="G229" s="685"/>
      <c r="H229" s="685"/>
      <c r="I229" s="685"/>
      <c r="J229" s="685"/>
      <c r="K229" s="685"/>
    </row>
    <row r="230" spans="1:11" ht="15.75">
      <c r="A230" s="685"/>
      <c r="B230" s="635" t="str">
        <v>04</v>
      </c>
      <c r="C230" s="260" t="s">
        <v>279</v>
      </c>
      <c r="D230" s="6" t="str">
        <f t="shared" si="9"/>
        <v>[tys. zł/szt.]</v>
      </c>
      <c r="E230" s="149" t="str">
        <v/>
      </c>
      <c r="F230" s="685"/>
      <c r="G230" s="685"/>
      <c r="H230" s="685"/>
      <c r="I230" s="685"/>
      <c r="J230" s="685"/>
      <c r="K230" s="685"/>
    </row>
    <row r="231" spans="1:11" ht="15.75">
      <c r="A231" s="685"/>
      <c r="B231" s="636" t="str">
        <v>05</v>
      </c>
      <c r="C231" s="261" t="s">
        <v>280</v>
      </c>
      <c r="D231" s="7" t="str">
        <f t="shared" si="9"/>
        <v>[tys. zł/szt.]</v>
      </c>
      <c r="E231" s="150" t="str">
        <v/>
      </c>
      <c r="F231" s="685"/>
      <c r="G231" s="685"/>
      <c r="H231" s="685"/>
      <c r="I231" s="685"/>
      <c r="J231" s="685"/>
      <c r="K231" s="685"/>
    </row>
    <row r="232" spans="1:11" ht="15.75">
      <c r="A232" s="685"/>
      <c r="B232" s="637" t="str">
        <v>06</v>
      </c>
      <c r="C232" s="269" t="s">
        <v>281</v>
      </c>
      <c r="D232" s="8" t="str">
        <f t="shared" si="9"/>
        <v>[tys. zł/szt.]</v>
      </c>
      <c r="E232" s="151" t="str">
        <v/>
      </c>
      <c r="F232" s="685"/>
      <c r="G232" s="685"/>
      <c r="H232" s="685"/>
      <c r="I232" s="685"/>
      <c r="J232" s="685"/>
      <c r="K232" s="685"/>
    </row>
    <row r="233" spans="1:11" ht="15.75">
      <c r="A233" s="685"/>
      <c r="B233" s="634" t="str">
        <v>07</v>
      </c>
      <c r="C233" s="12" t="str">
        <f>"STACJE LCNG"</f>
        <v>STACJE LCNG</v>
      </c>
      <c r="D233" s="5" t="str">
        <f t="shared" si="9"/>
        <v>[tys. zł/szt.]</v>
      </c>
      <c r="E233" s="148" t="str">
        <v/>
      </c>
      <c r="F233" s="685"/>
      <c r="G233" s="685"/>
      <c r="H233" s="685"/>
      <c r="I233" s="685"/>
      <c r="J233" s="685"/>
      <c r="K233" s="685"/>
    </row>
    <row r="234" spans="1:11" ht="15.75">
      <c r="A234" s="685"/>
      <c r="B234" s="635" t="str">
        <v>08</v>
      </c>
      <c r="C234" s="260" t="s">
        <v>279</v>
      </c>
      <c r="D234" s="6" t="str">
        <f t="shared" si="9"/>
        <v>[tys. zł/szt.]</v>
      </c>
      <c r="E234" s="149" t="str">
        <v/>
      </c>
      <c r="F234" s="685"/>
      <c r="G234" s="685"/>
      <c r="H234" s="685"/>
      <c r="I234" s="685"/>
      <c r="J234" s="685"/>
      <c r="K234" s="685"/>
    </row>
    <row r="235" spans="1:11" ht="15.75">
      <c r="A235" s="685"/>
      <c r="B235" s="636" t="str">
        <v>09</v>
      </c>
      <c r="C235" s="261" t="s">
        <v>280</v>
      </c>
      <c r="D235" s="7" t="str">
        <f t="shared" si="9"/>
        <v>[tys. zł/szt.]</v>
      </c>
      <c r="E235" s="150" t="str">
        <v/>
      </c>
      <c r="F235" s="685"/>
      <c r="G235" s="685"/>
      <c r="H235" s="685"/>
      <c r="I235" s="685"/>
      <c r="J235" s="685"/>
      <c r="K235" s="685"/>
    </row>
    <row r="236" spans="1:11" ht="16.5" thickBot="1">
      <c r="A236" s="685"/>
      <c r="B236" s="639" t="str">
        <v>10</v>
      </c>
      <c r="C236" s="828" t="s">
        <v>281</v>
      </c>
      <c r="D236" s="10" t="str">
        <f t="shared" si="9"/>
        <v>[tys. zł/szt.]</v>
      </c>
      <c r="E236" s="153" t="str">
        <v/>
      </c>
      <c r="F236" s="685"/>
      <c r="G236" s="685"/>
      <c r="H236" s="685"/>
      <c r="I236" s="685"/>
      <c r="J236" s="685"/>
      <c r="K236" s="685"/>
    </row>
    <row r="237" spans="1:11" ht="15.75">
      <c r="A237" s="685"/>
      <c r="B237" s="685"/>
      <c r="C237" s="841"/>
      <c r="D237" s="685"/>
      <c r="E237" s="685"/>
      <c r="F237" s="685"/>
      <c r="G237" s="685"/>
      <c r="H237" s="685"/>
      <c r="I237" s="685"/>
      <c r="J237" s="685"/>
      <c r="K237" s="685"/>
    </row>
    <row r="238" spans="1:11" ht="15.75">
      <c r="A238" s="685"/>
      <c r="B238" s="685"/>
      <c r="C238" s="841"/>
      <c r="D238" s="685"/>
      <c r="E238" s="685"/>
      <c r="F238" s="685"/>
      <c r="G238" s="685"/>
      <c r="H238" s="685"/>
      <c r="I238" s="685"/>
      <c r="J238" s="685"/>
      <c r="K238" s="685"/>
    </row>
    <row r="239" spans="1:11" ht="15.75">
      <c r="A239" s="685"/>
      <c r="B239" s="685"/>
      <c r="C239" s="841"/>
      <c r="D239" s="685"/>
      <c r="E239" s="685"/>
      <c r="F239" s="685"/>
      <c r="G239" s="685"/>
      <c r="H239" s="685"/>
      <c r="I239" s="685"/>
      <c r="J239" s="685"/>
      <c r="K239" s="685"/>
    </row>
    <row r="240" spans="1:11" ht="15.75">
      <c r="C240" s="836"/>
    </row>
    <row r="241" spans="3:3" ht="15.75">
      <c r="C241" s="836"/>
    </row>
    <row r="242" spans="3:3" ht="15.75">
      <c r="C242" s="836"/>
    </row>
    <row r="243" spans="3:3" ht="15.75">
      <c r="C243" s="836"/>
    </row>
    <row r="244" spans="3:3" ht="15.75">
      <c r="C244" s="836"/>
    </row>
    <row r="245" spans="3:3" ht="15.75">
      <c r="C245" s="836"/>
    </row>
    <row r="246" spans="3:3" ht="15.75">
      <c r="C246" s="836"/>
    </row>
    <row r="247" spans="3:3" ht="15.75">
      <c r="C247" s="836"/>
    </row>
  </sheetData>
  <protectedRanges>
    <protectedRange sqref="E11 E73 E135 E197 E212 E227" name="Tabela 3A_1_2"/>
  </protectedRanges>
  <mergeCells count="25">
    <mergeCell ref="C227:D227"/>
    <mergeCell ref="E210:F210"/>
    <mergeCell ref="B210:B211"/>
    <mergeCell ref="C210:D211"/>
    <mergeCell ref="C212:D212"/>
    <mergeCell ref="B225:B226"/>
    <mergeCell ref="C225:D226"/>
    <mergeCell ref="B2:G2"/>
    <mergeCell ref="C3:G3"/>
    <mergeCell ref="C7:G7"/>
    <mergeCell ref="B9:B10"/>
    <mergeCell ref="C9:D10"/>
    <mergeCell ref="C4:G4"/>
    <mergeCell ref="C5:G5"/>
    <mergeCell ref="C6:G6"/>
    <mergeCell ref="C11:D11"/>
    <mergeCell ref="B195:B196"/>
    <mergeCell ref="C195:D196"/>
    <mergeCell ref="C197:D197"/>
    <mergeCell ref="B71:B72"/>
    <mergeCell ref="C71:D72"/>
    <mergeCell ref="C73:D73"/>
    <mergeCell ref="B133:B134"/>
    <mergeCell ref="C133:D134"/>
    <mergeCell ref="C135:D135"/>
  </mergeCells>
  <hyperlinks>
    <hyperlink ref="C1" location="Spis!B10" display="Spis!B10" xr:uid="{00000000-0004-0000-0400-00000000000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22">
    <pageSetUpPr fitToPage="1"/>
  </sheetPr>
  <dimension ref="A1:Z112"/>
  <sheetViews>
    <sheetView zoomScale="90" zoomScaleNormal="90" zoomScaleSheetLayoutView="75" workbookViewId="0">
      <pane ySplit="9" topLeftCell="A10" activePane="bottomLeft" state="frozen"/>
      <selection pane="bottomLeft" activeCell="B10" sqref="B10"/>
    </sheetView>
  </sheetViews>
  <sheetFormatPr defaultColWidth="11.33203125" defaultRowHeight="12.75"/>
  <cols>
    <col min="1" max="1" width="4.21875" style="204" customWidth="1"/>
    <col min="2" max="2" width="4.77734375" style="281" customWidth="1"/>
    <col min="3" max="3" width="66.77734375" style="204" customWidth="1"/>
    <col min="4" max="4" width="12.77734375" style="204" customWidth="1"/>
    <col min="5" max="5" width="15.77734375" style="204" customWidth="1"/>
    <col min="6" max="8" width="10.77734375" style="204" customWidth="1"/>
    <col min="9" max="9" width="11.33203125" style="204"/>
    <col min="10" max="10" width="15.6640625" style="204" customWidth="1"/>
    <col min="11" max="11" width="11.33203125" style="270"/>
    <col min="12" max="16384" width="11.33203125" style="204"/>
  </cols>
  <sheetData>
    <row r="1" spans="1:12" ht="14.1" customHeight="1">
      <c r="A1" s="270"/>
      <c r="B1" s="272"/>
      <c r="C1" s="272"/>
      <c r="D1" s="272"/>
      <c r="E1" s="272"/>
      <c r="F1" s="272"/>
      <c r="G1" s="272"/>
      <c r="H1" s="272"/>
      <c r="I1" s="270"/>
      <c r="J1" s="270"/>
    </row>
    <row r="2" spans="1:12" ht="18.95" customHeight="1">
      <c r="A2" s="270"/>
      <c r="B2" s="272"/>
      <c r="C2" s="928" t="s">
        <v>9</v>
      </c>
      <c r="D2" s="272"/>
      <c r="E2" s="272"/>
      <c r="F2" s="272"/>
      <c r="G2" s="272"/>
      <c r="H2" s="272"/>
      <c r="I2" s="270"/>
      <c r="J2" s="270"/>
    </row>
    <row r="3" spans="1:12" ht="9.9499999999999993" customHeight="1">
      <c r="A3" s="271"/>
      <c r="B3" s="679"/>
      <c r="C3" s="272"/>
      <c r="D3" s="679"/>
      <c r="E3" s="679"/>
      <c r="F3" s="272"/>
      <c r="G3" s="680"/>
      <c r="H3" s="680"/>
      <c r="I3" s="271"/>
      <c r="J3" s="271"/>
    </row>
    <row r="4" spans="1:12" ht="24.95" customHeight="1">
      <c r="A4" s="271"/>
      <c r="B4" s="834" t="s">
        <v>13</v>
      </c>
      <c r="C4" s="1049" t="s">
        <v>274</v>
      </c>
      <c r="D4" s="1061"/>
      <c r="E4" s="1061"/>
      <c r="F4" s="1061"/>
      <c r="G4" s="1061"/>
      <c r="H4" s="682"/>
      <c r="I4" s="678"/>
      <c r="J4" s="678"/>
      <c r="K4" s="678"/>
      <c r="L4" s="145"/>
    </row>
    <row r="5" spans="1:12" ht="24.95" customHeight="1">
      <c r="A5" s="271"/>
      <c r="B5" s="834" t="s">
        <v>27</v>
      </c>
      <c r="C5" s="1049" t="s">
        <v>264</v>
      </c>
      <c r="D5" s="1050"/>
      <c r="E5" s="1050"/>
      <c r="F5" s="1050"/>
      <c r="G5" s="1050"/>
      <c r="H5" s="682"/>
      <c r="I5" s="677"/>
      <c r="J5" s="677"/>
      <c r="K5" s="677"/>
      <c r="L5" s="203"/>
    </row>
    <row r="6" spans="1:12" ht="15" customHeight="1">
      <c r="A6" s="271"/>
      <c r="B6" s="837"/>
      <c r="C6" s="1062" t="s">
        <v>16</v>
      </c>
      <c r="D6" s="1063"/>
      <c r="E6" s="1063"/>
      <c r="F6" s="1063"/>
      <c r="G6" s="1063"/>
      <c r="H6" s="272"/>
      <c r="I6" s="270"/>
      <c r="J6" s="270"/>
    </row>
    <row r="7" spans="1:12" ht="15" customHeight="1">
      <c r="A7" s="271"/>
      <c r="B7" s="838"/>
      <c r="C7" s="1064" t="s">
        <v>271</v>
      </c>
      <c r="D7" s="1064"/>
      <c r="E7" s="1064"/>
      <c r="F7" s="1064"/>
      <c r="G7" s="1064"/>
      <c r="H7" s="685"/>
      <c r="I7" s="145"/>
      <c r="J7" s="145"/>
    </row>
    <row r="8" spans="1:12" ht="24.95" customHeight="1">
      <c r="A8" s="271"/>
      <c r="B8" s="838"/>
      <c r="C8" s="1064" t="s">
        <v>273</v>
      </c>
      <c r="D8" s="1064"/>
      <c r="E8" s="1064"/>
      <c r="F8" s="1064"/>
      <c r="G8" s="1064"/>
      <c r="H8" s="685"/>
      <c r="I8" s="145"/>
      <c r="J8" s="145"/>
    </row>
    <row r="9" spans="1:12" ht="24.95" customHeight="1">
      <c r="A9" s="271"/>
      <c r="B9" s="838"/>
      <c r="C9" s="1064" t="s">
        <v>272</v>
      </c>
      <c r="D9" s="1064"/>
      <c r="E9" s="1064"/>
      <c r="F9" s="1064"/>
      <c r="G9" s="1064"/>
      <c r="H9" s="685"/>
      <c r="I9" s="145"/>
      <c r="J9" s="145"/>
    </row>
    <row r="10" spans="1:12" ht="30" customHeight="1" thickBot="1">
      <c r="A10" s="199"/>
      <c r="B10" s="199" t="s">
        <v>216</v>
      </c>
      <c r="C10" s="273"/>
      <c r="D10" s="273"/>
      <c r="E10" s="270"/>
      <c r="F10" s="272"/>
      <c r="G10" s="272"/>
      <c r="H10" s="270"/>
      <c r="I10" s="270"/>
      <c r="J10" s="270"/>
    </row>
    <row r="11" spans="1:12" ht="18.95" customHeight="1" thickTop="1">
      <c r="A11" s="199"/>
      <c r="B11" s="1059" t="str">
        <f>'Tab.G1.1-4'!$B$8</f>
        <v>LP</v>
      </c>
      <c r="C11" s="1055" t="str">
        <f>'Tab.G1.1-4'!$C$8</f>
        <v>Wyszczególnienie</v>
      </c>
      <c r="D11" s="1056"/>
      <c r="E11" s="648" t="str">
        <f>'Tab.G1.1-4'!$E$8</f>
        <v>Wykonanie</v>
      </c>
      <c r="F11" s="274"/>
      <c r="G11" s="274"/>
      <c r="H11" s="270"/>
      <c r="I11" s="270"/>
      <c r="J11" s="270"/>
    </row>
    <row r="12" spans="1:12" ht="18.95" customHeight="1">
      <c r="A12" s="199"/>
      <c r="B12" s="1060"/>
      <c r="C12" s="1039"/>
      <c r="D12" s="1040"/>
      <c r="E12" s="544">
        <f>Rok_ZPR</f>
        <v>2023</v>
      </c>
      <c r="F12" s="274"/>
      <c r="G12" s="274"/>
      <c r="H12" s="270"/>
      <c r="I12" s="270"/>
      <c r="J12" s="270"/>
    </row>
    <row r="13" spans="1:12" ht="14.1" customHeight="1" thickBot="1">
      <c r="A13" s="270"/>
      <c r="B13" s="647" t="str">
        <f t="array" ref="B13:B17">Tab.G17!$B$10:$B$14</f>
        <v>01</v>
      </c>
      <c r="C13" s="1057" t="str">
        <f>Tab.G17!$B$11</f>
        <v>02</v>
      </c>
      <c r="D13" s="1058"/>
      <c r="E13" s="662" t="str">
        <f>Tab.G17!$B$12</f>
        <v>03</v>
      </c>
      <c r="F13" s="274"/>
      <c r="G13" s="274"/>
      <c r="H13" s="270"/>
      <c r="I13" s="270"/>
      <c r="J13" s="270"/>
    </row>
    <row r="14" spans="1:12" ht="18.95" customHeight="1">
      <c r="A14" s="270"/>
      <c r="B14" s="667" t="str">
        <v>02</v>
      </c>
      <c r="C14" s="668" t="str">
        <f>"Nakłady inwestycyjne na przyłączenia, z tego:"</f>
        <v>Nakłady inwestycyjne na przyłączenia, z tego:</v>
      </c>
      <c r="D14" s="669" t="str">
        <f>'Tab.G1.1-4'!$D$11</f>
        <v>[tys. zł]</v>
      </c>
      <c r="E14" s="670">
        <f>SUM(E15:E17)</f>
        <v>0</v>
      </c>
      <c r="F14" s="274"/>
      <c r="G14" s="274"/>
      <c r="H14" s="270"/>
      <c r="I14" s="270"/>
      <c r="J14" s="270"/>
    </row>
    <row r="15" spans="1:12" ht="18.95" customHeight="1">
      <c r="A15" s="270"/>
      <c r="B15" s="663" t="str">
        <v>03</v>
      </c>
      <c r="C15" s="676" t="s">
        <v>69</v>
      </c>
      <c r="D15" s="665" t="str">
        <f>'Tab.G1.1-4'!$D$11</f>
        <v>[tys. zł]</v>
      </c>
      <c r="E15" s="666"/>
      <c r="F15" s="274"/>
      <c r="G15" s="274"/>
      <c r="H15" s="270"/>
      <c r="I15" s="270"/>
      <c r="J15" s="270"/>
    </row>
    <row r="16" spans="1:12" ht="18.95" customHeight="1">
      <c r="A16" s="270"/>
      <c r="B16" s="675" t="str">
        <v>04</v>
      </c>
      <c r="C16" s="286" t="s">
        <v>70</v>
      </c>
      <c r="D16" s="282" t="str">
        <f>'Tab.G1.1-4'!$D$11</f>
        <v>[tys. zł]</v>
      </c>
      <c r="E16" s="283"/>
      <c r="F16" s="274"/>
      <c r="G16" s="274"/>
      <c r="H16" s="270"/>
      <c r="I16" s="270"/>
      <c r="J16" s="270"/>
    </row>
    <row r="17" spans="1:26" ht="18.95" customHeight="1" thickBot="1">
      <c r="A17" s="270"/>
      <c r="B17" s="288" t="str">
        <v>05</v>
      </c>
      <c r="C17" s="287" t="s">
        <v>71</v>
      </c>
      <c r="D17" s="284" t="str">
        <f>'Tab.G1.1-4'!$D$11</f>
        <v>[tys. zł]</v>
      </c>
      <c r="E17" s="285"/>
      <c r="F17" s="274"/>
      <c r="G17" s="274"/>
      <c r="H17" s="270"/>
      <c r="I17" s="270"/>
      <c r="J17" s="270"/>
    </row>
    <row r="18" spans="1:26" ht="18.95" customHeight="1" thickTop="1" thickBot="1">
      <c r="A18" s="270"/>
      <c r="B18" s="270"/>
      <c r="C18" s="270"/>
      <c r="D18" s="275" t="s">
        <v>29</v>
      </c>
      <c r="E18" s="276">
        <f>SUM(E14,-'Tab.G1.1-4'!E13)</f>
        <v>0</v>
      </c>
      <c r="F18" s="274"/>
      <c r="G18" s="274"/>
      <c r="H18" s="270"/>
      <c r="I18" s="270"/>
      <c r="J18" s="270"/>
    </row>
    <row r="19" spans="1:26" ht="18.95" customHeight="1">
      <c r="A19" s="272"/>
      <c r="B19" s="274"/>
      <c r="C19" s="274"/>
      <c r="D19" s="274"/>
      <c r="E19" s="274"/>
      <c r="F19" s="274"/>
      <c r="G19" s="274"/>
      <c r="H19" s="274"/>
      <c r="I19" s="203"/>
      <c r="J19" s="203"/>
    </row>
    <row r="20" spans="1:26" ht="18.95" customHeight="1">
      <c r="A20" s="272"/>
      <c r="B20" s="274"/>
      <c r="C20" s="274"/>
      <c r="D20" s="274"/>
      <c r="E20" s="274"/>
      <c r="F20" s="274"/>
      <c r="G20" s="274"/>
      <c r="H20" s="274"/>
      <c r="I20" s="203"/>
      <c r="J20" s="203"/>
    </row>
    <row r="21" spans="1:26" ht="30" customHeight="1" thickBot="1">
      <c r="A21" s="270"/>
      <c r="B21" s="199" t="s">
        <v>217</v>
      </c>
      <c r="D21" s="203"/>
      <c r="E21" s="274"/>
      <c r="F21" s="274"/>
      <c r="G21" s="274"/>
      <c r="H21" s="274"/>
      <c r="I21" s="203"/>
      <c r="J21" s="203"/>
      <c r="K21" s="277"/>
      <c r="L21" s="278"/>
      <c r="M21" s="279"/>
      <c r="N21" s="279"/>
      <c r="O21" s="279"/>
      <c r="P21" s="279"/>
      <c r="Q21" s="279"/>
      <c r="R21" s="279"/>
      <c r="S21" s="279"/>
      <c r="T21" s="279"/>
      <c r="U21" s="279"/>
      <c r="V21" s="279"/>
      <c r="W21" s="279"/>
      <c r="X21" s="279"/>
      <c r="Y21" s="279"/>
      <c r="Z21" s="279"/>
    </row>
    <row r="22" spans="1:26" ht="18.95" customHeight="1" thickTop="1">
      <c r="A22" s="270"/>
      <c r="B22" s="1065" t="str">
        <f>'Tab.G1.1-4'!$B$8</f>
        <v>LP</v>
      </c>
      <c r="C22" s="1067" t="str">
        <f>'Tab.G1.1-4'!$C$8</f>
        <v>Wyszczególnienie</v>
      </c>
      <c r="D22" s="1068"/>
      <c r="E22" s="648" t="str">
        <f>'Tab.G1.1-4'!$E$8</f>
        <v>Wykonanie</v>
      </c>
      <c r="F22" s="274"/>
      <c r="G22" s="274"/>
      <c r="H22" s="274"/>
      <c r="I22" s="203"/>
      <c r="J22" s="203"/>
      <c r="K22" s="277"/>
      <c r="L22" s="278"/>
      <c r="M22" s="279"/>
      <c r="N22" s="279"/>
      <c r="O22" s="279"/>
      <c r="P22" s="279"/>
      <c r="Q22" s="279"/>
      <c r="R22" s="279"/>
      <c r="S22" s="279"/>
      <c r="T22" s="279"/>
      <c r="U22" s="279"/>
      <c r="V22" s="279"/>
      <c r="W22" s="279"/>
      <c r="X22" s="279"/>
      <c r="Y22" s="279"/>
      <c r="Z22" s="279"/>
    </row>
    <row r="23" spans="1:26" ht="18.95" customHeight="1">
      <c r="A23" s="270"/>
      <c r="B23" s="1066"/>
      <c r="C23" s="1069"/>
      <c r="D23" s="1070"/>
      <c r="E23" s="544">
        <f>Rok_ZPR</f>
        <v>2023</v>
      </c>
      <c r="F23" s="274"/>
      <c r="G23" s="274"/>
      <c r="H23" s="274"/>
      <c r="I23" s="203"/>
      <c r="J23" s="203"/>
      <c r="K23" s="277"/>
      <c r="L23" s="278"/>
      <c r="M23" s="279"/>
      <c r="N23" s="279"/>
      <c r="O23" s="279"/>
      <c r="P23" s="279"/>
      <c r="Q23" s="279"/>
      <c r="R23" s="279"/>
      <c r="S23" s="279"/>
      <c r="T23" s="279"/>
      <c r="U23" s="279"/>
      <c r="V23" s="279"/>
      <c r="W23" s="279"/>
      <c r="X23" s="279"/>
      <c r="Y23" s="279"/>
      <c r="Z23" s="279"/>
    </row>
    <row r="24" spans="1:26" ht="14.1" customHeight="1" thickBot="1">
      <c r="A24" s="272"/>
      <c r="B24" s="647" t="str">
        <f t="array" ref="B24:B28">Tab.G17!$B$10:$B$14</f>
        <v>01</v>
      </c>
      <c r="C24" s="1057" t="str">
        <f>Tab.G17!$B$11</f>
        <v>02</v>
      </c>
      <c r="D24" s="1058"/>
      <c r="E24" s="662" t="str">
        <f>Tab.G17!$B$12</f>
        <v>03</v>
      </c>
      <c r="F24" s="688"/>
      <c r="G24" s="688"/>
      <c r="H24" s="688"/>
      <c r="I24" s="280"/>
      <c r="J24" s="280"/>
      <c r="K24" s="277"/>
      <c r="L24" s="278"/>
      <c r="M24" s="279"/>
      <c r="N24" s="279"/>
      <c r="O24" s="279"/>
      <c r="P24" s="279"/>
      <c r="Q24" s="279"/>
      <c r="R24" s="279"/>
      <c r="S24" s="279"/>
      <c r="T24" s="279"/>
      <c r="U24" s="279"/>
      <c r="V24" s="279"/>
      <c r="W24" s="279"/>
      <c r="X24" s="279"/>
      <c r="Y24" s="279"/>
      <c r="Z24" s="279"/>
    </row>
    <row r="25" spans="1:26" ht="18.95" customHeight="1">
      <c r="A25" s="272"/>
      <c r="B25" s="667" t="str">
        <v>02</v>
      </c>
      <c r="C25" s="692" t="str">
        <f>"Nakłady inwestycyjne na przyłącza, z tego:"</f>
        <v>Nakłady inwestycyjne na przyłącza, z tego:</v>
      </c>
      <c r="D25" s="693" t="str">
        <f>'Tab.G1.1-4'!$D$11</f>
        <v>[tys. zł]</v>
      </c>
      <c r="E25" s="694">
        <f>SUM(E26:E28)</f>
        <v>0</v>
      </c>
      <c r="F25" s="272"/>
      <c r="G25" s="272"/>
      <c r="H25" s="272"/>
    </row>
    <row r="26" spans="1:26" ht="18.95" customHeight="1">
      <c r="A26" s="272"/>
      <c r="B26" s="663" t="str">
        <v>03</v>
      </c>
      <c r="C26" s="689" t="s">
        <v>69</v>
      </c>
      <c r="D26" s="690" t="str">
        <f>'Tab.G1.1-4'!$D$11</f>
        <v>[tys. zł]</v>
      </c>
      <c r="E26" s="691"/>
      <c r="F26" s="272"/>
      <c r="G26" s="272"/>
      <c r="H26" s="272"/>
    </row>
    <row r="27" spans="1:26" ht="18.95" customHeight="1">
      <c r="A27" s="272"/>
      <c r="B27" s="675" t="str">
        <v>04</v>
      </c>
      <c r="C27" s="289" t="s">
        <v>70</v>
      </c>
      <c r="D27" s="290" t="str">
        <f>'Tab.G1.1-4'!$D$11</f>
        <v>[tys. zł]</v>
      </c>
      <c r="E27" s="301"/>
      <c r="F27" s="272"/>
      <c r="G27" s="272"/>
      <c r="H27" s="272"/>
    </row>
    <row r="28" spans="1:26" ht="18.95" customHeight="1" thickBot="1">
      <c r="A28" s="272"/>
      <c r="B28" s="288" t="str">
        <v>05</v>
      </c>
      <c r="C28" s="291" t="s">
        <v>71</v>
      </c>
      <c r="D28" s="292" t="str">
        <f>'Tab.G1.1-4'!$D$11</f>
        <v>[tys. zł]</v>
      </c>
      <c r="E28" s="302"/>
      <c r="F28" s="272"/>
      <c r="G28" s="272"/>
      <c r="H28" s="272"/>
    </row>
    <row r="29" spans="1:26" ht="18.95" customHeight="1" thickTop="1" thickBot="1">
      <c r="A29" s="272"/>
      <c r="B29" s="683"/>
      <c r="C29" s="687"/>
      <c r="D29" s="275" t="s">
        <v>29</v>
      </c>
      <c r="E29" s="276">
        <f>SUM(E25,-'Tab.G2.1-3'!E33)</f>
        <v>0</v>
      </c>
      <c r="F29" s="272"/>
      <c r="G29" s="272"/>
      <c r="H29" s="272"/>
    </row>
    <row r="30" spans="1:26" ht="18.95" customHeight="1">
      <c r="A30" s="272"/>
      <c r="B30" s="683"/>
      <c r="C30" s="272"/>
      <c r="D30" s="272"/>
      <c r="E30" s="272"/>
      <c r="F30" s="272"/>
      <c r="G30" s="272"/>
      <c r="H30" s="272"/>
    </row>
    <row r="31" spans="1:26" ht="18.95" customHeight="1">
      <c r="A31" s="272"/>
      <c r="B31" s="683"/>
      <c r="C31" s="272"/>
      <c r="D31" s="272"/>
      <c r="E31" s="272"/>
      <c r="F31" s="272"/>
      <c r="G31" s="272"/>
      <c r="H31" s="272"/>
    </row>
    <row r="32" spans="1:26" ht="30" customHeight="1" thickBot="1">
      <c r="A32" s="272"/>
      <c r="B32" s="144" t="s">
        <v>136</v>
      </c>
      <c r="D32" s="144"/>
      <c r="E32" s="685"/>
      <c r="F32" s="272"/>
      <c r="G32" s="272"/>
      <c r="H32" s="272"/>
    </row>
    <row r="33" spans="1:8" ht="18.95" customHeight="1" thickTop="1">
      <c r="A33" s="272"/>
      <c r="B33" s="1071" t="str">
        <f>'Tab.G1.1-4'!$B$8</f>
        <v>LP</v>
      </c>
      <c r="C33" s="1073" t="str">
        <f>'Tab.G1.1-4'!$C$8</f>
        <v>Wyszczególnienie</v>
      </c>
      <c r="D33" s="1074"/>
      <c r="E33" s="674" t="str">
        <f>'Tab.G1.1-4'!$E$8</f>
        <v>Wykonanie</v>
      </c>
      <c r="F33" s="272"/>
      <c r="G33" s="272"/>
      <c r="H33" s="272"/>
    </row>
    <row r="34" spans="1:8" ht="18.95" customHeight="1">
      <c r="A34" s="272"/>
      <c r="B34" s="1072"/>
      <c r="C34" s="1075"/>
      <c r="D34" s="1076"/>
      <c r="E34" s="671">
        <f>Rok_ZPR</f>
        <v>2023</v>
      </c>
      <c r="F34" s="272"/>
      <c r="G34" s="272"/>
      <c r="H34" s="272"/>
    </row>
    <row r="35" spans="1:8" ht="14.1" customHeight="1" thickBot="1">
      <c r="A35" s="272"/>
      <c r="B35" s="672" t="str">
        <f t="array" ref="B35:B55">Tab.G17!$B$10:$B$30</f>
        <v>01</v>
      </c>
      <c r="C35" s="1057" t="str">
        <f>Tab.G17!$B$11</f>
        <v>02</v>
      </c>
      <c r="D35" s="1058"/>
      <c r="E35" s="662" t="str">
        <f>Tab.G17!$B$12</f>
        <v>03</v>
      </c>
      <c r="F35" s="272"/>
      <c r="G35" s="272"/>
      <c r="H35" s="272"/>
    </row>
    <row r="36" spans="1:8" ht="18.95" customHeight="1">
      <c r="A36" s="272"/>
      <c r="B36" s="702" t="str">
        <v>02</v>
      </c>
      <c r="C36" s="651" t="s">
        <v>135</v>
      </c>
      <c r="D36" s="652" t="str">
        <f>'Tab.G2.1-3'!$D$106</f>
        <v>[szt.]</v>
      </c>
      <c r="E36" s="653">
        <f>SUM(E37:E39)</f>
        <v>0</v>
      </c>
      <c r="F36" s="272"/>
      <c r="G36" s="272"/>
      <c r="H36" s="272"/>
    </row>
    <row r="37" spans="1:8" ht="18.95" customHeight="1">
      <c r="A37" s="272"/>
      <c r="B37" s="696" t="str">
        <v>03</v>
      </c>
      <c r="C37" s="293" t="s">
        <v>69</v>
      </c>
      <c r="D37" s="294" t="str">
        <f>'Tab.G2.1-3'!$D$106</f>
        <v>[szt.]</v>
      </c>
      <c r="E37" s="303"/>
      <c r="F37" s="272"/>
      <c r="G37" s="272"/>
      <c r="H37" s="272"/>
    </row>
    <row r="38" spans="1:8" ht="18.95" customHeight="1">
      <c r="A38" s="272"/>
      <c r="B38" s="697" t="str">
        <v>04</v>
      </c>
      <c r="C38" s="295" t="s">
        <v>70</v>
      </c>
      <c r="D38" s="296" t="str">
        <f>'Tab.G2.1-3'!$D$106</f>
        <v>[szt.]</v>
      </c>
      <c r="E38" s="304"/>
      <c r="F38" s="272"/>
      <c r="G38" s="272"/>
      <c r="H38" s="272"/>
    </row>
    <row r="39" spans="1:8" ht="18.95" customHeight="1" thickBot="1">
      <c r="A39" s="272"/>
      <c r="B39" s="698" t="str">
        <v>05</v>
      </c>
      <c r="C39" s="297" t="s">
        <v>71</v>
      </c>
      <c r="D39" s="298" t="str">
        <f>'Tab.G2.1-3'!$D$106</f>
        <v>[szt.]</v>
      </c>
      <c r="E39" s="305"/>
      <c r="F39" s="272"/>
      <c r="G39" s="272"/>
      <c r="H39" s="272"/>
    </row>
    <row r="40" spans="1:8" ht="18.95" customHeight="1">
      <c r="A40" s="272"/>
      <c r="B40" s="654" t="str">
        <v>06</v>
      </c>
      <c r="C40" s="307" t="s">
        <v>138</v>
      </c>
      <c r="D40" s="308" t="str">
        <f>'Tab.G2.1-3'!$D$72</f>
        <v>[km]</v>
      </c>
      <c r="E40" s="309">
        <f>SUM(E41:E43)</f>
        <v>0</v>
      </c>
      <c r="F40" s="272"/>
      <c r="G40" s="272"/>
      <c r="H40" s="272"/>
    </row>
    <row r="41" spans="1:8" ht="18.95" customHeight="1">
      <c r="A41" s="272"/>
      <c r="B41" s="696" t="str">
        <v>07</v>
      </c>
      <c r="C41" s="293" t="s">
        <v>69</v>
      </c>
      <c r="D41" s="294" t="str">
        <f>'Tab.G2.1-3'!$D$72</f>
        <v>[km]</v>
      </c>
      <c r="E41" s="303"/>
      <c r="F41" s="272"/>
      <c r="G41" s="272"/>
      <c r="H41" s="272"/>
    </row>
    <row r="42" spans="1:8" ht="18.95" customHeight="1">
      <c r="A42" s="272"/>
      <c r="B42" s="697" t="str">
        <v>08</v>
      </c>
      <c r="C42" s="295" t="s">
        <v>70</v>
      </c>
      <c r="D42" s="296" t="str">
        <f>'Tab.G2.1-3'!$D$72</f>
        <v>[km]</v>
      </c>
      <c r="E42" s="304"/>
      <c r="F42" s="272"/>
      <c r="G42" s="272"/>
      <c r="H42" s="272"/>
    </row>
    <row r="43" spans="1:8" ht="18.95" customHeight="1" thickBot="1">
      <c r="A43" s="272"/>
      <c r="B43" s="659" t="str">
        <v>09</v>
      </c>
      <c r="C43" s="299" t="s">
        <v>71</v>
      </c>
      <c r="D43" s="300" t="str">
        <f>'Tab.G2.1-3'!$D$72</f>
        <v>[km]</v>
      </c>
      <c r="E43" s="306"/>
      <c r="F43" s="272"/>
      <c r="G43" s="272"/>
      <c r="H43" s="272"/>
    </row>
    <row r="44" spans="1:8" ht="18.95" customHeight="1">
      <c r="A44" s="272"/>
      <c r="B44" s="654" t="str">
        <v>10</v>
      </c>
      <c r="C44" s="307" t="s">
        <v>139</v>
      </c>
      <c r="D44" s="308" t="str">
        <f>'Tab.G2.1-3'!$D$106</f>
        <v>[szt.]</v>
      </c>
      <c r="E44" s="309">
        <f>SUM(E45:E47)</f>
        <v>0</v>
      </c>
      <c r="F44" s="272"/>
      <c r="G44" s="272"/>
      <c r="H44" s="272"/>
    </row>
    <row r="45" spans="1:8" ht="18.95" customHeight="1">
      <c r="A45" s="272"/>
      <c r="B45" s="696" t="str">
        <v>11</v>
      </c>
      <c r="C45" s="293" t="s">
        <v>69</v>
      </c>
      <c r="D45" s="294" t="str">
        <f>'Tab.G2.1-3'!$D$106</f>
        <v>[szt.]</v>
      </c>
      <c r="E45" s="303"/>
      <c r="F45" s="272"/>
      <c r="G45" s="272"/>
      <c r="H45" s="272"/>
    </row>
    <row r="46" spans="1:8" ht="18.95" customHeight="1">
      <c r="A46" s="272"/>
      <c r="B46" s="697" t="str">
        <v>12</v>
      </c>
      <c r="C46" s="295" t="s">
        <v>70</v>
      </c>
      <c r="D46" s="296" t="str">
        <f>'Tab.G2.1-3'!$D$106</f>
        <v>[szt.]</v>
      </c>
      <c r="E46" s="304"/>
      <c r="F46" s="272"/>
      <c r="G46" s="272"/>
      <c r="H46" s="272"/>
    </row>
    <row r="47" spans="1:8" ht="18.95" customHeight="1" thickBot="1">
      <c r="A47" s="272"/>
      <c r="B47" s="659" t="str">
        <v>13</v>
      </c>
      <c r="C47" s="299" t="s">
        <v>71</v>
      </c>
      <c r="D47" s="300" t="str">
        <f>'Tab.G2.1-3'!$D$106</f>
        <v>[szt.]</v>
      </c>
      <c r="E47" s="306"/>
      <c r="F47" s="272"/>
      <c r="G47" s="272"/>
      <c r="H47" s="272"/>
    </row>
    <row r="48" spans="1:8" ht="18.95" customHeight="1">
      <c r="A48" s="272"/>
      <c r="B48" s="654" t="str">
        <v>14</v>
      </c>
      <c r="C48" s="307" t="s">
        <v>137</v>
      </c>
      <c r="D48" s="308" t="str">
        <f>"[m³/h]"</f>
        <v>[m³/h]</v>
      </c>
      <c r="E48" s="309">
        <f>SUM(E49:E51)</f>
        <v>0</v>
      </c>
      <c r="F48" s="272"/>
      <c r="G48" s="272"/>
      <c r="H48" s="272"/>
    </row>
    <row r="49" spans="1:8" ht="18.95" customHeight="1">
      <c r="A49" s="272"/>
      <c r="B49" s="696" t="str">
        <v>15</v>
      </c>
      <c r="C49" s="293" t="s">
        <v>69</v>
      </c>
      <c r="D49" s="294" t="str">
        <f t="shared" ref="D49:D55" si="0">$D$48</f>
        <v>[m³/h]</v>
      </c>
      <c r="E49" s="303"/>
      <c r="F49" s="272"/>
      <c r="G49" s="272"/>
      <c r="H49" s="272"/>
    </row>
    <row r="50" spans="1:8" ht="18.95" customHeight="1">
      <c r="A50" s="272"/>
      <c r="B50" s="697" t="str">
        <v>16</v>
      </c>
      <c r="C50" s="295" t="s">
        <v>70</v>
      </c>
      <c r="D50" s="296" t="str">
        <f t="shared" si="0"/>
        <v>[m³/h]</v>
      </c>
      <c r="E50" s="304"/>
      <c r="F50" s="272"/>
      <c r="G50" s="272"/>
      <c r="H50" s="272"/>
    </row>
    <row r="51" spans="1:8" ht="18.95" customHeight="1" thickBot="1">
      <c r="A51" s="272"/>
      <c r="B51" s="659" t="str">
        <v>17</v>
      </c>
      <c r="C51" s="299" t="s">
        <v>71</v>
      </c>
      <c r="D51" s="300" t="str">
        <f t="shared" si="0"/>
        <v>[m³/h]</v>
      </c>
      <c r="E51" s="306"/>
      <c r="F51" s="272"/>
      <c r="G51" s="272"/>
      <c r="H51" s="272"/>
    </row>
    <row r="52" spans="1:8" ht="18.95" customHeight="1">
      <c r="A52" s="272"/>
      <c r="B52" s="654" t="str">
        <v>18</v>
      </c>
      <c r="C52" s="307" t="s">
        <v>140</v>
      </c>
      <c r="D52" s="308" t="str">
        <f t="shared" si="0"/>
        <v>[m³/h]</v>
      </c>
      <c r="E52" s="309">
        <f>SUM(E53:E55)</f>
        <v>0</v>
      </c>
      <c r="F52" s="272"/>
      <c r="G52" s="272"/>
      <c r="H52" s="272"/>
    </row>
    <row r="53" spans="1:8" ht="18.95" customHeight="1">
      <c r="A53" s="272"/>
      <c r="B53" s="696" t="str">
        <v>19</v>
      </c>
      <c r="C53" s="293" t="s">
        <v>69</v>
      </c>
      <c r="D53" s="294" t="str">
        <f t="shared" si="0"/>
        <v>[m³/h]</v>
      </c>
      <c r="E53" s="303"/>
      <c r="F53" s="272"/>
      <c r="G53" s="272"/>
      <c r="H53" s="272"/>
    </row>
    <row r="54" spans="1:8" ht="18.95" customHeight="1">
      <c r="A54" s="272"/>
      <c r="B54" s="697" t="str">
        <v>20</v>
      </c>
      <c r="C54" s="295" t="s">
        <v>70</v>
      </c>
      <c r="D54" s="296" t="str">
        <f t="shared" si="0"/>
        <v>[m³/h]</v>
      </c>
      <c r="E54" s="304"/>
      <c r="F54" s="272"/>
      <c r="G54" s="272"/>
      <c r="H54" s="272"/>
    </row>
    <row r="55" spans="1:8" ht="18.95" customHeight="1" thickBot="1">
      <c r="A55" s="272"/>
      <c r="B55" s="661" t="str">
        <v>21</v>
      </c>
      <c r="C55" s="310" t="s">
        <v>71</v>
      </c>
      <c r="D55" s="311" t="str">
        <f t="shared" si="0"/>
        <v>[m³/h]</v>
      </c>
      <c r="E55" s="312"/>
      <c r="F55" s="272"/>
      <c r="G55" s="272"/>
      <c r="H55" s="272"/>
    </row>
    <row r="56" spans="1:8" ht="9.9499999999999993" customHeight="1" thickTop="1">
      <c r="A56" s="272"/>
      <c r="B56" s="683"/>
      <c r="C56" s="272"/>
      <c r="D56" s="272"/>
      <c r="E56" s="272"/>
      <c r="F56" s="272"/>
      <c r="G56" s="272"/>
      <c r="H56" s="272"/>
    </row>
    <row r="57" spans="1:8" ht="24.95" customHeight="1">
      <c r="A57" s="272"/>
      <c r="B57" s="839" t="s">
        <v>208</v>
      </c>
      <c r="C57" s="1061" t="s">
        <v>268</v>
      </c>
      <c r="D57" s="1061"/>
      <c r="E57" s="1061"/>
      <c r="F57" s="1061"/>
      <c r="G57" s="1061"/>
      <c r="H57" s="699"/>
    </row>
    <row r="58" spans="1:8" ht="15" customHeight="1">
      <c r="A58" s="272"/>
      <c r="B58" s="834" t="s">
        <v>209</v>
      </c>
      <c r="C58" s="1077" t="s">
        <v>210</v>
      </c>
      <c r="D58" s="1078"/>
      <c r="E58" s="1078"/>
      <c r="F58" s="1078"/>
      <c r="G58" s="1078"/>
      <c r="H58" s="272"/>
    </row>
    <row r="59" spans="1:8" ht="15" customHeight="1">
      <c r="A59" s="272"/>
      <c r="B59" s="839" t="s">
        <v>211</v>
      </c>
      <c r="C59" s="1061" t="s">
        <v>212</v>
      </c>
      <c r="D59" s="1061"/>
      <c r="E59" s="1061"/>
      <c r="F59" s="1061"/>
      <c r="G59" s="1061"/>
      <c r="H59" s="700"/>
    </row>
    <row r="60" spans="1:8" ht="18.95" customHeight="1">
      <c r="A60" s="272"/>
      <c r="B60" s="683"/>
      <c r="C60" s="272"/>
      <c r="D60" s="272"/>
      <c r="E60" s="272"/>
      <c r="F60" s="272"/>
      <c r="G60" s="272"/>
      <c r="H60" s="272"/>
    </row>
    <row r="61" spans="1:8" ht="30" customHeight="1" thickBot="1">
      <c r="A61" s="272"/>
      <c r="B61" s="695" t="s">
        <v>147</v>
      </c>
      <c r="C61" s="272"/>
      <c r="D61" s="272"/>
      <c r="E61" s="272"/>
      <c r="F61" s="272"/>
      <c r="G61" s="272"/>
      <c r="H61" s="272"/>
    </row>
    <row r="62" spans="1:8" ht="18.95" customHeight="1" thickTop="1">
      <c r="A62" s="272"/>
      <c r="B62" s="1071" t="str">
        <f>'Tab.G1.1-4'!$B$8</f>
        <v>LP</v>
      </c>
      <c r="C62" s="1073" t="str">
        <f>'Tab.G1.1-4'!$C$8</f>
        <v>Wyszczególnienie</v>
      </c>
      <c r="D62" s="1074"/>
      <c r="E62" s="674" t="str">
        <f>'Tab.G1.1-4'!$E$8</f>
        <v>Wykonanie</v>
      </c>
      <c r="F62" s="272"/>
      <c r="G62" s="272"/>
      <c r="H62" s="272"/>
    </row>
    <row r="63" spans="1:8" ht="18.95" customHeight="1">
      <c r="A63" s="272"/>
      <c r="B63" s="1072"/>
      <c r="C63" s="1075"/>
      <c r="D63" s="1076"/>
      <c r="E63" s="671">
        <f>Rok_ZPR</f>
        <v>2023</v>
      </c>
      <c r="F63" s="272"/>
      <c r="G63" s="272"/>
      <c r="H63" s="272"/>
    </row>
    <row r="64" spans="1:8" ht="14.1" customHeight="1" thickBot="1">
      <c r="A64" s="272"/>
      <c r="B64" s="672" t="str">
        <f t="array" ref="B64:B84">Tab.G17!$B$10:$B$30</f>
        <v>01</v>
      </c>
      <c r="C64" s="1057" t="str">
        <f>Tab.G17!$B$11</f>
        <v>02</v>
      </c>
      <c r="D64" s="1058"/>
      <c r="E64" s="662" t="str">
        <f>Tab.G17!$B$12</f>
        <v>03</v>
      </c>
      <c r="F64" s="272"/>
      <c r="G64" s="272"/>
      <c r="H64" s="272"/>
    </row>
    <row r="65" spans="1:8" ht="18.95" customHeight="1">
      <c r="A65" s="272"/>
      <c r="B65" s="702" t="str">
        <v>02</v>
      </c>
      <c r="C65" s="651" t="s">
        <v>148</v>
      </c>
      <c r="D65" s="652" t="str">
        <f>'Tab.G2.1-3'!$D$168</f>
        <v>[tys. zł/szt.]</v>
      </c>
      <c r="E65" s="701" t="str">
        <f t="array" ref="E65:E68">IFERROR($E$14:$E$17/E36:E39,"")</f>
        <v/>
      </c>
      <c r="F65" s="272"/>
      <c r="G65" s="272"/>
      <c r="H65" s="272"/>
    </row>
    <row r="66" spans="1:8" ht="18.95" customHeight="1">
      <c r="A66" s="272"/>
      <c r="B66" s="696" t="str">
        <v>03</v>
      </c>
      <c r="C66" s="293" t="s">
        <v>69</v>
      </c>
      <c r="D66" s="294" t="str">
        <f>'Tab.G2.1-3'!$D$168</f>
        <v>[tys. zł/szt.]</v>
      </c>
      <c r="E66" s="313" t="str">
        <v/>
      </c>
      <c r="F66" s="272"/>
      <c r="G66" s="272"/>
      <c r="H66" s="272"/>
    </row>
    <row r="67" spans="1:8" ht="18.95" customHeight="1">
      <c r="A67" s="272"/>
      <c r="B67" s="697" t="str">
        <v>04</v>
      </c>
      <c r="C67" s="295" t="s">
        <v>70</v>
      </c>
      <c r="D67" s="296" t="str">
        <f>'Tab.G2.1-3'!$D$168</f>
        <v>[tys. zł/szt.]</v>
      </c>
      <c r="E67" s="314" t="str">
        <v/>
      </c>
      <c r="F67" s="272"/>
      <c r="G67" s="272"/>
      <c r="H67" s="272"/>
    </row>
    <row r="68" spans="1:8" ht="18.95" customHeight="1" thickBot="1">
      <c r="A68" s="272"/>
      <c r="B68" s="698" t="str">
        <v>05</v>
      </c>
      <c r="C68" s="297" t="s">
        <v>71</v>
      </c>
      <c r="D68" s="298" t="str">
        <f>'Tab.G2.1-3'!$D$168</f>
        <v>[tys. zł/szt.]</v>
      </c>
      <c r="E68" s="315" t="str">
        <v/>
      </c>
      <c r="F68" s="272"/>
      <c r="G68" s="272"/>
      <c r="H68" s="272"/>
    </row>
    <row r="69" spans="1:8" ht="18.95" customHeight="1">
      <c r="A69" s="272"/>
      <c r="B69" s="654" t="str">
        <v>06</v>
      </c>
      <c r="C69" s="307" t="s">
        <v>149</v>
      </c>
      <c r="D69" s="308" t="str">
        <f>'Tab.G2.1-3'!$D$134</f>
        <v>[tys. zł/km]</v>
      </c>
      <c r="E69" s="316" t="str">
        <f t="array" ref="E69:E72">IFERROR($E$14:$E$17/E40:E43,"")</f>
        <v/>
      </c>
      <c r="F69" s="272"/>
      <c r="G69" s="272"/>
      <c r="H69" s="272"/>
    </row>
    <row r="70" spans="1:8" ht="18.95" customHeight="1">
      <c r="A70" s="272"/>
      <c r="B70" s="696" t="str">
        <v>07</v>
      </c>
      <c r="C70" s="293" t="s">
        <v>69</v>
      </c>
      <c r="D70" s="294" t="str">
        <f>'Tab.G2.1-3'!$D$134</f>
        <v>[tys. zł/km]</v>
      </c>
      <c r="E70" s="313" t="str">
        <v/>
      </c>
      <c r="F70" s="272"/>
      <c r="G70" s="272"/>
      <c r="H70" s="272"/>
    </row>
    <row r="71" spans="1:8" ht="18.95" customHeight="1">
      <c r="A71" s="272"/>
      <c r="B71" s="697" t="str">
        <v>08</v>
      </c>
      <c r="C71" s="295" t="s">
        <v>70</v>
      </c>
      <c r="D71" s="296" t="str">
        <f>'Tab.G2.1-3'!$D$134</f>
        <v>[tys. zł/km]</v>
      </c>
      <c r="E71" s="314" t="str">
        <v/>
      </c>
      <c r="F71" s="272"/>
      <c r="G71" s="272"/>
      <c r="H71" s="272"/>
    </row>
    <row r="72" spans="1:8" ht="18.95" customHeight="1" thickBot="1">
      <c r="A72" s="272"/>
      <c r="B72" s="659" t="str">
        <v>09</v>
      </c>
      <c r="C72" s="299" t="s">
        <v>71</v>
      </c>
      <c r="D72" s="300" t="str">
        <f>'Tab.G2.1-3'!$D$134</f>
        <v>[tys. zł/km]</v>
      </c>
      <c r="E72" s="317" t="str">
        <v/>
      </c>
      <c r="F72" s="272"/>
      <c r="G72" s="272"/>
      <c r="H72" s="272"/>
    </row>
    <row r="73" spans="1:8" ht="18.95" customHeight="1">
      <c r="A73" s="272"/>
      <c r="B73" s="654" t="str">
        <v>10</v>
      </c>
      <c r="C73" s="307" t="s">
        <v>150</v>
      </c>
      <c r="D73" s="308" t="str">
        <f>'Tab.G2.1-3'!$D$168</f>
        <v>[tys. zł/szt.]</v>
      </c>
      <c r="E73" s="316" t="str">
        <f t="array" ref="E73:E76">IFERROR($E$14:$E$17/E44:E47,"")</f>
        <v/>
      </c>
      <c r="F73" s="272"/>
      <c r="G73" s="272"/>
      <c r="H73" s="272"/>
    </row>
    <row r="74" spans="1:8" ht="18.95" customHeight="1">
      <c r="A74" s="272"/>
      <c r="B74" s="696" t="str">
        <v>11</v>
      </c>
      <c r="C74" s="293" t="s">
        <v>69</v>
      </c>
      <c r="D74" s="294" t="str">
        <f>'Tab.G2.1-3'!$D$168</f>
        <v>[tys. zł/szt.]</v>
      </c>
      <c r="E74" s="313" t="str">
        <v/>
      </c>
      <c r="F74" s="272"/>
      <c r="G74" s="272"/>
      <c r="H74" s="272"/>
    </row>
    <row r="75" spans="1:8" ht="18.95" customHeight="1">
      <c r="A75" s="272"/>
      <c r="B75" s="697" t="str">
        <v>12</v>
      </c>
      <c r="C75" s="295" t="s">
        <v>70</v>
      </c>
      <c r="D75" s="296" t="str">
        <f>'Tab.G2.1-3'!$D$168</f>
        <v>[tys. zł/szt.]</v>
      </c>
      <c r="E75" s="314" t="str">
        <v/>
      </c>
      <c r="F75" s="272"/>
      <c r="G75" s="272"/>
      <c r="H75" s="272"/>
    </row>
    <row r="76" spans="1:8" ht="18.95" customHeight="1" thickBot="1">
      <c r="A76" s="272"/>
      <c r="B76" s="659" t="str">
        <v>13</v>
      </c>
      <c r="C76" s="299" t="s">
        <v>71</v>
      </c>
      <c r="D76" s="300" t="str">
        <f>'Tab.G2.1-3'!$D$168</f>
        <v>[tys. zł/szt.]</v>
      </c>
      <c r="E76" s="317" t="str">
        <v/>
      </c>
      <c r="F76" s="272"/>
      <c r="G76" s="272"/>
      <c r="H76" s="272"/>
    </row>
    <row r="77" spans="1:8" ht="18.95" customHeight="1">
      <c r="A77" s="272"/>
      <c r="B77" s="654" t="str">
        <v>14</v>
      </c>
      <c r="C77" s="307" t="s">
        <v>151</v>
      </c>
      <c r="D77" s="308" t="str">
        <f>"[tys. zł/(m³/h)]"</f>
        <v>[tys. zł/(m³/h)]</v>
      </c>
      <c r="E77" s="316" t="str">
        <f t="array" ref="E77:E80">IFERROR($E$14:$E$17/E48:E51,"")</f>
        <v/>
      </c>
      <c r="F77" s="272"/>
      <c r="G77" s="272"/>
      <c r="H77" s="272"/>
    </row>
    <row r="78" spans="1:8" ht="18.95" customHeight="1">
      <c r="A78" s="272"/>
      <c r="B78" s="696" t="str">
        <v>15</v>
      </c>
      <c r="C78" s="293" t="s">
        <v>69</v>
      </c>
      <c r="D78" s="294" t="str">
        <f t="shared" ref="D78:D84" si="1">$D$77</f>
        <v>[tys. zł/(m³/h)]</v>
      </c>
      <c r="E78" s="313" t="str">
        <v/>
      </c>
      <c r="F78" s="272"/>
      <c r="G78" s="272"/>
      <c r="H78" s="272"/>
    </row>
    <row r="79" spans="1:8" ht="18.95" customHeight="1">
      <c r="A79" s="272"/>
      <c r="B79" s="697" t="str">
        <v>16</v>
      </c>
      <c r="C79" s="295" t="s">
        <v>70</v>
      </c>
      <c r="D79" s="296" t="str">
        <f t="shared" si="1"/>
        <v>[tys. zł/(m³/h)]</v>
      </c>
      <c r="E79" s="314" t="str">
        <v/>
      </c>
      <c r="F79" s="272"/>
      <c r="G79" s="272"/>
      <c r="H79" s="272"/>
    </row>
    <row r="80" spans="1:8" ht="18.95" customHeight="1" thickBot="1">
      <c r="A80" s="272"/>
      <c r="B80" s="659" t="str">
        <v>17</v>
      </c>
      <c r="C80" s="299" t="s">
        <v>71</v>
      </c>
      <c r="D80" s="300" t="str">
        <f t="shared" si="1"/>
        <v>[tys. zł/(m³/h)]</v>
      </c>
      <c r="E80" s="317" t="str">
        <v/>
      </c>
      <c r="F80" s="272"/>
      <c r="G80" s="272"/>
      <c r="H80" s="272"/>
    </row>
    <row r="81" spans="1:8" ht="18.95" customHeight="1">
      <c r="A81" s="272"/>
      <c r="B81" s="654" t="str">
        <v>18</v>
      </c>
      <c r="C81" s="307" t="s">
        <v>152</v>
      </c>
      <c r="D81" s="308" t="str">
        <f t="shared" si="1"/>
        <v>[tys. zł/(m³/h)]</v>
      </c>
      <c r="E81" s="316" t="str">
        <f t="array" ref="E81:E84">IFERROR($E$14:$E$17/E52:E55,"")</f>
        <v/>
      </c>
      <c r="F81" s="272"/>
      <c r="G81" s="272"/>
      <c r="H81" s="272"/>
    </row>
    <row r="82" spans="1:8" ht="18.95" customHeight="1">
      <c r="A82" s="272"/>
      <c r="B82" s="696" t="str">
        <v>19</v>
      </c>
      <c r="C82" s="293" t="s">
        <v>69</v>
      </c>
      <c r="D82" s="294" t="str">
        <f t="shared" si="1"/>
        <v>[tys. zł/(m³/h)]</v>
      </c>
      <c r="E82" s="313" t="str">
        <v/>
      </c>
      <c r="F82" s="272"/>
      <c r="G82" s="272"/>
      <c r="H82" s="272"/>
    </row>
    <row r="83" spans="1:8" ht="18.95" customHeight="1">
      <c r="A83" s="272"/>
      <c r="B83" s="697" t="str">
        <v>20</v>
      </c>
      <c r="C83" s="295" t="s">
        <v>70</v>
      </c>
      <c r="D83" s="296" t="str">
        <f t="shared" si="1"/>
        <v>[tys. zł/(m³/h)]</v>
      </c>
      <c r="E83" s="314" t="str">
        <v/>
      </c>
      <c r="F83" s="272"/>
      <c r="G83" s="272"/>
      <c r="H83" s="272"/>
    </row>
    <row r="84" spans="1:8" ht="18.95" customHeight="1" thickBot="1">
      <c r="A84" s="272"/>
      <c r="B84" s="661" t="str">
        <v>21</v>
      </c>
      <c r="C84" s="310" t="s">
        <v>71</v>
      </c>
      <c r="D84" s="311" t="str">
        <f t="shared" si="1"/>
        <v>[tys. zł/(m³/h)]</v>
      </c>
      <c r="E84" s="703" t="str">
        <v/>
      </c>
      <c r="F84" s="272"/>
      <c r="G84" s="272"/>
      <c r="H84" s="272"/>
    </row>
    <row r="85" spans="1:8" ht="18.95" customHeight="1" thickTop="1">
      <c r="A85" s="272"/>
      <c r="B85" s="683"/>
      <c r="C85" s="272"/>
      <c r="D85" s="272"/>
      <c r="E85" s="272"/>
      <c r="F85" s="272"/>
      <c r="G85" s="272"/>
      <c r="H85" s="272"/>
    </row>
    <row r="86" spans="1:8" ht="18.95" customHeight="1">
      <c r="A86" s="272"/>
      <c r="B86" s="683"/>
      <c r="C86" s="272"/>
      <c r="D86" s="272"/>
      <c r="E86" s="272"/>
      <c r="F86" s="272"/>
      <c r="G86" s="272"/>
      <c r="H86" s="272"/>
    </row>
    <row r="87" spans="1:8" ht="30" customHeight="1" thickBot="1">
      <c r="A87" s="272"/>
      <c r="B87" s="695" t="s">
        <v>146</v>
      </c>
      <c r="C87" s="272"/>
      <c r="D87" s="272"/>
      <c r="E87" s="272"/>
      <c r="F87" s="272"/>
      <c r="G87" s="272"/>
      <c r="H87" s="272"/>
    </row>
    <row r="88" spans="1:8" ht="18.95" customHeight="1" thickTop="1">
      <c r="A88" s="272"/>
      <c r="B88" s="1071" t="str">
        <f>'Tab.G1.1-4'!$B$8</f>
        <v>LP</v>
      </c>
      <c r="C88" s="1073" t="str">
        <f>'Tab.G1.1-4'!$C$8</f>
        <v>Wyszczególnienie</v>
      </c>
      <c r="D88" s="1074"/>
      <c r="E88" s="674" t="str">
        <f>'Tab.G1.1-4'!$E$8</f>
        <v>Wykonanie</v>
      </c>
      <c r="F88" s="272"/>
      <c r="G88" s="272"/>
      <c r="H88" s="272"/>
    </row>
    <row r="89" spans="1:8" ht="18.95" customHeight="1">
      <c r="A89" s="272"/>
      <c r="B89" s="1072"/>
      <c r="C89" s="1075"/>
      <c r="D89" s="1076"/>
      <c r="E89" s="671">
        <f>Rok_ZPR</f>
        <v>2023</v>
      </c>
      <c r="F89" s="272"/>
      <c r="G89" s="272"/>
      <c r="H89" s="272"/>
    </row>
    <row r="90" spans="1:8" ht="14.1" customHeight="1" thickBot="1">
      <c r="A90" s="272"/>
      <c r="B90" s="672" t="str">
        <f t="array" ref="B90:B110">Tab.G17!$B$10:$B$30</f>
        <v>01</v>
      </c>
      <c r="C90" s="1057" t="str">
        <f>Tab.G17!$B$11</f>
        <v>02</v>
      </c>
      <c r="D90" s="1058"/>
      <c r="E90" s="662" t="str">
        <f>Tab.G17!$B$12</f>
        <v>03</v>
      </c>
      <c r="F90" s="272"/>
      <c r="G90" s="272"/>
      <c r="H90" s="272"/>
    </row>
    <row r="91" spans="1:8" ht="18.95" customHeight="1">
      <c r="A91" s="272"/>
      <c r="B91" s="702" t="str">
        <v>02</v>
      </c>
      <c r="C91" s="651" t="s">
        <v>142</v>
      </c>
      <c r="D91" s="652" t="str">
        <f>'Tab.G2.1-3'!$D$168</f>
        <v>[tys. zł/szt.]</v>
      </c>
      <c r="E91" s="653" t="str">
        <f t="array" ref="E91:E94">IFERROR($E$25:$E$28/E36:E39,"")</f>
        <v/>
      </c>
      <c r="F91" s="272"/>
      <c r="G91" s="272"/>
      <c r="H91" s="272"/>
    </row>
    <row r="92" spans="1:8" ht="18.95" customHeight="1">
      <c r="A92" s="272"/>
      <c r="B92" s="696" t="str">
        <v>03</v>
      </c>
      <c r="C92" s="293" t="s">
        <v>69</v>
      </c>
      <c r="D92" s="294" t="str">
        <f>'Tab.G2.1-3'!$D$168</f>
        <v>[tys. zł/szt.]</v>
      </c>
      <c r="E92" s="303" t="str">
        <v/>
      </c>
      <c r="F92" s="272"/>
      <c r="G92" s="272"/>
      <c r="H92" s="272"/>
    </row>
    <row r="93" spans="1:8" ht="18.95" customHeight="1">
      <c r="A93" s="272"/>
      <c r="B93" s="697" t="str">
        <v>04</v>
      </c>
      <c r="C93" s="295" t="s">
        <v>70</v>
      </c>
      <c r="D93" s="296" t="str">
        <f>'Tab.G2.1-3'!$D$168</f>
        <v>[tys. zł/szt.]</v>
      </c>
      <c r="E93" s="304" t="str">
        <v/>
      </c>
      <c r="F93" s="272"/>
      <c r="G93" s="272"/>
      <c r="H93" s="272"/>
    </row>
    <row r="94" spans="1:8" ht="18.95" customHeight="1" thickBot="1">
      <c r="A94" s="272"/>
      <c r="B94" s="698" t="str">
        <v>05</v>
      </c>
      <c r="C94" s="297" t="s">
        <v>71</v>
      </c>
      <c r="D94" s="298" t="str">
        <f>'Tab.G2.1-3'!$D$168</f>
        <v>[tys. zł/szt.]</v>
      </c>
      <c r="E94" s="305" t="str">
        <v/>
      </c>
      <c r="F94" s="272"/>
      <c r="G94" s="272"/>
      <c r="H94" s="272"/>
    </row>
    <row r="95" spans="1:8" ht="18.95" customHeight="1">
      <c r="A95" s="272"/>
      <c r="B95" s="654" t="str">
        <v>06</v>
      </c>
      <c r="C95" s="307" t="s">
        <v>141</v>
      </c>
      <c r="D95" s="308" t="str">
        <f>'Tab.G2.1-3'!$D$134</f>
        <v>[tys. zł/km]</v>
      </c>
      <c r="E95" s="309" t="str">
        <f t="array" ref="E95:E98">IFERROR($E$25:$E$28/E40:E43,"")</f>
        <v/>
      </c>
      <c r="F95" s="272"/>
      <c r="G95" s="272"/>
      <c r="H95" s="272"/>
    </row>
    <row r="96" spans="1:8" ht="18.95" customHeight="1">
      <c r="A96" s="272"/>
      <c r="B96" s="696" t="str">
        <v>07</v>
      </c>
      <c r="C96" s="293" t="s">
        <v>69</v>
      </c>
      <c r="D96" s="294" t="str">
        <f>'Tab.G2.1-3'!$D$134</f>
        <v>[tys. zł/km]</v>
      </c>
      <c r="E96" s="303" t="str">
        <v/>
      </c>
      <c r="F96" s="272"/>
      <c r="G96" s="272"/>
      <c r="H96" s="272"/>
    </row>
    <row r="97" spans="1:8" ht="18.95" customHeight="1">
      <c r="A97" s="272"/>
      <c r="B97" s="697" t="str">
        <v>08</v>
      </c>
      <c r="C97" s="295" t="s">
        <v>70</v>
      </c>
      <c r="D97" s="296" t="str">
        <f>'Tab.G2.1-3'!$D$134</f>
        <v>[tys. zł/km]</v>
      </c>
      <c r="E97" s="304" t="str">
        <v/>
      </c>
      <c r="F97" s="272"/>
      <c r="G97" s="272"/>
      <c r="H97" s="272"/>
    </row>
    <row r="98" spans="1:8" ht="18.95" customHeight="1" thickBot="1">
      <c r="A98" s="272"/>
      <c r="B98" s="659" t="str">
        <v>09</v>
      </c>
      <c r="C98" s="299" t="s">
        <v>71</v>
      </c>
      <c r="D98" s="300" t="str">
        <f>'Tab.G2.1-3'!$D$134</f>
        <v>[tys. zł/km]</v>
      </c>
      <c r="E98" s="306" t="str">
        <v/>
      </c>
      <c r="F98" s="272"/>
      <c r="G98" s="272"/>
      <c r="H98" s="272"/>
    </row>
    <row r="99" spans="1:8" ht="18.95" customHeight="1">
      <c r="A99" s="272"/>
      <c r="B99" s="654" t="str">
        <v>10</v>
      </c>
      <c r="C99" s="307" t="s">
        <v>143</v>
      </c>
      <c r="D99" s="308" t="str">
        <f>'Tab.G2.1-3'!$D$168</f>
        <v>[tys. zł/szt.]</v>
      </c>
      <c r="E99" s="309" t="str">
        <f t="array" ref="E99:E102">IFERROR($E$25:$E$28/E44:E47,"")</f>
        <v/>
      </c>
      <c r="F99" s="272"/>
      <c r="G99" s="272"/>
      <c r="H99" s="272"/>
    </row>
    <row r="100" spans="1:8" ht="18.95" customHeight="1">
      <c r="A100" s="272"/>
      <c r="B100" s="696" t="str">
        <v>11</v>
      </c>
      <c r="C100" s="293" t="s">
        <v>69</v>
      </c>
      <c r="D100" s="294" t="str">
        <f>'Tab.G2.1-3'!$D$168</f>
        <v>[tys. zł/szt.]</v>
      </c>
      <c r="E100" s="303" t="str">
        <v/>
      </c>
      <c r="F100" s="272"/>
      <c r="G100" s="272"/>
      <c r="H100" s="272"/>
    </row>
    <row r="101" spans="1:8" ht="18.95" customHeight="1">
      <c r="A101" s="272"/>
      <c r="B101" s="697" t="str">
        <v>12</v>
      </c>
      <c r="C101" s="295" t="s">
        <v>70</v>
      </c>
      <c r="D101" s="296" t="str">
        <f>'Tab.G2.1-3'!$D$168</f>
        <v>[tys. zł/szt.]</v>
      </c>
      <c r="E101" s="304" t="str">
        <v/>
      </c>
      <c r="F101" s="272"/>
      <c r="G101" s="272"/>
      <c r="H101" s="272"/>
    </row>
    <row r="102" spans="1:8" ht="18.95" customHeight="1" thickBot="1">
      <c r="A102" s="272"/>
      <c r="B102" s="659" t="str">
        <v>13</v>
      </c>
      <c r="C102" s="299" t="s">
        <v>71</v>
      </c>
      <c r="D102" s="300" t="str">
        <f>'Tab.G2.1-3'!$D$168</f>
        <v>[tys. zł/szt.]</v>
      </c>
      <c r="E102" s="306" t="str">
        <v/>
      </c>
      <c r="F102" s="272"/>
      <c r="G102" s="272"/>
      <c r="H102" s="272"/>
    </row>
    <row r="103" spans="1:8" ht="18.95" customHeight="1">
      <c r="A103" s="272"/>
      <c r="B103" s="654" t="str">
        <v>14</v>
      </c>
      <c r="C103" s="307" t="s">
        <v>144</v>
      </c>
      <c r="D103" s="308" t="str">
        <f t="shared" ref="D103:D110" si="2">$D$77</f>
        <v>[tys. zł/(m³/h)]</v>
      </c>
      <c r="E103" s="309" t="str">
        <f t="array" ref="E103:E106">IFERROR($E$25:$E$28/E48:E51,"")</f>
        <v/>
      </c>
      <c r="F103" s="272"/>
      <c r="G103" s="272"/>
      <c r="H103" s="272"/>
    </row>
    <row r="104" spans="1:8" ht="18.95" customHeight="1">
      <c r="A104" s="272"/>
      <c r="B104" s="696" t="str">
        <v>15</v>
      </c>
      <c r="C104" s="293" t="s">
        <v>69</v>
      </c>
      <c r="D104" s="294" t="str">
        <f t="shared" si="2"/>
        <v>[tys. zł/(m³/h)]</v>
      </c>
      <c r="E104" s="303" t="str">
        <v/>
      </c>
      <c r="F104" s="272"/>
      <c r="G104" s="272"/>
      <c r="H104" s="272"/>
    </row>
    <row r="105" spans="1:8" ht="18.95" customHeight="1">
      <c r="A105" s="272"/>
      <c r="B105" s="697" t="str">
        <v>16</v>
      </c>
      <c r="C105" s="295" t="s">
        <v>70</v>
      </c>
      <c r="D105" s="296" t="str">
        <f t="shared" si="2"/>
        <v>[tys. zł/(m³/h)]</v>
      </c>
      <c r="E105" s="304" t="str">
        <v/>
      </c>
      <c r="F105" s="272"/>
      <c r="G105" s="272"/>
      <c r="H105" s="272"/>
    </row>
    <row r="106" spans="1:8" ht="18.95" customHeight="1" thickBot="1">
      <c r="A106" s="272"/>
      <c r="B106" s="659" t="str">
        <v>17</v>
      </c>
      <c r="C106" s="299" t="s">
        <v>71</v>
      </c>
      <c r="D106" s="300" t="str">
        <f t="shared" si="2"/>
        <v>[tys. zł/(m³/h)]</v>
      </c>
      <c r="E106" s="306" t="str">
        <v/>
      </c>
      <c r="F106" s="272"/>
      <c r="G106" s="272"/>
      <c r="H106" s="272"/>
    </row>
    <row r="107" spans="1:8" ht="18.95" customHeight="1">
      <c r="A107" s="272"/>
      <c r="B107" s="654" t="str">
        <v>18</v>
      </c>
      <c r="C107" s="307" t="s">
        <v>145</v>
      </c>
      <c r="D107" s="308" t="str">
        <f t="shared" si="2"/>
        <v>[tys. zł/(m³/h)]</v>
      </c>
      <c r="E107" s="309" t="str">
        <f t="array" ref="E107:E110">IFERROR($E$25:$E$28/E52:E55,"")</f>
        <v/>
      </c>
      <c r="F107" s="272"/>
      <c r="G107" s="272"/>
      <c r="H107" s="272"/>
    </row>
    <row r="108" spans="1:8" ht="18.95" customHeight="1">
      <c r="A108" s="272"/>
      <c r="B108" s="696" t="str">
        <v>19</v>
      </c>
      <c r="C108" s="293" t="s">
        <v>69</v>
      </c>
      <c r="D108" s="294" t="str">
        <f t="shared" si="2"/>
        <v>[tys. zł/(m³/h)]</v>
      </c>
      <c r="E108" s="303" t="str">
        <v/>
      </c>
      <c r="F108" s="272"/>
      <c r="G108" s="272"/>
      <c r="H108" s="272"/>
    </row>
    <row r="109" spans="1:8" ht="18.95" customHeight="1">
      <c r="A109" s="272"/>
      <c r="B109" s="697" t="str">
        <v>20</v>
      </c>
      <c r="C109" s="295" t="s">
        <v>70</v>
      </c>
      <c r="D109" s="296" t="str">
        <f t="shared" si="2"/>
        <v>[tys. zł/(m³/h)]</v>
      </c>
      <c r="E109" s="304" t="str">
        <v/>
      </c>
      <c r="F109" s="272"/>
      <c r="G109" s="272"/>
      <c r="H109" s="272"/>
    </row>
    <row r="110" spans="1:8" ht="18.95" customHeight="1" thickBot="1">
      <c r="A110" s="272"/>
      <c r="B110" s="661" t="str">
        <v>21</v>
      </c>
      <c r="C110" s="310" t="s">
        <v>71</v>
      </c>
      <c r="D110" s="311" t="str">
        <f t="shared" si="2"/>
        <v>[tys. zł/(m³/h)]</v>
      </c>
      <c r="E110" s="312" t="str">
        <v/>
      </c>
      <c r="F110" s="272"/>
      <c r="G110" s="272"/>
      <c r="H110" s="272"/>
    </row>
    <row r="111" spans="1:8" ht="18.95" customHeight="1" thickTop="1">
      <c r="A111" s="272"/>
      <c r="B111" s="683"/>
      <c r="C111" s="272"/>
      <c r="D111" s="272"/>
      <c r="E111" s="272"/>
      <c r="F111" s="272"/>
      <c r="G111" s="272"/>
      <c r="H111" s="272"/>
    </row>
    <row r="112" spans="1:8" ht="18.95" customHeight="1">
      <c r="A112" s="272"/>
      <c r="B112" s="683"/>
      <c r="C112" s="272"/>
      <c r="D112" s="272"/>
      <c r="E112" s="272"/>
      <c r="F112" s="272"/>
      <c r="G112" s="272"/>
      <c r="H112" s="272"/>
    </row>
  </sheetData>
  <mergeCells count="24">
    <mergeCell ref="C35:D35"/>
    <mergeCell ref="B88:B89"/>
    <mergeCell ref="C88:D89"/>
    <mergeCell ref="C90:D90"/>
    <mergeCell ref="B62:B63"/>
    <mergeCell ref="C62:D63"/>
    <mergeCell ref="C64:D64"/>
    <mergeCell ref="C57:G57"/>
    <mergeCell ref="C58:G58"/>
    <mergeCell ref="C59:G59"/>
    <mergeCell ref="B22:B23"/>
    <mergeCell ref="C22:D23"/>
    <mergeCell ref="B33:B34"/>
    <mergeCell ref="C33:D34"/>
    <mergeCell ref="C24:D24"/>
    <mergeCell ref="C11:D12"/>
    <mergeCell ref="C13:D13"/>
    <mergeCell ref="B11:B12"/>
    <mergeCell ref="C5:G5"/>
    <mergeCell ref="C4:G4"/>
    <mergeCell ref="C6:G6"/>
    <mergeCell ref="C7:G7"/>
    <mergeCell ref="C8:G8"/>
    <mergeCell ref="C9:G9"/>
  </mergeCells>
  <phoneticPr fontId="0" type="noConversion"/>
  <hyperlinks>
    <hyperlink ref="C2" location="Spis!B16" display="&gt;&gt; powrót do spisu treści" xr:uid="{00000000-0004-0000-0500-000000000000}"/>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14">
    <pageSetUpPr fitToPage="1"/>
  </sheetPr>
  <dimension ref="A1:Z112"/>
  <sheetViews>
    <sheetView zoomScale="90" zoomScaleNormal="90" zoomScaleSheetLayoutView="75" workbookViewId="0">
      <pane ySplit="9" topLeftCell="A10" activePane="bottomLeft" state="frozen"/>
      <selection pane="bottomLeft" activeCell="B10" sqref="B10"/>
    </sheetView>
  </sheetViews>
  <sheetFormatPr defaultColWidth="11.33203125" defaultRowHeight="12.75"/>
  <cols>
    <col min="1" max="1" width="3.77734375" style="204" customWidth="1"/>
    <col min="2" max="2" width="4.77734375" style="281" customWidth="1"/>
    <col min="3" max="3" width="66.77734375" style="204" customWidth="1"/>
    <col min="4" max="4" width="12.77734375" style="204" customWidth="1"/>
    <col min="5" max="5" width="15.77734375" style="204" customWidth="1"/>
    <col min="6" max="9" width="10.77734375" style="204" customWidth="1"/>
    <col min="10" max="10" width="15.6640625" style="204" customWidth="1"/>
    <col min="11" max="11" width="11.33203125" style="270"/>
    <col min="12" max="16384" width="11.33203125" style="204"/>
  </cols>
  <sheetData>
    <row r="1" spans="1:12" ht="14.1" customHeight="1">
      <c r="A1" s="270"/>
      <c r="B1" s="272"/>
      <c r="C1" s="272"/>
      <c r="D1" s="272"/>
      <c r="E1" s="272"/>
      <c r="F1" s="272"/>
      <c r="G1" s="272"/>
      <c r="H1" s="272"/>
      <c r="I1" s="270"/>
      <c r="J1" s="270"/>
    </row>
    <row r="2" spans="1:12" ht="18.95" customHeight="1">
      <c r="A2" s="270"/>
      <c r="B2" s="272"/>
      <c r="C2" s="928" t="s">
        <v>9</v>
      </c>
      <c r="D2" s="272"/>
      <c r="E2" s="272"/>
      <c r="F2" s="272"/>
      <c r="G2" s="272"/>
      <c r="H2" s="272"/>
      <c r="I2" s="270"/>
      <c r="J2" s="270"/>
    </row>
    <row r="3" spans="1:12" ht="9.9499999999999993" customHeight="1">
      <c r="A3" s="271"/>
      <c r="B3" s="819"/>
      <c r="C3" s="272"/>
      <c r="D3" s="819"/>
      <c r="E3" s="819"/>
      <c r="F3" s="272"/>
      <c r="G3" s="680"/>
      <c r="H3" s="680"/>
      <c r="I3" s="271"/>
      <c r="J3" s="271"/>
    </row>
    <row r="4" spans="1:12" ht="24.95" customHeight="1">
      <c r="A4" s="271"/>
      <c r="B4" s="834" t="s">
        <v>13</v>
      </c>
      <c r="C4" s="1049" t="s">
        <v>270</v>
      </c>
      <c r="D4" s="1061"/>
      <c r="E4" s="1061"/>
      <c r="F4" s="1061"/>
      <c r="G4" s="1061"/>
      <c r="H4" s="682"/>
      <c r="I4" s="678"/>
      <c r="J4" s="678"/>
      <c r="K4" s="678"/>
      <c r="L4" s="145"/>
    </row>
    <row r="5" spans="1:12" ht="24.95" customHeight="1">
      <c r="A5" s="271"/>
      <c r="B5" s="834" t="s">
        <v>27</v>
      </c>
      <c r="C5" s="1049" t="s">
        <v>264</v>
      </c>
      <c r="D5" s="1050"/>
      <c r="E5" s="1050"/>
      <c r="F5" s="1050"/>
      <c r="G5" s="1050"/>
      <c r="H5" s="682"/>
      <c r="I5" s="677"/>
      <c r="J5" s="677"/>
      <c r="K5" s="677"/>
      <c r="L5" s="820"/>
    </row>
    <row r="6" spans="1:12" ht="15" customHeight="1">
      <c r="A6" s="271"/>
      <c r="B6" s="683"/>
      <c r="C6" s="1062" t="s">
        <v>16</v>
      </c>
      <c r="D6" s="1063"/>
      <c r="E6" s="1063"/>
      <c r="F6" s="1063"/>
      <c r="G6" s="1063"/>
      <c r="H6" s="272"/>
      <c r="I6" s="270"/>
      <c r="J6" s="270"/>
    </row>
    <row r="7" spans="1:12" ht="15" customHeight="1">
      <c r="A7" s="271"/>
      <c r="B7" s="684"/>
      <c r="C7" s="1064" t="s">
        <v>271</v>
      </c>
      <c r="D7" s="1064"/>
      <c r="E7" s="1064"/>
      <c r="F7" s="1064"/>
      <c r="G7" s="1064"/>
      <c r="H7" s="685"/>
      <c r="I7" s="145"/>
      <c r="J7" s="145"/>
    </row>
    <row r="8" spans="1:12" ht="24.95" customHeight="1">
      <c r="A8" s="271"/>
      <c r="B8" s="684"/>
      <c r="C8" s="1064" t="s">
        <v>273</v>
      </c>
      <c r="D8" s="1064"/>
      <c r="E8" s="1064"/>
      <c r="F8" s="1064"/>
      <c r="G8" s="1064"/>
      <c r="H8" s="685"/>
      <c r="I8" s="145"/>
      <c r="J8" s="145"/>
    </row>
    <row r="9" spans="1:12" ht="24.95" customHeight="1">
      <c r="A9" s="271"/>
      <c r="B9" s="684"/>
      <c r="C9" s="1064" t="s">
        <v>272</v>
      </c>
      <c r="D9" s="1064"/>
      <c r="E9" s="1064"/>
      <c r="F9" s="1064"/>
      <c r="G9" s="1064"/>
      <c r="H9" s="685"/>
      <c r="I9" s="145"/>
      <c r="J9" s="145"/>
    </row>
    <row r="10" spans="1:12" ht="30" customHeight="1" thickBot="1">
      <c r="A10" s="199"/>
      <c r="B10" s="199" t="s">
        <v>239</v>
      </c>
      <c r="C10" s="273"/>
      <c r="D10" s="273"/>
      <c r="E10" s="270"/>
      <c r="F10" s="272"/>
      <c r="G10" s="272"/>
      <c r="H10" s="270"/>
      <c r="I10" s="270"/>
      <c r="J10" s="270"/>
    </row>
    <row r="11" spans="1:12" ht="18.95" customHeight="1" thickTop="1">
      <c r="A11" s="199"/>
      <c r="B11" s="1059" t="str">
        <f>'Tab.G1.1-4'!$B$8</f>
        <v>LP</v>
      </c>
      <c r="C11" s="1055" t="str">
        <f>'Tab.G1.1-4'!$C$8</f>
        <v>Wyszczególnienie</v>
      </c>
      <c r="D11" s="1056"/>
      <c r="E11" s="648" t="str">
        <f>'Tab.G1.1-4'!$E$8</f>
        <v>Wykonanie</v>
      </c>
      <c r="F11" s="274"/>
      <c r="G11" s="274"/>
      <c r="H11" s="270"/>
      <c r="I11" s="270"/>
      <c r="J11" s="270"/>
    </row>
    <row r="12" spans="1:12" ht="18.95" customHeight="1">
      <c r="A12" s="199"/>
      <c r="B12" s="1060"/>
      <c r="C12" s="1039"/>
      <c r="D12" s="1040"/>
      <c r="E12" s="544">
        <f>Rok_ZPR</f>
        <v>2023</v>
      </c>
      <c r="F12" s="274"/>
      <c r="G12" s="274"/>
      <c r="H12" s="270"/>
      <c r="I12" s="270"/>
      <c r="J12" s="270"/>
    </row>
    <row r="13" spans="1:12" ht="14.1" customHeight="1" thickBot="1">
      <c r="A13" s="270"/>
      <c r="B13" s="647" t="str">
        <f t="array" ref="B13:B17">Tab.G17!$B$10:$B$14</f>
        <v>01</v>
      </c>
      <c r="C13" s="1057" t="str">
        <f>Tab.G17!$B$11</f>
        <v>02</v>
      </c>
      <c r="D13" s="1058"/>
      <c r="E13" s="662" t="str">
        <f>Tab.G17!$B$12</f>
        <v>03</v>
      </c>
      <c r="F13" s="274"/>
      <c r="G13" s="274"/>
      <c r="H13" s="270"/>
      <c r="I13" s="270"/>
      <c r="J13" s="270"/>
    </row>
    <row r="14" spans="1:12" ht="18.95" customHeight="1">
      <c r="A14" s="270"/>
      <c r="B14" s="667" t="str">
        <v>02</v>
      </c>
      <c r="C14" s="668" t="str">
        <f>"Nakłady inwestycyjne na przyłączenia, z tego:"</f>
        <v>Nakłady inwestycyjne na przyłączenia, z tego:</v>
      </c>
      <c r="D14" s="669" t="str">
        <f>'Tab.G1.1-4'!$D$11</f>
        <v>[tys. zł]</v>
      </c>
      <c r="E14" s="670">
        <f>SUM(E15:E17)</f>
        <v>0</v>
      </c>
      <c r="F14" s="274"/>
      <c r="G14" s="274"/>
      <c r="H14" s="270"/>
      <c r="I14" s="270"/>
      <c r="J14" s="270"/>
    </row>
    <row r="15" spans="1:12" ht="18.95" customHeight="1">
      <c r="A15" s="270"/>
      <c r="B15" s="663" t="str">
        <v>03</v>
      </c>
      <c r="C15" s="676" t="s">
        <v>69</v>
      </c>
      <c r="D15" s="665" t="str">
        <f>'Tab.G1.1-4'!$D$11</f>
        <v>[tys. zł]</v>
      </c>
      <c r="E15" s="666"/>
      <c r="F15" s="274"/>
      <c r="G15" s="274"/>
      <c r="H15" s="270"/>
      <c r="I15" s="270"/>
      <c r="J15" s="270"/>
    </row>
    <row r="16" spans="1:12" ht="18.95" customHeight="1">
      <c r="A16" s="270"/>
      <c r="B16" s="675" t="str">
        <v>04</v>
      </c>
      <c r="C16" s="286" t="s">
        <v>70</v>
      </c>
      <c r="D16" s="282" t="str">
        <f>'Tab.G1.1-4'!$D$11</f>
        <v>[tys. zł]</v>
      </c>
      <c r="E16" s="283"/>
      <c r="F16" s="274"/>
      <c r="G16" s="274"/>
      <c r="H16" s="270"/>
      <c r="I16" s="270"/>
      <c r="J16" s="270"/>
    </row>
    <row r="17" spans="1:26" ht="18.95" customHeight="1" thickBot="1">
      <c r="A17" s="270"/>
      <c r="B17" s="288" t="str">
        <v>05</v>
      </c>
      <c r="C17" s="287" t="s">
        <v>71</v>
      </c>
      <c r="D17" s="284" t="str">
        <f>'Tab.G1.1-4'!$D$11</f>
        <v>[tys. zł]</v>
      </c>
      <c r="E17" s="285"/>
      <c r="F17" s="274"/>
      <c r="G17" s="274"/>
      <c r="H17" s="270"/>
      <c r="I17" s="270"/>
      <c r="J17" s="270"/>
    </row>
    <row r="18" spans="1:26" ht="18.95" customHeight="1" thickTop="1" thickBot="1">
      <c r="A18" s="270"/>
      <c r="B18" s="270"/>
      <c r="C18" s="270"/>
      <c r="D18" s="275" t="s">
        <v>29</v>
      </c>
      <c r="E18" s="276">
        <f>SUM(E14,-'Tab.G1.1-4'!E77)</f>
        <v>0</v>
      </c>
      <c r="F18" s="274"/>
      <c r="G18" s="274"/>
      <c r="H18" s="270"/>
      <c r="I18" s="270"/>
      <c r="J18" s="270"/>
    </row>
    <row r="19" spans="1:26" ht="18.95" customHeight="1">
      <c r="A19" s="272"/>
      <c r="B19" s="274"/>
      <c r="C19" s="274"/>
      <c r="D19" s="274"/>
      <c r="E19" s="274"/>
      <c r="F19" s="274"/>
      <c r="G19" s="274"/>
      <c r="H19" s="274"/>
      <c r="I19" s="820"/>
      <c r="J19" s="820"/>
    </row>
    <row r="20" spans="1:26" ht="18.95" customHeight="1">
      <c r="A20" s="272"/>
      <c r="B20" s="274"/>
      <c r="C20" s="274"/>
      <c r="D20" s="274"/>
      <c r="E20" s="274"/>
      <c r="F20" s="274"/>
      <c r="G20" s="274"/>
      <c r="H20" s="274"/>
      <c r="I20" s="820"/>
      <c r="J20" s="820"/>
    </row>
    <row r="21" spans="1:26" ht="30" customHeight="1" thickBot="1">
      <c r="A21" s="270"/>
      <c r="B21" s="199" t="s">
        <v>240</v>
      </c>
      <c r="D21" s="820"/>
      <c r="E21" s="274"/>
      <c r="F21" s="274"/>
      <c r="G21" s="274"/>
      <c r="H21" s="274"/>
      <c r="I21" s="820"/>
      <c r="J21" s="820"/>
      <c r="K21" s="277"/>
      <c r="L21" s="278"/>
      <c r="M21" s="279"/>
      <c r="N21" s="279"/>
      <c r="O21" s="279"/>
      <c r="P21" s="279"/>
      <c r="Q21" s="279"/>
      <c r="R21" s="279"/>
      <c r="S21" s="279"/>
      <c r="T21" s="279"/>
      <c r="U21" s="279"/>
      <c r="V21" s="279"/>
      <c r="W21" s="279"/>
      <c r="X21" s="279"/>
      <c r="Y21" s="279"/>
      <c r="Z21" s="279"/>
    </row>
    <row r="22" spans="1:26" ht="18.95" customHeight="1" thickTop="1">
      <c r="A22" s="270"/>
      <c r="B22" s="1065" t="str">
        <f>'Tab.G1.1-4'!$B$8</f>
        <v>LP</v>
      </c>
      <c r="C22" s="1067" t="str">
        <f>'Tab.G1.1-4'!$C$8</f>
        <v>Wyszczególnienie</v>
      </c>
      <c r="D22" s="1068"/>
      <c r="E22" s="648" t="str">
        <f>'Tab.G1.1-4'!$E$8</f>
        <v>Wykonanie</v>
      </c>
      <c r="F22" s="274"/>
      <c r="G22" s="274"/>
      <c r="H22" s="274"/>
      <c r="I22" s="820"/>
      <c r="J22" s="820"/>
      <c r="K22" s="277"/>
      <c r="L22" s="278"/>
      <c r="M22" s="279"/>
      <c r="N22" s="279"/>
      <c r="O22" s="279"/>
      <c r="P22" s="279"/>
      <c r="Q22" s="279"/>
      <c r="R22" s="279"/>
      <c r="S22" s="279"/>
      <c r="T22" s="279"/>
      <c r="U22" s="279"/>
      <c r="V22" s="279"/>
      <c r="W22" s="279"/>
      <c r="X22" s="279"/>
      <c r="Y22" s="279"/>
      <c r="Z22" s="279"/>
    </row>
    <row r="23" spans="1:26" ht="18.95" customHeight="1">
      <c r="A23" s="270"/>
      <c r="B23" s="1066"/>
      <c r="C23" s="1069"/>
      <c r="D23" s="1070"/>
      <c r="E23" s="544">
        <f>Rok_ZPR</f>
        <v>2023</v>
      </c>
      <c r="F23" s="274"/>
      <c r="G23" s="274"/>
      <c r="H23" s="274"/>
      <c r="I23" s="820"/>
      <c r="J23" s="820"/>
      <c r="K23" s="277"/>
      <c r="L23" s="278"/>
      <c r="M23" s="279"/>
      <c r="N23" s="279"/>
      <c r="O23" s="279"/>
      <c r="P23" s="279"/>
      <c r="Q23" s="279"/>
      <c r="R23" s="279"/>
      <c r="S23" s="279"/>
      <c r="T23" s="279"/>
      <c r="U23" s="279"/>
      <c r="V23" s="279"/>
      <c r="W23" s="279"/>
      <c r="X23" s="279"/>
      <c r="Y23" s="279"/>
      <c r="Z23" s="279"/>
    </row>
    <row r="24" spans="1:26" ht="14.1" customHeight="1" thickBot="1">
      <c r="A24" s="272"/>
      <c r="B24" s="647" t="str">
        <f t="array" ref="B24:B28">Tab.G17!$B$10:$B$14</f>
        <v>01</v>
      </c>
      <c r="C24" s="1057" t="str">
        <f>Tab.G17!$B$11</f>
        <v>02</v>
      </c>
      <c r="D24" s="1058"/>
      <c r="E24" s="662" t="str">
        <f>Tab.G17!$B$12</f>
        <v>03</v>
      </c>
      <c r="F24" s="688"/>
      <c r="G24" s="688"/>
      <c r="H24" s="688"/>
      <c r="I24" s="280"/>
      <c r="J24" s="280"/>
      <c r="K24" s="277"/>
      <c r="L24" s="278"/>
      <c r="M24" s="279"/>
      <c r="N24" s="279"/>
      <c r="O24" s="279"/>
      <c r="P24" s="279"/>
      <c r="Q24" s="279"/>
      <c r="R24" s="279"/>
      <c r="S24" s="279"/>
      <c r="T24" s="279"/>
      <c r="U24" s="279"/>
      <c r="V24" s="279"/>
      <c r="W24" s="279"/>
      <c r="X24" s="279"/>
      <c r="Y24" s="279"/>
      <c r="Z24" s="279"/>
    </row>
    <row r="25" spans="1:26" ht="18.95" customHeight="1">
      <c r="A25" s="272"/>
      <c r="B25" s="667" t="str">
        <v>02</v>
      </c>
      <c r="C25" s="692" t="str">
        <f>"Nakłady inwestycyjne na przyłącza, z tego:"</f>
        <v>Nakłady inwestycyjne na przyłącza, z tego:</v>
      </c>
      <c r="D25" s="693" t="str">
        <f>'Tab.G1.1-4'!$D$11</f>
        <v>[tys. zł]</v>
      </c>
      <c r="E25" s="694">
        <f>SUM(E26:E28)</f>
        <v>0</v>
      </c>
      <c r="F25" s="272"/>
      <c r="G25" s="272"/>
      <c r="H25" s="272"/>
    </row>
    <row r="26" spans="1:26" ht="18.95" customHeight="1">
      <c r="A26" s="272"/>
      <c r="B26" s="663" t="str">
        <v>03</v>
      </c>
      <c r="C26" s="689" t="s">
        <v>69</v>
      </c>
      <c r="D26" s="690" t="str">
        <f>'Tab.G1.1-4'!$D$11</f>
        <v>[tys. zł]</v>
      </c>
      <c r="E26" s="691"/>
      <c r="F26" s="272"/>
      <c r="G26" s="272"/>
      <c r="H26" s="272"/>
    </row>
    <row r="27" spans="1:26" ht="18.95" customHeight="1">
      <c r="A27" s="272"/>
      <c r="B27" s="675" t="str">
        <v>04</v>
      </c>
      <c r="C27" s="289" t="s">
        <v>70</v>
      </c>
      <c r="D27" s="290" t="str">
        <f>'Tab.G1.1-4'!$D$11</f>
        <v>[tys. zł]</v>
      </c>
      <c r="E27" s="301"/>
      <c r="F27" s="272"/>
      <c r="G27" s="272"/>
      <c r="H27" s="272"/>
    </row>
    <row r="28" spans="1:26" ht="18.95" customHeight="1" thickBot="1">
      <c r="A28" s="272"/>
      <c r="B28" s="288" t="str">
        <v>05</v>
      </c>
      <c r="C28" s="291" t="s">
        <v>71</v>
      </c>
      <c r="D28" s="292" t="str">
        <f>'Tab.G1.1-4'!$D$11</f>
        <v>[tys. zł]</v>
      </c>
      <c r="E28" s="302"/>
      <c r="F28" s="272"/>
      <c r="G28" s="272"/>
      <c r="H28" s="272"/>
    </row>
    <row r="29" spans="1:26" ht="18.95" customHeight="1" thickTop="1" thickBot="1">
      <c r="A29" s="272"/>
      <c r="B29" s="683"/>
      <c r="C29" s="687"/>
      <c r="D29" s="275" t="s">
        <v>29</v>
      </c>
      <c r="E29" s="276">
        <f>SUM(E25,-'Tab.G2.1E-6E'!E35)</f>
        <v>0</v>
      </c>
      <c r="F29" s="272"/>
      <c r="G29" s="272"/>
      <c r="H29" s="272"/>
    </row>
    <row r="30" spans="1:26" ht="18.95" customHeight="1">
      <c r="A30" s="272"/>
      <c r="B30" s="683"/>
      <c r="C30" s="272"/>
      <c r="D30" s="272"/>
      <c r="E30" s="272"/>
      <c r="F30" s="272"/>
      <c r="G30" s="272"/>
      <c r="H30" s="272"/>
    </row>
    <row r="31" spans="1:26" ht="18.95" customHeight="1">
      <c r="A31" s="272"/>
      <c r="B31" s="683"/>
      <c r="C31" s="272"/>
      <c r="D31" s="272"/>
      <c r="E31" s="272"/>
      <c r="F31" s="272"/>
      <c r="G31" s="272"/>
      <c r="H31" s="272"/>
    </row>
    <row r="32" spans="1:26" ht="30" customHeight="1" thickBot="1">
      <c r="A32" s="272"/>
      <c r="B32" s="144" t="s">
        <v>241</v>
      </c>
      <c r="D32" s="144"/>
      <c r="E32" s="685"/>
      <c r="F32" s="272"/>
      <c r="G32" s="272"/>
      <c r="H32" s="272"/>
    </row>
    <row r="33" spans="1:8" ht="18.95" customHeight="1" thickTop="1">
      <c r="A33" s="272"/>
      <c r="B33" s="1071" t="str">
        <f>'Tab.G1.1-4'!$B$8</f>
        <v>LP</v>
      </c>
      <c r="C33" s="1073" t="str">
        <f>'Tab.G1.1-4'!$C$8</f>
        <v>Wyszczególnienie</v>
      </c>
      <c r="D33" s="1074"/>
      <c r="E33" s="674" t="str">
        <f>'Tab.G1.1-4'!$E$8</f>
        <v>Wykonanie</v>
      </c>
      <c r="F33" s="272"/>
      <c r="G33" s="272"/>
      <c r="H33" s="272"/>
    </row>
    <row r="34" spans="1:8" ht="18.95" customHeight="1">
      <c r="A34" s="272"/>
      <c r="B34" s="1072"/>
      <c r="C34" s="1075"/>
      <c r="D34" s="1076"/>
      <c r="E34" s="671">
        <f>Rok_ZPR</f>
        <v>2023</v>
      </c>
      <c r="F34" s="272"/>
      <c r="G34" s="272"/>
      <c r="H34" s="272"/>
    </row>
    <row r="35" spans="1:8" ht="14.1" customHeight="1" thickBot="1">
      <c r="A35" s="272"/>
      <c r="B35" s="672" t="str">
        <f t="array" ref="B35:B55">Tab.G17!$B$10:$B$30</f>
        <v>01</v>
      </c>
      <c r="C35" s="1057" t="str">
        <f>Tab.G17!$B$11</f>
        <v>02</v>
      </c>
      <c r="D35" s="1058"/>
      <c r="E35" s="662" t="str">
        <f>Tab.G17!$B$12</f>
        <v>03</v>
      </c>
      <c r="F35" s="272"/>
      <c r="G35" s="272"/>
      <c r="H35" s="272"/>
    </row>
    <row r="36" spans="1:8" ht="18.95" customHeight="1">
      <c r="A36" s="272"/>
      <c r="B36" s="702" t="str">
        <v>02</v>
      </c>
      <c r="C36" s="651" t="s">
        <v>135</v>
      </c>
      <c r="D36" s="652" t="str">
        <f>'Tab.G2.1-3'!$D$106</f>
        <v>[szt.]</v>
      </c>
      <c r="E36" s="653">
        <f>SUM(E37:E39)</f>
        <v>0</v>
      </c>
      <c r="F36" s="272"/>
      <c r="G36" s="272"/>
      <c r="H36" s="272"/>
    </row>
    <row r="37" spans="1:8" ht="18.95" customHeight="1">
      <c r="A37" s="272"/>
      <c r="B37" s="696" t="str">
        <v>03</v>
      </c>
      <c r="C37" s="293" t="s">
        <v>69</v>
      </c>
      <c r="D37" s="294" t="str">
        <f>'Tab.G2.1-3'!$D$106</f>
        <v>[szt.]</v>
      </c>
      <c r="E37" s="303"/>
      <c r="F37" s="272"/>
      <c r="G37" s="272"/>
      <c r="H37" s="272"/>
    </row>
    <row r="38" spans="1:8" ht="18.95" customHeight="1">
      <c r="A38" s="272"/>
      <c r="B38" s="697" t="str">
        <v>04</v>
      </c>
      <c r="C38" s="295" t="s">
        <v>70</v>
      </c>
      <c r="D38" s="296" t="str">
        <f>'Tab.G2.1-3'!$D$106</f>
        <v>[szt.]</v>
      </c>
      <c r="E38" s="304"/>
      <c r="F38" s="272"/>
      <c r="G38" s="272"/>
      <c r="H38" s="272"/>
    </row>
    <row r="39" spans="1:8" ht="18.95" customHeight="1" thickBot="1">
      <c r="A39" s="272"/>
      <c r="B39" s="698" t="str">
        <v>05</v>
      </c>
      <c r="C39" s="297" t="s">
        <v>71</v>
      </c>
      <c r="D39" s="298" t="str">
        <f>'Tab.G2.1-3'!$D$106</f>
        <v>[szt.]</v>
      </c>
      <c r="E39" s="305"/>
      <c r="F39" s="272"/>
      <c r="G39" s="272"/>
      <c r="H39" s="272"/>
    </row>
    <row r="40" spans="1:8" ht="18.95" customHeight="1">
      <c r="A40" s="272"/>
      <c r="B40" s="654" t="str">
        <v>06</v>
      </c>
      <c r="C40" s="307" t="s">
        <v>138</v>
      </c>
      <c r="D40" s="308" t="str">
        <f>'Tab.G2.1-3'!$D$72</f>
        <v>[km]</v>
      </c>
      <c r="E40" s="309">
        <f>SUM(E41:E43)</f>
        <v>0</v>
      </c>
      <c r="F40" s="272"/>
      <c r="G40" s="272"/>
      <c r="H40" s="272"/>
    </row>
    <row r="41" spans="1:8" ht="18.95" customHeight="1">
      <c r="A41" s="272"/>
      <c r="B41" s="696" t="str">
        <v>07</v>
      </c>
      <c r="C41" s="293" t="s">
        <v>69</v>
      </c>
      <c r="D41" s="294" t="str">
        <f>'Tab.G2.1-3'!$D$72</f>
        <v>[km]</v>
      </c>
      <c r="E41" s="303"/>
      <c r="F41" s="272"/>
      <c r="G41" s="272"/>
      <c r="H41" s="272"/>
    </row>
    <row r="42" spans="1:8" ht="18.95" customHeight="1">
      <c r="A42" s="272"/>
      <c r="B42" s="697" t="str">
        <v>08</v>
      </c>
      <c r="C42" s="295" t="s">
        <v>70</v>
      </c>
      <c r="D42" s="296" t="str">
        <f>'Tab.G2.1-3'!$D$72</f>
        <v>[km]</v>
      </c>
      <c r="E42" s="304"/>
      <c r="F42" s="272"/>
      <c r="G42" s="272"/>
      <c r="H42" s="272"/>
    </row>
    <row r="43" spans="1:8" ht="18.95" customHeight="1" thickBot="1">
      <c r="A43" s="272"/>
      <c r="B43" s="659" t="str">
        <v>09</v>
      </c>
      <c r="C43" s="299" t="s">
        <v>71</v>
      </c>
      <c r="D43" s="300" t="str">
        <f>'Tab.G2.1-3'!$D$72</f>
        <v>[km]</v>
      </c>
      <c r="E43" s="306"/>
      <c r="F43" s="272"/>
      <c r="G43" s="272"/>
      <c r="H43" s="272"/>
    </row>
    <row r="44" spans="1:8" ht="18.95" customHeight="1">
      <c r="A44" s="272"/>
      <c r="B44" s="654" t="str">
        <v>10</v>
      </c>
      <c r="C44" s="307" t="s">
        <v>139</v>
      </c>
      <c r="D44" s="308" t="str">
        <f>'Tab.G2.1-3'!$D$106</f>
        <v>[szt.]</v>
      </c>
      <c r="E44" s="309">
        <f>SUM(E45:E47)</f>
        <v>0</v>
      </c>
      <c r="F44" s="272"/>
      <c r="G44" s="272"/>
      <c r="H44" s="272"/>
    </row>
    <row r="45" spans="1:8" ht="18.95" customHeight="1">
      <c r="A45" s="272"/>
      <c r="B45" s="696" t="str">
        <v>11</v>
      </c>
      <c r="C45" s="293" t="s">
        <v>69</v>
      </c>
      <c r="D45" s="294" t="str">
        <f>'Tab.G2.1-3'!$D$106</f>
        <v>[szt.]</v>
      </c>
      <c r="E45" s="303"/>
      <c r="F45" s="272"/>
      <c r="G45" s="272"/>
      <c r="H45" s="272"/>
    </row>
    <row r="46" spans="1:8" ht="18.95" customHeight="1">
      <c r="A46" s="272"/>
      <c r="B46" s="697" t="str">
        <v>12</v>
      </c>
      <c r="C46" s="295" t="s">
        <v>70</v>
      </c>
      <c r="D46" s="296" t="str">
        <f>'Tab.G2.1-3'!$D$106</f>
        <v>[szt.]</v>
      </c>
      <c r="E46" s="304"/>
      <c r="F46" s="272"/>
      <c r="G46" s="272"/>
      <c r="H46" s="272"/>
    </row>
    <row r="47" spans="1:8" ht="18.95" customHeight="1" thickBot="1">
      <c r="A47" s="272"/>
      <c r="B47" s="659" t="str">
        <v>13</v>
      </c>
      <c r="C47" s="299" t="s">
        <v>71</v>
      </c>
      <c r="D47" s="300" t="str">
        <f>'Tab.G2.1-3'!$D$106</f>
        <v>[szt.]</v>
      </c>
      <c r="E47" s="306"/>
      <c r="F47" s="272"/>
      <c r="G47" s="272"/>
      <c r="H47" s="272"/>
    </row>
    <row r="48" spans="1:8" ht="18.95" customHeight="1">
      <c r="A48" s="272"/>
      <c r="B48" s="654" t="str">
        <v>14</v>
      </c>
      <c r="C48" s="307" t="s">
        <v>137</v>
      </c>
      <c r="D48" s="308" t="str">
        <f>"[m³/h]"</f>
        <v>[m³/h]</v>
      </c>
      <c r="E48" s="309">
        <f>SUM(E49:E51)</f>
        <v>0</v>
      </c>
      <c r="F48" s="272"/>
      <c r="G48" s="272"/>
      <c r="H48" s="272"/>
    </row>
    <row r="49" spans="1:8" ht="18.95" customHeight="1">
      <c r="A49" s="272"/>
      <c r="B49" s="696" t="str">
        <v>15</v>
      </c>
      <c r="C49" s="293" t="s">
        <v>69</v>
      </c>
      <c r="D49" s="294" t="str">
        <f t="shared" ref="D49:D55" si="0">$D$48</f>
        <v>[m³/h]</v>
      </c>
      <c r="E49" s="303"/>
      <c r="F49" s="272"/>
      <c r="G49" s="272"/>
      <c r="H49" s="272"/>
    </row>
    <row r="50" spans="1:8" ht="18.95" customHeight="1">
      <c r="A50" s="272"/>
      <c r="B50" s="697" t="str">
        <v>16</v>
      </c>
      <c r="C50" s="295" t="s">
        <v>70</v>
      </c>
      <c r="D50" s="296" t="str">
        <f t="shared" si="0"/>
        <v>[m³/h]</v>
      </c>
      <c r="E50" s="304"/>
      <c r="F50" s="272"/>
      <c r="G50" s="272"/>
      <c r="H50" s="272"/>
    </row>
    <row r="51" spans="1:8" ht="18.95" customHeight="1" thickBot="1">
      <c r="A51" s="272"/>
      <c r="B51" s="659" t="str">
        <v>17</v>
      </c>
      <c r="C51" s="299" t="s">
        <v>71</v>
      </c>
      <c r="D51" s="300" t="str">
        <f t="shared" si="0"/>
        <v>[m³/h]</v>
      </c>
      <c r="E51" s="306"/>
      <c r="F51" s="272"/>
      <c r="G51" s="272"/>
      <c r="H51" s="272"/>
    </row>
    <row r="52" spans="1:8" ht="18.95" customHeight="1">
      <c r="A52" s="272"/>
      <c r="B52" s="654" t="str">
        <v>18</v>
      </c>
      <c r="C52" s="307" t="s">
        <v>140</v>
      </c>
      <c r="D52" s="308" t="str">
        <f t="shared" si="0"/>
        <v>[m³/h]</v>
      </c>
      <c r="E52" s="309">
        <f>SUM(E53:E55)</f>
        <v>0</v>
      </c>
      <c r="F52" s="272"/>
      <c r="G52" s="272"/>
      <c r="H52" s="272"/>
    </row>
    <row r="53" spans="1:8" ht="18.95" customHeight="1">
      <c r="A53" s="272"/>
      <c r="B53" s="696" t="str">
        <v>19</v>
      </c>
      <c r="C53" s="293" t="s">
        <v>69</v>
      </c>
      <c r="D53" s="294" t="str">
        <f t="shared" si="0"/>
        <v>[m³/h]</v>
      </c>
      <c r="E53" s="303"/>
      <c r="F53" s="272"/>
      <c r="G53" s="272"/>
      <c r="H53" s="272"/>
    </row>
    <row r="54" spans="1:8" ht="18.95" customHeight="1">
      <c r="A54" s="272"/>
      <c r="B54" s="697" t="str">
        <v>20</v>
      </c>
      <c r="C54" s="295" t="s">
        <v>70</v>
      </c>
      <c r="D54" s="296" t="str">
        <f t="shared" si="0"/>
        <v>[m³/h]</v>
      </c>
      <c r="E54" s="304"/>
      <c r="F54" s="272"/>
      <c r="G54" s="272"/>
      <c r="H54" s="272"/>
    </row>
    <row r="55" spans="1:8" ht="18.95" customHeight="1" thickBot="1">
      <c r="A55" s="272"/>
      <c r="B55" s="661" t="str">
        <v>21</v>
      </c>
      <c r="C55" s="310" t="s">
        <v>71</v>
      </c>
      <c r="D55" s="311" t="str">
        <f t="shared" si="0"/>
        <v>[m³/h]</v>
      </c>
      <c r="E55" s="312"/>
      <c r="F55" s="272"/>
      <c r="G55" s="272"/>
      <c r="H55" s="272"/>
    </row>
    <row r="56" spans="1:8" ht="9.9499999999999993" customHeight="1" thickTop="1">
      <c r="A56" s="272"/>
      <c r="B56" s="683"/>
      <c r="C56" s="272"/>
      <c r="D56" s="272"/>
      <c r="E56" s="272"/>
      <c r="F56" s="272"/>
      <c r="G56" s="272"/>
      <c r="H56" s="272"/>
    </row>
    <row r="57" spans="1:8" ht="24.95" customHeight="1">
      <c r="A57" s="272"/>
      <c r="B57" s="839" t="s">
        <v>208</v>
      </c>
      <c r="C57" s="1061" t="s">
        <v>269</v>
      </c>
      <c r="D57" s="1061"/>
      <c r="E57" s="1061"/>
      <c r="F57" s="1061"/>
      <c r="G57" s="1061"/>
      <c r="H57" s="699"/>
    </row>
    <row r="58" spans="1:8" ht="15" customHeight="1">
      <c r="A58" s="272"/>
      <c r="B58" s="834" t="s">
        <v>209</v>
      </c>
      <c r="C58" s="1077" t="s">
        <v>210</v>
      </c>
      <c r="D58" s="1078"/>
      <c r="E58" s="1078"/>
      <c r="F58" s="1078"/>
      <c r="G58" s="1078"/>
      <c r="H58" s="272"/>
    </row>
    <row r="59" spans="1:8" ht="15" customHeight="1">
      <c r="A59" s="272"/>
      <c r="B59" s="839" t="s">
        <v>211</v>
      </c>
      <c r="C59" s="1061" t="s">
        <v>212</v>
      </c>
      <c r="D59" s="1061"/>
      <c r="E59" s="1061"/>
      <c r="F59" s="1061"/>
      <c r="G59" s="1061"/>
      <c r="H59" s="700"/>
    </row>
    <row r="60" spans="1:8" ht="18.95" customHeight="1">
      <c r="A60" s="272"/>
      <c r="B60" s="683"/>
      <c r="C60" s="272"/>
      <c r="D60" s="272"/>
      <c r="E60" s="272"/>
      <c r="F60" s="272"/>
      <c r="G60" s="272"/>
      <c r="H60" s="272"/>
    </row>
    <row r="61" spans="1:8" ht="30" customHeight="1" thickBot="1">
      <c r="A61" s="272"/>
      <c r="B61" s="695" t="s">
        <v>242</v>
      </c>
      <c r="C61" s="272"/>
      <c r="D61" s="272"/>
      <c r="E61" s="272"/>
      <c r="F61" s="272"/>
      <c r="G61" s="272"/>
      <c r="H61" s="272"/>
    </row>
    <row r="62" spans="1:8" ht="18.95" customHeight="1" thickTop="1">
      <c r="A62" s="272"/>
      <c r="B62" s="1071" t="str">
        <f>'Tab.G1.1-4'!$B$8</f>
        <v>LP</v>
      </c>
      <c r="C62" s="1073" t="str">
        <f>'Tab.G1.1-4'!$C$8</f>
        <v>Wyszczególnienie</v>
      </c>
      <c r="D62" s="1074"/>
      <c r="E62" s="674" t="str">
        <f>'Tab.G1.1-4'!$E$8</f>
        <v>Wykonanie</v>
      </c>
      <c r="F62" s="272"/>
      <c r="G62" s="272"/>
      <c r="H62" s="272"/>
    </row>
    <row r="63" spans="1:8" ht="18.95" customHeight="1">
      <c r="A63" s="272"/>
      <c r="B63" s="1072"/>
      <c r="C63" s="1075"/>
      <c r="D63" s="1076"/>
      <c r="E63" s="671">
        <f>Rok_ZPR</f>
        <v>2023</v>
      </c>
      <c r="F63" s="272"/>
      <c r="G63" s="272"/>
      <c r="H63" s="272"/>
    </row>
    <row r="64" spans="1:8" ht="14.1" customHeight="1" thickBot="1">
      <c r="A64" s="272"/>
      <c r="B64" s="672" t="str">
        <f t="array" ref="B64:B84">Tab.G17!$B$10:$B$30</f>
        <v>01</v>
      </c>
      <c r="C64" s="1057" t="str">
        <f>Tab.G17!$B$11</f>
        <v>02</v>
      </c>
      <c r="D64" s="1058"/>
      <c r="E64" s="662" t="str">
        <f>Tab.G17!$B$12</f>
        <v>03</v>
      </c>
      <c r="F64" s="272"/>
      <c r="G64" s="272"/>
      <c r="H64" s="272"/>
    </row>
    <row r="65" spans="1:8" ht="18.95" customHeight="1">
      <c r="A65" s="272"/>
      <c r="B65" s="702" t="str">
        <v>02</v>
      </c>
      <c r="C65" s="651" t="s">
        <v>148</v>
      </c>
      <c r="D65" s="652" t="str">
        <f>'Tab.G2.1-3'!$D$168</f>
        <v>[tys. zł/szt.]</v>
      </c>
      <c r="E65" s="701" t="str">
        <f t="array" ref="E65:E68">IFERROR($E$14:$E$17/E36:E39,"")</f>
        <v/>
      </c>
      <c r="F65" s="272"/>
      <c r="G65" s="272"/>
      <c r="H65" s="272"/>
    </row>
    <row r="66" spans="1:8" ht="18.95" customHeight="1">
      <c r="A66" s="272"/>
      <c r="B66" s="696" t="str">
        <v>03</v>
      </c>
      <c r="C66" s="293" t="s">
        <v>69</v>
      </c>
      <c r="D66" s="294" t="str">
        <f>'Tab.G2.1-3'!$D$168</f>
        <v>[tys. zł/szt.]</v>
      </c>
      <c r="E66" s="313" t="str">
        <v/>
      </c>
      <c r="F66" s="272"/>
      <c r="G66" s="272"/>
      <c r="H66" s="272"/>
    </row>
    <row r="67" spans="1:8" ht="18.95" customHeight="1">
      <c r="A67" s="272"/>
      <c r="B67" s="697" t="str">
        <v>04</v>
      </c>
      <c r="C67" s="295" t="s">
        <v>70</v>
      </c>
      <c r="D67" s="296" t="str">
        <f>'Tab.G2.1-3'!$D$168</f>
        <v>[tys. zł/szt.]</v>
      </c>
      <c r="E67" s="314" t="str">
        <v/>
      </c>
      <c r="F67" s="272"/>
      <c r="G67" s="272"/>
      <c r="H67" s="272"/>
    </row>
    <row r="68" spans="1:8" ht="18.95" customHeight="1" thickBot="1">
      <c r="A68" s="272"/>
      <c r="B68" s="698" t="str">
        <v>05</v>
      </c>
      <c r="C68" s="297" t="s">
        <v>71</v>
      </c>
      <c r="D68" s="298" t="str">
        <f>'Tab.G2.1-3'!$D$168</f>
        <v>[tys. zł/szt.]</v>
      </c>
      <c r="E68" s="315" t="str">
        <v/>
      </c>
      <c r="F68" s="272"/>
      <c r="G68" s="272"/>
      <c r="H68" s="272"/>
    </row>
    <row r="69" spans="1:8" ht="18.95" customHeight="1">
      <c r="A69" s="272"/>
      <c r="B69" s="654" t="str">
        <v>06</v>
      </c>
      <c r="C69" s="307" t="s">
        <v>149</v>
      </c>
      <c r="D69" s="308" t="str">
        <f>'Tab.G2.1-3'!$D$134</f>
        <v>[tys. zł/km]</v>
      </c>
      <c r="E69" s="316" t="str">
        <f t="array" ref="E69:E72">IFERROR($E$14:$E$17/E40:E43,"")</f>
        <v/>
      </c>
      <c r="F69" s="272"/>
      <c r="G69" s="272"/>
      <c r="H69" s="272"/>
    </row>
    <row r="70" spans="1:8" ht="18.95" customHeight="1">
      <c r="A70" s="272"/>
      <c r="B70" s="696" t="str">
        <v>07</v>
      </c>
      <c r="C70" s="293" t="s">
        <v>69</v>
      </c>
      <c r="D70" s="294" t="str">
        <f>'Tab.G2.1-3'!$D$134</f>
        <v>[tys. zł/km]</v>
      </c>
      <c r="E70" s="313" t="str">
        <v/>
      </c>
      <c r="F70" s="272"/>
      <c r="G70" s="272"/>
      <c r="H70" s="272"/>
    </row>
    <row r="71" spans="1:8" ht="18.95" customHeight="1">
      <c r="A71" s="272"/>
      <c r="B71" s="697" t="str">
        <v>08</v>
      </c>
      <c r="C71" s="295" t="s">
        <v>70</v>
      </c>
      <c r="D71" s="296" t="str">
        <f>'Tab.G2.1-3'!$D$134</f>
        <v>[tys. zł/km]</v>
      </c>
      <c r="E71" s="314" t="str">
        <v/>
      </c>
      <c r="F71" s="272"/>
      <c r="G71" s="272"/>
      <c r="H71" s="272"/>
    </row>
    <row r="72" spans="1:8" ht="18.95" customHeight="1" thickBot="1">
      <c r="A72" s="272"/>
      <c r="B72" s="659" t="str">
        <v>09</v>
      </c>
      <c r="C72" s="299" t="s">
        <v>71</v>
      </c>
      <c r="D72" s="300" t="str">
        <f>'Tab.G2.1-3'!$D$134</f>
        <v>[tys. zł/km]</v>
      </c>
      <c r="E72" s="317" t="str">
        <v/>
      </c>
      <c r="F72" s="272"/>
      <c r="G72" s="272"/>
      <c r="H72" s="272"/>
    </row>
    <row r="73" spans="1:8" ht="18.95" customHeight="1">
      <c r="A73" s="272"/>
      <c r="B73" s="654" t="str">
        <v>10</v>
      </c>
      <c r="C73" s="307" t="s">
        <v>150</v>
      </c>
      <c r="D73" s="308" t="str">
        <f>'Tab.G2.1-3'!$D$168</f>
        <v>[tys. zł/szt.]</v>
      </c>
      <c r="E73" s="316" t="str">
        <f t="array" ref="E73:E76">IFERROR($E$14:$E$17/E44:E47,"")</f>
        <v/>
      </c>
      <c r="F73" s="272"/>
      <c r="G73" s="272"/>
      <c r="H73" s="272"/>
    </row>
    <row r="74" spans="1:8" ht="18.95" customHeight="1">
      <c r="A74" s="272"/>
      <c r="B74" s="696" t="str">
        <v>11</v>
      </c>
      <c r="C74" s="293" t="s">
        <v>69</v>
      </c>
      <c r="D74" s="294" t="str">
        <f>'Tab.G2.1-3'!$D$168</f>
        <v>[tys. zł/szt.]</v>
      </c>
      <c r="E74" s="313" t="str">
        <v/>
      </c>
      <c r="F74" s="272"/>
      <c r="G74" s="272"/>
      <c r="H74" s="272"/>
    </row>
    <row r="75" spans="1:8" ht="18.95" customHeight="1">
      <c r="A75" s="272"/>
      <c r="B75" s="697" t="str">
        <v>12</v>
      </c>
      <c r="C75" s="295" t="s">
        <v>70</v>
      </c>
      <c r="D75" s="296" t="str">
        <f>'Tab.G2.1-3'!$D$168</f>
        <v>[tys. zł/szt.]</v>
      </c>
      <c r="E75" s="314" t="str">
        <v/>
      </c>
      <c r="F75" s="272"/>
      <c r="G75" s="272"/>
      <c r="H75" s="272"/>
    </row>
    <row r="76" spans="1:8" ht="18.95" customHeight="1" thickBot="1">
      <c r="A76" s="272"/>
      <c r="B76" s="659" t="str">
        <v>13</v>
      </c>
      <c r="C76" s="299" t="s">
        <v>71</v>
      </c>
      <c r="D76" s="300" t="str">
        <f>'Tab.G2.1-3'!$D$168</f>
        <v>[tys. zł/szt.]</v>
      </c>
      <c r="E76" s="317" t="str">
        <v/>
      </c>
      <c r="F76" s="272"/>
      <c r="G76" s="272"/>
      <c r="H76" s="272"/>
    </row>
    <row r="77" spans="1:8" ht="18.95" customHeight="1">
      <c r="A77" s="272"/>
      <c r="B77" s="654" t="str">
        <v>14</v>
      </c>
      <c r="C77" s="307" t="s">
        <v>151</v>
      </c>
      <c r="D77" s="308" t="str">
        <f>"[tys. zł/(m³/h)]"</f>
        <v>[tys. zł/(m³/h)]</v>
      </c>
      <c r="E77" s="316" t="str">
        <f t="array" ref="E77:E80">IFERROR($E$14:$E$17/E48:E51,"")</f>
        <v/>
      </c>
      <c r="F77" s="272"/>
      <c r="G77" s="272"/>
      <c r="H77" s="272"/>
    </row>
    <row r="78" spans="1:8" ht="18.95" customHeight="1">
      <c r="A78" s="272"/>
      <c r="B78" s="696" t="str">
        <v>15</v>
      </c>
      <c r="C78" s="293" t="s">
        <v>69</v>
      </c>
      <c r="D78" s="294" t="str">
        <f t="shared" ref="D78:D84" si="1">$D$77</f>
        <v>[tys. zł/(m³/h)]</v>
      </c>
      <c r="E78" s="313" t="str">
        <v/>
      </c>
      <c r="F78" s="272"/>
      <c r="G78" s="272"/>
      <c r="H78" s="272"/>
    </row>
    <row r="79" spans="1:8" ht="18.95" customHeight="1">
      <c r="A79" s="272"/>
      <c r="B79" s="697" t="str">
        <v>16</v>
      </c>
      <c r="C79" s="295" t="s">
        <v>70</v>
      </c>
      <c r="D79" s="296" t="str">
        <f t="shared" si="1"/>
        <v>[tys. zł/(m³/h)]</v>
      </c>
      <c r="E79" s="314" t="str">
        <v/>
      </c>
      <c r="F79" s="272"/>
      <c r="G79" s="272"/>
      <c r="H79" s="272"/>
    </row>
    <row r="80" spans="1:8" ht="18.95" customHeight="1" thickBot="1">
      <c r="A80" s="272"/>
      <c r="B80" s="659" t="str">
        <v>17</v>
      </c>
      <c r="C80" s="299" t="s">
        <v>71</v>
      </c>
      <c r="D80" s="300" t="str">
        <f t="shared" si="1"/>
        <v>[tys. zł/(m³/h)]</v>
      </c>
      <c r="E80" s="317" t="str">
        <v/>
      </c>
      <c r="F80" s="272"/>
      <c r="G80" s="272"/>
      <c r="H80" s="272"/>
    </row>
    <row r="81" spans="1:8" ht="18.95" customHeight="1">
      <c r="A81" s="272"/>
      <c r="B81" s="654" t="str">
        <v>18</v>
      </c>
      <c r="C81" s="307" t="s">
        <v>152</v>
      </c>
      <c r="D81" s="308" t="str">
        <f t="shared" si="1"/>
        <v>[tys. zł/(m³/h)]</v>
      </c>
      <c r="E81" s="316" t="str">
        <f t="array" ref="E81:E84">IFERROR($E$14:$E$17/E52:E55,"")</f>
        <v/>
      </c>
      <c r="F81" s="272"/>
      <c r="G81" s="272"/>
      <c r="H81" s="272"/>
    </row>
    <row r="82" spans="1:8" ht="18.95" customHeight="1">
      <c r="A82" s="272"/>
      <c r="B82" s="696" t="str">
        <v>19</v>
      </c>
      <c r="C82" s="293" t="s">
        <v>69</v>
      </c>
      <c r="D82" s="294" t="str">
        <f t="shared" si="1"/>
        <v>[tys. zł/(m³/h)]</v>
      </c>
      <c r="E82" s="313" t="str">
        <v/>
      </c>
      <c r="F82" s="272"/>
      <c r="G82" s="272"/>
      <c r="H82" s="272"/>
    </row>
    <row r="83" spans="1:8" ht="18.95" customHeight="1">
      <c r="A83" s="272"/>
      <c r="B83" s="697" t="str">
        <v>20</v>
      </c>
      <c r="C83" s="295" t="s">
        <v>70</v>
      </c>
      <c r="D83" s="296" t="str">
        <f t="shared" si="1"/>
        <v>[tys. zł/(m³/h)]</v>
      </c>
      <c r="E83" s="314" t="str">
        <v/>
      </c>
      <c r="F83" s="272"/>
      <c r="G83" s="272"/>
      <c r="H83" s="272"/>
    </row>
    <row r="84" spans="1:8" ht="18.95" customHeight="1" thickBot="1">
      <c r="A84" s="272"/>
      <c r="B84" s="661" t="str">
        <v>21</v>
      </c>
      <c r="C84" s="310" t="s">
        <v>71</v>
      </c>
      <c r="D84" s="311" t="str">
        <f t="shared" si="1"/>
        <v>[tys. zł/(m³/h)]</v>
      </c>
      <c r="E84" s="703" t="str">
        <v/>
      </c>
      <c r="F84" s="272"/>
      <c r="G84" s="272"/>
      <c r="H84" s="272"/>
    </row>
    <row r="85" spans="1:8" ht="18.95" customHeight="1" thickTop="1">
      <c r="A85" s="272"/>
      <c r="B85" s="683"/>
      <c r="C85" s="272"/>
      <c r="D85" s="272"/>
      <c r="E85" s="272"/>
      <c r="F85" s="272"/>
      <c r="G85" s="272"/>
      <c r="H85" s="272"/>
    </row>
    <row r="86" spans="1:8" ht="18.95" customHeight="1">
      <c r="A86" s="272"/>
      <c r="B86" s="683"/>
      <c r="C86" s="272"/>
      <c r="D86" s="272"/>
      <c r="E86" s="272"/>
      <c r="F86" s="272"/>
      <c r="G86" s="272"/>
      <c r="H86" s="272"/>
    </row>
    <row r="87" spans="1:8" ht="30" customHeight="1" thickBot="1">
      <c r="A87" s="272"/>
      <c r="B87" s="695" t="s">
        <v>263</v>
      </c>
      <c r="C87" s="272"/>
      <c r="D87" s="272"/>
      <c r="E87" s="272"/>
      <c r="F87" s="272"/>
      <c r="G87" s="272"/>
      <c r="H87" s="272"/>
    </row>
    <row r="88" spans="1:8" ht="18.95" customHeight="1" thickTop="1">
      <c r="A88" s="272"/>
      <c r="B88" s="1071" t="str">
        <f>'Tab.G1.1-4'!$B$8</f>
        <v>LP</v>
      </c>
      <c r="C88" s="1073" t="str">
        <f>'Tab.G1.1-4'!$C$8</f>
        <v>Wyszczególnienie</v>
      </c>
      <c r="D88" s="1074"/>
      <c r="E88" s="674" t="str">
        <f>'Tab.G1.1-4'!$E$8</f>
        <v>Wykonanie</v>
      </c>
      <c r="F88" s="272"/>
      <c r="G88" s="272"/>
      <c r="H88" s="272"/>
    </row>
    <row r="89" spans="1:8" ht="18.95" customHeight="1">
      <c r="A89" s="272"/>
      <c r="B89" s="1072"/>
      <c r="C89" s="1075"/>
      <c r="D89" s="1076"/>
      <c r="E89" s="671">
        <f>Rok_ZPR</f>
        <v>2023</v>
      </c>
      <c r="F89" s="272"/>
      <c r="G89" s="272"/>
      <c r="H89" s="272"/>
    </row>
    <row r="90" spans="1:8" ht="14.1" customHeight="1" thickBot="1">
      <c r="A90" s="272"/>
      <c r="B90" s="672" t="str">
        <f t="array" ref="B90:B110">Tab.G17!$B$10:$B$30</f>
        <v>01</v>
      </c>
      <c r="C90" s="1057" t="str">
        <f>Tab.G17!$B$11</f>
        <v>02</v>
      </c>
      <c r="D90" s="1058"/>
      <c r="E90" s="662" t="str">
        <f>Tab.G17!$B$12</f>
        <v>03</v>
      </c>
      <c r="F90" s="272"/>
      <c r="G90" s="272"/>
      <c r="H90" s="272"/>
    </row>
    <row r="91" spans="1:8" ht="18.95" customHeight="1">
      <c r="A91" s="272"/>
      <c r="B91" s="702" t="str">
        <v>02</v>
      </c>
      <c r="C91" s="651" t="s">
        <v>142</v>
      </c>
      <c r="D91" s="652" t="str">
        <f>'Tab.G2.1-3'!$D$168</f>
        <v>[tys. zł/szt.]</v>
      </c>
      <c r="E91" s="653" t="str">
        <f t="array" ref="E91:E94">IFERROR($E$25:$E$28/E36:E39,"")</f>
        <v/>
      </c>
      <c r="F91" s="272"/>
      <c r="G91" s="272"/>
      <c r="H91" s="272"/>
    </row>
    <row r="92" spans="1:8" ht="18.95" customHeight="1">
      <c r="A92" s="272"/>
      <c r="B92" s="696" t="str">
        <v>03</v>
      </c>
      <c r="C92" s="293" t="s">
        <v>69</v>
      </c>
      <c r="D92" s="294" t="str">
        <f>'Tab.G2.1-3'!$D$168</f>
        <v>[tys. zł/szt.]</v>
      </c>
      <c r="E92" s="303" t="str">
        <v/>
      </c>
      <c r="F92" s="272"/>
      <c r="G92" s="272"/>
      <c r="H92" s="272"/>
    </row>
    <row r="93" spans="1:8" ht="18.95" customHeight="1">
      <c r="A93" s="272"/>
      <c r="B93" s="697" t="str">
        <v>04</v>
      </c>
      <c r="C93" s="295" t="s">
        <v>70</v>
      </c>
      <c r="D93" s="296" t="str">
        <f>'Tab.G2.1-3'!$D$168</f>
        <v>[tys. zł/szt.]</v>
      </c>
      <c r="E93" s="304" t="str">
        <v/>
      </c>
      <c r="F93" s="272"/>
      <c r="G93" s="272"/>
      <c r="H93" s="272"/>
    </row>
    <row r="94" spans="1:8" ht="18.95" customHeight="1" thickBot="1">
      <c r="A94" s="272"/>
      <c r="B94" s="698" t="str">
        <v>05</v>
      </c>
      <c r="C94" s="297" t="s">
        <v>71</v>
      </c>
      <c r="D94" s="298" t="str">
        <f>'Tab.G2.1-3'!$D$168</f>
        <v>[tys. zł/szt.]</v>
      </c>
      <c r="E94" s="305" t="str">
        <v/>
      </c>
      <c r="F94" s="272"/>
      <c r="G94" s="272"/>
      <c r="H94" s="272"/>
    </row>
    <row r="95" spans="1:8" ht="18.95" customHeight="1">
      <c r="A95" s="272"/>
      <c r="B95" s="654" t="str">
        <v>06</v>
      </c>
      <c r="C95" s="307" t="s">
        <v>141</v>
      </c>
      <c r="D95" s="308" t="str">
        <f>'Tab.G2.1-3'!$D$134</f>
        <v>[tys. zł/km]</v>
      </c>
      <c r="E95" s="309" t="str">
        <f t="array" ref="E95:E98">IFERROR($E$25:$E$28/E40:E43,"")</f>
        <v/>
      </c>
      <c r="F95" s="272"/>
      <c r="G95" s="272"/>
      <c r="H95" s="272"/>
    </row>
    <row r="96" spans="1:8" ht="18.95" customHeight="1">
      <c r="A96" s="272"/>
      <c r="B96" s="696" t="str">
        <v>07</v>
      </c>
      <c r="C96" s="293" t="s">
        <v>69</v>
      </c>
      <c r="D96" s="294" t="str">
        <f>'Tab.G2.1-3'!$D$134</f>
        <v>[tys. zł/km]</v>
      </c>
      <c r="E96" s="303" t="str">
        <v/>
      </c>
      <c r="F96" s="272"/>
      <c r="G96" s="272"/>
      <c r="H96" s="272"/>
    </row>
    <row r="97" spans="1:8" ht="18.95" customHeight="1">
      <c r="A97" s="272"/>
      <c r="B97" s="697" t="str">
        <v>08</v>
      </c>
      <c r="C97" s="295" t="s">
        <v>70</v>
      </c>
      <c r="D97" s="296" t="str">
        <f>'Tab.G2.1-3'!$D$134</f>
        <v>[tys. zł/km]</v>
      </c>
      <c r="E97" s="304" t="str">
        <v/>
      </c>
      <c r="F97" s="272"/>
      <c r="G97" s="272"/>
      <c r="H97" s="272"/>
    </row>
    <row r="98" spans="1:8" ht="18.95" customHeight="1" thickBot="1">
      <c r="A98" s="272"/>
      <c r="B98" s="659" t="str">
        <v>09</v>
      </c>
      <c r="C98" s="299" t="s">
        <v>71</v>
      </c>
      <c r="D98" s="300" t="str">
        <f>'Tab.G2.1-3'!$D$134</f>
        <v>[tys. zł/km]</v>
      </c>
      <c r="E98" s="306" t="str">
        <v/>
      </c>
      <c r="F98" s="272"/>
      <c r="G98" s="272"/>
      <c r="H98" s="272"/>
    </row>
    <row r="99" spans="1:8" ht="18.95" customHeight="1">
      <c r="A99" s="272"/>
      <c r="B99" s="654" t="str">
        <v>10</v>
      </c>
      <c r="C99" s="307" t="s">
        <v>143</v>
      </c>
      <c r="D99" s="308" t="str">
        <f>'Tab.G2.1-3'!$D$168</f>
        <v>[tys. zł/szt.]</v>
      </c>
      <c r="E99" s="309" t="str">
        <f t="array" ref="E99:E102">IFERROR($E$25:$E$28/E44:E47,"")</f>
        <v/>
      </c>
      <c r="F99" s="272"/>
      <c r="G99" s="272"/>
      <c r="H99" s="272"/>
    </row>
    <row r="100" spans="1:8" ht="18.95" customHeight="1">
      <c r="A100" s="272"/>
      <c r="B100" s="696" t="str">
        <v>11</v>
      </c>
      <c r="C100" s="293" t="s">
        <v>69</v>
      </c>
      <c r="D100" s="294" t="str">
        <f>'Tab.G2.1-3'!$D$168</f>
        <v>[tys. zł/szt.]</v>
      </c>
      <c r="E100" s="303" t="str">
        <v/>
      </c>
      <c r="F100" s="272"/>
      <c r="G100" s="272"/>
      <c r="H100" s="272"/>
    </row>
    <row r="101" spans="1:8" ht="18.95" customHeight="1">
      <c r="A101" s="272"/>
      <c r="B101" s="697" t="str">
        <v>12</v>
      </c>
      <c r="C101" s="295" t="s">
        <v>70</v>
      </c>
      <c r="D101" s="296" t="str">
        <f>'Tab.G2.1-3'!$D$168</f>
        <v>[tys. zł/szt.]</v>
      </c>
      <c r="E101" s="304" t="str">
        <v/>
      </c>
      <c r="F101" s="272"/>
      <c r="G101" s="272"/>
      <c r="H101" s="272"/>
    </row>
    <row r="102" spans="1:8" ht="18.95" customHeight="1" thickBot="1">
      <c r="A102" s="272"/>
      <c r="B102" s="659" t="str">
        <v>13</v>
      </c>
      <c r="C102" s="299" t="s">
        <v>71</v>
      </c>
      <c r="D102" s="300" t="str">
        <f>'Tab.G2.1-3'!$D$168</f>
        <v>[tys. zł/szt.]</v>
      </c>
      <c r="E102" s="306" t="str">
        <v/>
      </c>
      <c r="F102" s="272"/>
      <c r="G102" s="272"/>
      <c r="H102" s="272"/>
    </row>
    <row r="103" spans="1:8" ht="18.95" customHeight="1">
      <c r="A103" s="272"/>
      <c r="B103" s="654" t="str">
        <v>14</v>
      </c>
      <c r="C103" s="307" t="s">
        <v>144</v>
      </c>
      <c r="D103" s="308" t="str">
        <f t="shared" ref="D103:D110" si="2">$D$77</f>
        <v>[tys. zł/(m³/h)]</v>
      </c>
      <c r="E103" s="309" t="str">
        <f t="array" ref="E103:E106">IFERROR($E$25:$E$28/E48:E51,"")</f>
        <v/>
      </c>
      <c r="F103" s="272"/>
      <c r="G103" s="272"/>
      <c r="H103" s="272"/>
    </row>
    <row r="104" spans="1:8" ht="18.95" customHeight="1">
      <c r="A104" s="272"/>
      <c r="B104" s="696" t="str">
        <v>15</v>
      </c>
      <c r="C104" s="293" t="s">
        <v>69</v>
      </c>
      <c r="D104" s="294" t="str">
        <f t="shared" si="2"/>
        <v>[tys. zł/(m³/h)]</v>
      </c>
      <c r="E104" s="303" t="str">
        <v/>
      </c>
      <c r="F104" s="272"/>
      <c r="G104" s="272"/>
      <c r="H104" s="272"/>
    </row>
    <row r="105" spans="1:8" ht="18.95" customHeight="1">
      <c r="A105" s="272"/>
      <c r="B105" s="697" t="str">
        <v>16</v>
      </c>
      <c r="C105" s="295" t="s">
        <v>70</v>
      </c>
      <c r="D105" s="296" t="str">
        <f t="shared" si="2"/>
        <v>[tys. zł/(m³/h)]</v>
      </c>
      <c r="E105" s="304" t="str">
        <v/>
      </c>
      <c r="F105" s="272"/>
      <c r="G105" s="272"/>
      <c r="H105" s="272"/>
    </row>
    <row r="106" spans="1:8" ht="18.95" customHeight="1" thickBot="1">
      <c r="A106" s="272"/>
      <c r="B106" s="659" t="str">
        <v>17</v>
      </c>
      <c r="C106" s="299" t="s">
        <v>71</v>
      </c>
      <c r="D106" s="300" t="str">
        <f t="shared" si="2"/>
        <v>[tys. zł/(m³/h)]</v>
      </c>
      <c r="E106" s="306" t="str">
        <v/>
      </c>
      <c r="F106" s="272"/>
      <c r="G106" s="272"/>
      <c r="H106" s="272"/>
    </row>
    <row r="107" spans="1:8" ht="18.95" customHeight="1">
      <c r="A107" s="272"/>
      <c r="B107" s="654" t="str">
        <v>18</v>
      </c>
      <c r="C107" s="307" t="s">
        <v>145</v>
      </c>
      <c r="D107" s="308" t="str">
        <f t="shared" si="2"/>
        <v>[tys. zł/(m³/h)]</v>
      </c>
      <c r="E107" s="309" t="str">
        <f t="array" ref="E107:E110">IFERROR($E$25:$E$28/E52:E55,"")</f>
        <v/>
      </c>
      <c r="F107" s="272"/>
      <c r="G107" s="272"/>
      <c r="H107" s="272"/>
    </row>
    <row r="108" spans="1:8" ht="18.95" customHeight="1">
      <c r="A108" s="272"/>
      <c r="B108" s="696" t="str">
        <v>19</v>
      </c>
      <c r="C108" s="293" t="s">
        <v>69</v>
      </c>
      <c r="D108" s="294" t="str">
        <f t="shared" si="2"/>
        <v>[tys. zł/(m³/h)]</v>
      </c>
      <c r="E108" s="303" t="str">
        <v/>
      </c>
      <c r="F108" s="272"/>
      <c r="G108" s="272"/>
      <c r="H108" s="272"/>
    </row>
    <row r="109" spans="1:8" ht="18.95" customHeight="1">
      <c r="A109" s="272"/>
      <c r="B109" s="697" t="str">
        <v>20</v>
      </c>
      <c r="C109" s="295" t="s">
        <v>70</v>
      </c>
      <c r="D109" s="296" t="str">
        <f t="shared" si="2"/>
        <v>[tys. zł/(m³/h)]</v>
      </c>
      <c r="E109" s="304" t="str">
        <v/>
      </c>
      <c r="F109" s="272"/>
      <c r="G109" s="272"/>
      <c r="H109" s="272"/>
    </row>
    <row r="110" spans="1:8" ht="18.95" customHeight="1" thickBot="1">
      <c r="A110" s="272"/>
      <c r="B110" s="661" t="str">
        <v>21</v>
      </c>
      <c r="C110" s="310" t="s">
        <v>71</v>
      </c>
      <c r="D110" s="311" t="str">
        <f t="shared" si="2"/>
        <v>[tys. zł/(m³/h)]</v>
      </c>
      <c r="E110" s="312" t="str">
        <v/>
      </c>
      <c r="F110" s="272"/>
      <c r="G110" s="272"/>
      <c r="H110" s="272"/>
    </row>
    <row r="111" spans="1:8" ht="18.95" customHeight="1" thickTop="1">
      <c r="A111" s="272"/>
      <c r="B111" s="683"/>
      <c r="C111" s="272"/>
      <c r="D111" s="272"/>
      <c r="E111" s="272"/>
      <c r="F111" s="272"/>
      <c r="G111" s="272"/>
      <c r="H111" s="272"/>
    </row>
    <row r="112" spans="1:8" ht="18.95" customHeight="1">
      <c r="A112" s="272"/>
      <c r="B112" s="683"/>
      <c r="C112" s="272"/>
      <c r="D112" s="272"/>
      <c r="E112" s="272"/>
      <c r="F112" s="272"/>
      <c r="G112" s="272"/>
      <c r="H112" s="272"/>
    </row>
  </sheetData>
  <mergeCells count="24">
    <mergeCell ref="C24:D24"/>
    <mergeCell ref="C4:G4"/>
    <mergeCell ref="C5:G5"/>
    <mergeCell ref="C6:G6"/>
    <mergeCell ref="C7:G7"/>
    <mergeCell ref="C8:G8"/>
    <mergeCell ref="C9:G9"/>
    <mergeCell ref="B11:B12"/>
    <mergeCell ref="C11:D12"/>
    <mergeCell ref="C13:D13"/>
    <mergeCell ref="B22:B23"/>
    <mergeCell ref="C22:D23"/>
    <mergeCell ref="C90:D90"/>
    <mergeCell ref="B33:B34"/>
    <mergeCell ref="C33:D34"/>
    <mergeCell ref="C35:D35"/>
    <mergeCell ref="C57:G57"/>
    <mergeCell ref="C58:G58"/>
    <mergeCell ref="C59:G59"/>
    <mergeCell ref="B62:B63"/>
    <mergeCell ref="C62:D63"/>
    <mergeCell ref="C64:D64"/>
    <mergeCell ref="B88:B89"/>
    <mergeCell ref="C88:D89"/>
  </mergeCells>
  <hyperlinks>
    <hyperlink ref="C2" location="Spis!B21" display="&gt;&gt; powrót do spisu treści" xr:uid="{00000000-0004-0000-0600-000000000000}"/>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23">
    <pageSetUpPr fitToPage="1"/>
  </sheetPr>
  <dimension ref="A1:K79"/>
  <sheetViews>
    <sheetView zoomScaleNormal="75" workbookViewId="0">
      <pane ySplit="4" topLeftCell="A5" activePane="bottomLeft" state="frozen"/>
      <selection pane="bottomLeft" activeCell="B5" sqref="B5"/>
    </sheetView>
  </sheetViews>
  <sheetFormatPr defaultColWidth="11.33203125" defaultRowHeight="12.75"/>
  <cols>
    <col min="1" max="1" width="3.77734375" style="204" customWidth="1"/>
    <col min="2" max="2" width="4.77734375" style="281" customWidth="1"/>
    <col min="3" max="3" width="66.77734375" style="204" customWidth="1"/>
    <col min="4" max="4" width="12.77734375" style="204" customWidth="1"/>
    <col min="5" max="5" width="15.77734375" style="204" customWidth="1"/>
    <col min="6" max="13" width="10.77734375" style="204" customWidth="1"/>
    <col min="14" max="16384" width="11.33203125" style="204"/>
  </cols>
  <sheetData>
    <row r="1" spans="1:11" ht="18.75" customHeight="1">
      <c r="A1" s="272"/>
      <c r="B1" s="683"/>
      <c r="C1" s="929" t="s">
        <v>9</v>
      </c>
      <c r="D1" s="272"/>
      <c r="E1" s="272"/>
      <c r="F1" s="272"/>
      <c r="G1" s="272"/>
      <c r="H1" s="272"/>
      <c r="I1" s="272"/>
      <c r="J1" s="272"/>
      <c r="K1" s="272"/>
    </row>
    <row r="2" spans="1:11" ht="9.9499999999999993" customHeight="1">
      <c r="A2" s="272"/>
      <c r="B2" s="683"/>
      <c r="C2" s="840"/>
      <c r="D2" s="272"/>
      <c r="E2" s="272"/>
      <c r="F2" s="272"/>
      <c r="G2" s="272"/>
      <c r="H2" s="272"/>
      <c r="I2" s="272"/>
      <c r="J2" s="272"/>
      <c r="K2" s="272"/>
    </row>
    <row r="3" spans="1:11" s="201" customFormat="1" ht="15" customHeight="1">
      <c r="A3" s="687"/>
      <c r="B3" s="834" t="s">
        <v>13</v>
      </c>
      <c r="C3" s="1081" t="s">
        <v>153</v>
      </c>
      <c r="D3" s="1082"/>
      <c r="E3" s="1082"/>
      <c r="F3" s="1082"/>
      <c r="G3" s="1082"/>
      <c r="H3" s="687"/>
      <c r="I3" s="687"/>
      <c r="J3" s="687"/>
      <c r="K3" s="687"/>
    </row>
    <row r="4" spans="1:11" s="201" customFormat="1" ht="15" customHeight="1">
      <c r="A4" s="687"/>
      <c r="B4" s="834" t="s">
        <v>27</v>
      </c>
      <c r="C4" s="1081" t="s">
        <v>155</v>
      </c>
      <c r="D4" s="1082"/>
      <c r="E4" s="1082"/>
      <c r="F4" s="1082"/>
      <c r="G4" s="1082"/>
      <c r="H4" s="687"/>
      <c r="I4" s="687"/>
      <c r="J4" s="687"/>
      <c r="K4" s="687"/>
    </row>
    <row r="5" spans="1:11" ht="21" customHeight="1" thickBot="1">
      <c r="A5" s="686"/>
      <c r="B5" s="686" t="s">
        <v>154</v>
      </c>
      <c r="C5" s="686"/>
      <c r="D5" s="686"/>
      <c r="E5" s="272"/>
      <c r="F5" s="272"/>
      <c r="G5" s="272"/>
      <c r="H5" s="272"/>
      <c r="I5" s="272"/>
      <c r="J5" s="272"/>
      <c r="K5" s="272"/>
    </row>
    <row r="6" spans="1:11" ht="18.95" customHeight="1" thickTop="1">
      <c r="A6" s="686"/>
      <c r="B6" s="1059" t="str">
        <f>'Tab.G1.1-4'!$B$8</f>
        <v>LP</v>
      </c>
      <c r="C6" s="1055" t="str">
        <f>'Tab.G1.1-4'!$C$8</f>
        <v>Wyszczególnienie</v>
      </c>
      <c r="D6" s="1056"/>
      <c r="E6" s="648" t="str">
        <f>'Tab.G1.1-4'!$E$8</f>
        <v>Wykonanie</v>
      </c>
      <c r="F6" s="272"/>
      <c r="G6" s="272"/>
      <c r="H6" s="272"/>
      <c r="I6" s="272"/>
      <c r="J6" s="272"/>
      <c r="K6" s="272"/>
    </row>
    <row r="7" spans="1:11" ht="18.95" customHeight="1">
      <c r="A7" s="686"/>
      <c r="B7" s="1060"/>
      <c r="C7" s="1039"/>
      <c r="D7" s="1040"/>
      <c r="E7" s="544">
        <f>Rok_ZPR</f>
        <v>2023</v>
      </c>
      <c r="F7" s="272"/>
      <c r="G7" s="272"/>
      <c r="H7" s="272"/>
      <c r="I7" s="272"/>
      <c r="J7" s="272"/>
      <c r="K7" s="272"/>
    </row>
    <row r="8" spans="1:11" ht="14.1" customHeight="1" thickBot="1">
      <c r="A8" s="686"/>
      <c r="B8" s="647" t="str">
        <f t="array" ref="B8:B11">Tab.G17!$B$10:$B$13</f>
        <v>01</v>
      </c>
      <c r="C8" s="1057" t="str">
        <f>Tab.G17!$B$11</f>
        <v>02</v>
      </c>
      <c r="D8" s="1058"/>
      <c r="E8" s="662" t="str">
        <f>Tab.G17!$B$12</f>
        <v>03</v>
      </c>
      <c r="F8" s="272"/>
      <c r="G8" s="272"/>
      <c r="H8" s="272"/>
      <c r="I8" s="272"/>
      <c r="J8" s="272"/>
      <c r="K8" s="272"/>
    </row>
    <row r="9" spans="1:11" ht="18.95" customHeight="1">
      <c r="A9" s="686"/>
      <c r="B9" s="667" t="str">
        <v>02</v>
      </c>
      <c r="C9" s="668" t="str">
        <f>"Nakłady inwestycyjne na przyłączenia nowych źródeł, z tego:"</f>
        <v>Nakłady inwestycyjne na przyłączenia nowych źródeł, z tego:</v>
      </c>
      <c r="D9" s="669" t="str">
        <f>'Tab.G1.1-4'!$D$11</f>
        <v>[tys. zł]</v>
      </c>
      <c r="E9" s="670">
        <f>SUM(E10:E12)</f>
        <v>0</v>
      </c>
      <c r="F9" s="272"/>
      <c r="G9" s="272"/>
      <c r="H9" s="272"/>
      <c r="I9" s="272"/>
      <c r="J9" s="272"/>
      <c r="K9" s="272"/>
    </row>
    <row r="10" spans="1:11" ht="18.95" customHeight="1">
      <c r="A10" s="686"/>
      <c r="B10" s="663" t="str">
        <v>03</v>
      </c>
      <c r="C10" s="664" t="s">
        <v>156</v>
      </c>
      <c r="D10" s="665" t="str">
        <f>'Tab.G1.1-4'!$D$11</f>
        <v>[tys. zł]</v>
      </c>
      <c r="E10" s="666"/>
      <c r="F10" s="272"/>
      <c r="G10" s="272"/>
      <c r="H10" s="272"/>
      <c r="I10" s="272"/>
      <c r="J10" s="272"/>
      <c r="K10" s="272"/>
    </row>
    <row r="11" spans="1:11" ht="18.95" customHeight="1" thickBot="1">
      <c r="A11" s="686"/>
      <c r="B11" s="646" t="str">
        <v>04</v>
      </c>
      <c r="C11" s="321" t="s">
        <v>157</v>
      </c>
      <c r="D11" s="284" t="str">
        <f>'Tab.G1.1-4'!$D$11</f>
        <v>[tys. zł]</v>
      </c>
      <c r="E11" s="285"/>
      <c r="F11" s="272"/>
      <c r="G11" s="272"/>
      <c r="H11" s="272"/>
      <c r="I11" s="272"/>
      <c r="J11" s="272"/>
      <c r="K11" s="272"/>
    </row>
    <row r="12" spans="1:11" ht="21" customHeight="1" thickTop="1">
      <c r="A12" s="686"/>
      <c r="B12" s="686"/>
      <c r="C12" s="686"/>
      <c r="D12" s="686"/>
      <c r="E12" s="272"/>
      <c r="F12" s="272"/>
      <c r="G12" s="272"/>
      <c r="H12" s="272"/>
      <c r="I12" s="272"/>
      <c r="J12" s="272"/>
      <c r="K12" s="272"/>
    </row>
    <row r="13" spans="1:11" ht="21" customHeight="1">
      <c r="A13" s="686"/>
      <c r="B13" s="686"/>
      <c r="C13" s="686"/>
      <c r="D13" s="686"/>
      <c r="E13" s="272"/>
      <c r="F13" s="272"/>
      <c r="G13" s="272"/>
      <c r="H13" s="272"/>
      <c r="I13" s="272"/>
      <c r="J13" s="272"/>
      <c r="K13" s="272"/>
    </row>
    <row r="14" spans="1:11" ht="21" customHeight="1" thickBot="1">
      <c r="A14" s="686"/>
      <c r="B14" s="686" t="s">
        <v>158</v>
      </c>
      <c r="C14" s="686"/>
      <c r="D14" s="686"/>
      <c r="E14" s="272"/>
      <c r="F14" s="272"/>
      <c r="G14" s="272"/>
      <c r="H14" s="272"/>
      <c r="I14" s="272"/>
      <c r="J14" s="272"/>
      <c r="K14" s="272"/>
    </row>
    <row r="15" spans="1:11" ht="18.95" customHeight="1" thickTop="1">
      <c r="A15" s="686"/>
      <c r="B15" s="1071" t="str">
        <f>'Tab.G1.1-4'!$B$8</f>
        <v>LP</v>
      </c>
      <c r="C15" s="1073" t="str">
        <f>'Tab.G1.1-4'!$C$8</f>
        <v>Wyszczególnienie</v>
      </c>
      <c r="D15" s="1074"/>
      <c r="E15" s="674" t="str">
        <f>'Tab.G1.1-4'!$E$8</f>
        <v>Wykonanie</v>
      </c>
      <c r="F15" s="272"/>
      <c r="G15" s="272"/>
      <c r="H15" s="272"/>
      <c r="I15" s="272"/>
      <c r="J15" s="272"/>
      <c r="K15" s="272"/>
    </row>
    <row r="16" spans="1:11" ht="18.95" customHeight="1">
      <c r="A16" s="686"/>
      <c r="B16" s="1072"/>
      <c r="C16" s="1075"/>
      <c r="D16" s="1076"/>
      <c r="E16" s="671">
        <f>Rok_ZPR</f>
        <v>2023</v>
      </c>
      <c r="F16" s="272"/>
      <c r="G16" s="272"/>
      <c r="H16" s="272"/>
      <c r="I16" s="272"/>
      <c r="J16" s="272"/>
      <c r="K16" s="272"/>
    </row>
    <row r="17" spans="1:11" ht="14.1" customHeight="1" thickBot="1">
      <c r="A17" s="686"/>
      <c r="B17" s="672" t="str">
        <f t="array" ref="B17:B26">Tab.G17!$B$10:$B$19</f>
        <v>01</v>
      </c>
      <c r="C17" s="1079" t="str">
        <f>Tab.G17!$B$11</f>
        <v>02</v>
      </c>
      <c r="D17" s="1080"/>
      <c r="E17" s="673" t="str">
        <f>Tab.G17!$B$12</f>
        <v>03</v>
      </c>
      <c r="F17" s="272"/>
      <c r="G17" s="272"/>
      <c r="H17" s="272"/>
      <c r="I17" s="272"/>
      <c r="J17" s="272"/>
      <c r="K17" s="272"/>
    </row>
    <row r="18" spans="1:11" ht="18.95" customHeight="1">
      <c r="A18" s="686"/>
      <c r="B18" s="654" t="str">
        <v>02</v>
      </c>
      <c r="C18" s="651" t="s">
        <v>159</v>
      </c>
      <c r="D18" s="652" t="str">
        <f>'Tab.G2.1-3'!$D$106</f>
        <v>[szt.]</v>
      </c>
      <c r="E18" s="653">
        <f>SUM(E19:E20)</f>
        <v>0</v>
      </c>
      <c r="F18" s="272"/>
      <c r="G18" s="272"/>
      <c r="H18" s="272"/>
      <c r="I18" s="272"/>
      <c r="J18" s="272"/>
      <c r="K18" s="272"/>
    </row>
    <row r="19" spans="1:11" ht="18.95" customHeight="1">
      <c r="A19" s="686"/>
      <c r="B19" s="655" t="str">
        <v>03</v>
      </c>
      <c r="C19" s="649" t="s">
        <v>156</v>
      </c>
      <c r="D19" s="650" t="str">
        <f>'Tab.G2.1-3'!$D$106</f>
        <v>[szt.]</v>
      </c>
      <c r="E19" s="303"/>
      <c r="F19" s="272"/>
      <c r="G19" s="272"/>
      <c r="H19" s="272"/>
      <c r="I19" s="272"/>
      <c r="J19" s="272"/>
      <c r="K19" s="272"/>
    </row>
    <row r="20" spans="1:11" ht="18.95" customHeight="1" thickBot="1">
      <c r="A20" s="686"/>
      <c r="B20" s="656" t="str">
        <v>04</v>
      </c>
      <c r="C20" s="323" t="s">
        <v>157</v>
      </c>
      <c r="D20" s="324" t="str">
        <f>'Tab.G2.1-3'!$D$106</f>
        <v>[szt.]</v>
      </c>
      <c r="E20" s="306"/>
      <c r="F20" s="272"/>
      <c r="G20" s="272"/>
      <c r="H20" s="272"/>
      <c r="I20" s="272"/>
      <c r="J20" s="272"/>
      <c r="K20" s="272"/>
    </row>
    <row r="21" spans="1:11" ht="18.95" customHeight="1">
      <c r="A21" s="686"/>
      <c r="B21" s="657" t="str">
        <v>05</v>
      </c>
      <c r="C21" s="325" t="s">
        <v>160</v>
      </c>
      <c r="D21" s="326" t="str">
        <f>'Tab.G2.1-3'!$D$72</f>
        <v>[km]</v>
      </c>
      <c r="E21" s="327">
        <f>SUM(E22:E23)</f>
        <v>0</v>
      </c>
      <c r="F21" s="272"/>
      <c r="G21" s="272"/>
      <c r="H21" s="272"/>
      <c r="I21" s="272"/>
      <c r="J21" s="272"/>
      <c r="K21" s="272"/>
    </row>
    <row r="22" spans="1:11" ht="18.95" customHeight="1">
      <c r="A22" s="686"/>
      <c r="B22" s="658" t="str">
        <v>06</v>
      </c>
      <c r="C22" s="328" t="s">
        <v>156</v>
      </c>
      <c r="D22" s="329" t="str">
        <f>'Tab.G2.1-3'!$D$72</f>
        <v>[km]</v>
      </c>
      <c r="E22" s="330"/>
      <c r="F22" s="272"/>
      <c r="G22" s="272"/>
      <c r="H22" s="272"/>
      <c r="I22" s="272"/>
      <c r="J22" s="272"/>
      <c r="K22" s="272"/>
    </row>
    <row r="23" spans="1:11" ht="18.95" customHeight="1" thickBot="1">
      <c r="A23" s="686"/>
      <c r="B23" s="659" t="str">
        <v>07</v>
      </c>
      <c r="C23" s="323" t="s">
        <v>157</v>
      </c>
      <c r="D23" s="300" t="str">
        <f>'Tab.G2.1-3'!$D$72</f>
        <v>[km]</v>
      </c>
      <c r="E23" s="306"/>
      <c r="F23" s="272"/>
      <c r="G23" s="272"/>
      <c r="H23" s="272"/>
      <c r="I23" s="272"/>
      <c r="J23" s="272"/>
      <c r="K23" s="272"/>
    </row>
    <row r="24" spans="1:11" ht="18.95" customHeight="1">
      <c r="A24" s="686"/>
      <c r="B24" s="660" t="str">
        <v>08</v>
      </c>
      <c r="C24" s="331" t="s">
        <v>161</v>
      </c>
      <c r="D24" s="332" t="str">
        <f>'Tab.G3.1-5'!$D$48</f>
        <v>[m³/h]</v>
      </c>
      <c r="E24" s="333">
        <f>SUM(E25:E26)</f>
        <v>0</v>
      </c>
      <c r="F24" s="272"/>
      <c r="G24" s="272"/>
      <c r="H24" s="272"/>
      <c r="I24" s="272"/>
      <c r="J24" s="272"/>
      <c r="K24" s="272"/>
    </row>
    <row r="25" spans="1:11" ht="18.95" customHeight="1">
      <c r="A25" s="686"/>
      <c r="B25" s="658" t="str">
        <v>09</v>
      </c>
      <c r="C25" s="328" t="s">
        <v>156</v>
      </c>
      <c r="D25" s="329" t="str">
        <f>'Tab.G3.1-5'!$D$48</f>
        <v>[m³/h]</v>
      </c>
      <c r="E25" s="330"/>
      <c r="F25" s="272"/>
      <c r="G25" s="272"/>
      <c r="H25" s="272"/>
      <c r="I25" s="272"/>
      <c r="J25" s="272"/>
      <c r="K25" s="272"/>
    </row>
    <row r="26" spans="1:11" ht="18.95" customHeight="1" thickBot="1">
      <c r="A26" s="686"/>
      <c r="B26" s="661" t="str">
        <v>10</v>
      </c>
      <c r="C26" s="322" t="s">
        <v>157</v>
      </c>
      <c r="D26" s="311" t="str">
        <f>'Tab.G3.1-5'!$D$48</f>
        <v>[m³/h]</v>
      </c>
      <c r="E26" s="312"/>
      <c r="F26" s="272"/>
      <c r="G26" s="272"/>
      <c r="H26" s="272"/>
      <c r="I26" s="272"/>
      <c r="J26" s="272"/>
      <c r="K26" s="272"/>
    </row>
    <row r="27" spans="1:11" ht="21" customHeight="1" thickTop="1">
      <c r="A27" s="686"/>
      <c r="B27" s="686"/>
      <c r="C27" s="686"/>
      <c r="D27" s="686"/>
      <c r="E27" s="272"/>
      <c r="F27" s="272"/>
      <c r="G27" s="272"/>
      <c r="H27" s="272"/>
      <c r="I27" s="272"/>
      <c r="J27" s="272"/>
      <c r="K27" s="272"/>
    </row>
    <row r="28" spans="1:11" ht="21" customHeight="1">
      <c r="A28" s="686"/>
      <c r="B28" s="686"/>
      <c r="C28" s="686"/>
      <c r="D28" s="686"/>
      <c r="E28" s="272"/>
      <c r="F28" s="272"/>
      <c r="G28" s="272"/>
      <c r="H28" s="272"/>
      <c r="I28" s="272"/>
      <c r="J28" s="272"/>
      <c r="K28" s="272"/>
    </row>
    <row r="29" spans="1:11" ht="21" customHeight="1" thickBot="1">
      <c r="A29" s="686"/>
      <c r="B29" s="686" t="s">
        <v>162</v>
      </c>
      <c r="C29" s="686"/>
      <c r="D29" s="686"/>
      <c r="E29" s="272"/>
      <c r="F29" s="272"/>
      <c r="G29" s="272"/>
      <c r="H29" s="272"/>
      <c r="I29" s="272"/>
      <c r="J29" s="272"/>
      <c r="K29" s="272"/>
    </row>
    <row r="30" spans="1:11" ht="18.95" customHeight="1" thickTop="1">
      <c r="A30" s="686"/>
      <c r="B30" s="1071" t="str">
        <f>'Tab.G1.1-4'!$B$8</f>
        <v>LP</v>
      </c>
      <c r="C30" s="1073" t="str">
        <f>'Tab.G1.1-4'!$C$8</f>
        <v>Wyszczególnienie</v>
      </c>
      <c r="D30" s="1074"/>
      <c r="E30" s="674" t="str">
        <f>'Tab.G1.1-4'!$E$8</f>
        <v>Wykonanie</v>
      </c>
      <c r="F30" s="272"/>
      <c r="G30" s="272"/>
      <c r="H30" s="272"/>
      <c r="I30" s="272"/>
      <c r="J30" s="272"/>
      <c r="K30" s="272"/>
    </row>
    <row r="31" spans="1:11" ht="18.95" customHeight="1">
      <c r="A31" s="686"/>
      <c r="B31" s="1072"/>
      <c r="C31" s="1075"/>
      <c r="D31" s="1076"/>
      <c r="E31" s="671">
        <f>Rok_ZPR</f>
        <v>2023</v>
      </c>
      <c r="F31" s="272"/>
      <c r="G31" s="272"/>
      <c r="H31" s="272"/>
      <c r="I31" s="272"/>
      <c r="J31" s="272"/>
      <c r="K31" s="272"/>
    </row>
    <row r="32" spans="1:11" ht="14.1" customHeight="1" thickBot="1">
      <c r="A32" s="686"/>
      <c r="B32" s="672" t="str">
        <f t="array" ref="B32:B41">Tab.G17!$B$10:$B$19</f>
        <v>01</v>
      </c>
      <c r="C32" s="1079" t="str">
        <f>Tab.G17!$B$11</f>
        <v>02</v>
      </c>
      <c r="D32" s="1080"/>
      <c r="E32" s="673" t="str">
        <f>Tab.G17!$B$12</f>
        <v>03</v>
      </c>
      <c r="F32" s="272"/>
      <c r="G32" s="272"/>
      <c r="H32" s="272"/>
      <c r="I32" s="272"/>
      <c r="J32" s="272"/>
      <c r="K32" s="272"/>
    </row>
    <row r="33" spans="1:11" ht="18.95" customHeight="1">
      <c r="A33" s="686"/>
      <c r="B33" s="654" t="str">
        <v>02</v>
      </c>
      <c r="C33" s="651" t="s">
        <v>163</v>
      </c>
      <c r="D33" s="652" t="str">
        <f>'Tab.G2.1-3'!$D$168</f>
        <v>[tys. zł/szt.]</v>
      </c>
      <c r="E33" s="653" t="str">
        <f t="array" ref="E33:E35">IFERROR($E$9:$E$11/E18:E20,"")</f>
        <v/>
      </c>
      <c r="F33" s="272"/>
      <c r="G33" s="272"/>
      <c r="H33" s="272"/>
      <c r="I33" s="272"/>
      <c r="J33" s="272"/>
      <c r="K33" s="272"/>
    </row>
    <row r="34" spans="1:11" ht="18.95" customHeight="1">
      <c r="A34" s="686"/>
      <c r="B34" s="655" t="str">
        <v>03</v>
      </c>
      <c r="C34" s="649" t="s">
        <v>156</v>
      </c>
      <c r="D34" s="650" t="str">
        <f>'Tab.G2.1-3'!$D$168</f>
        <v>[tys. zł/szt.]</v>
      </c>
      <c r="E34" s="303" t="str">
        <v/>
      </c>
      <c r="F34" s="272"/>
      <c r="G34" s="272"/>
      <c r="H34" s="272"/>
      <c r="I34" s="272"/>
      <c r="J34" s="272"/>
      <c r="K34" s="272"/>
    </row>
    <row r="35" spans="1:11" ht="18.95" customHeight="1" thickBot="1">
      <c r="A35" s="686"/>
      <c r="B35" s="656" t="str">
        <v>04</v>
      </c>
      <c r="C35" s="323" t="s">
        <v>157</v>
      </c>
      <c r="D35" s="324" t="str">
        <f>'Tab.G2.1-3'!$D$168</f>
        <v>[tys. zł/szt.]</v>
      </c>
      <c r="E35" s="306" t="str">
        <v/>
      </c>
      <c r="F35" s="272"/>
      <c r="G35" s="272"/>
      <c r="H35" s="272"/>
      <c r="I35" s="272"/>
      <c r="J35" s="272"/>
      <c r="K35" s="272"/>
    </row>
    <row r="36" spans="1:11" ht="18.95" customHeight="1">
      <c r="A36" s="686"/>
      <c r="B36" s="657" t="str">
        <v>05</v>
      </c>
      <c r="C36" s="325" t="s">
        <v>164</v>
      </c>
      <c r="D36" s="326" t="str">
        <f>'Tab.G2.1-3'!$D$134</f>
        <v>[tys. zł/km]</v>
      </c>
      <c r="E36" s="327" t="str">
        <f t="array" ref="E36:E38">IFERROR($E$9:$E$11/E21:E23,"")</f>
        <v/>
      </c>
      <c r="F36" s="272"/>
      <c r="G36" s="272"/>
      <c r="H36" s="272"/>
      <c r="I36" s="272"/>
      <c r="J36" s="272"/>
      <c r="K36" s="272"/>
    </row>
    <row r="37" spans="1:11" ht="18.95" customHeight="1">
      <c r="A37" s="686"/>
      <c r="B37" s="658" t="str">
        <v>06</v>
      </c>
      <c r="C37" s="328" t="s">
        <v>156</v>
      </c>
      <c r="D37" s="329" t="str">
        <f>'Tab.G2.1-3'!$D$134</f>
        <v>[tys. zł/km]</v>
      </c>
      <c r="E37" s="330" t="str">
        <v/>
      </c>
      <c r="F37" s="272"/>
      <c r="G37" s="272"/>
      <c r="H37" s="272"/>
      <c r="I37" s="272"/>
      <c r="J37" s="272"/>
      <c r="K37" s="272"/>
    </row>
    <row r="38" spans="1:11" ht="18.95" customHeight="1" thickBot="1">
      <c r="A38" s="686"/>
      <c r="B38" s="659" t="str">
        <v>07</v>
      </c>
      <c r="C38" s="323" t="s">
        <v>157</v>
      </c>
      <c r="D38" s="300" t="str">
        <f>'Tab.G2.1-3'!$D$134</f>
        <v>[tys. zł/km]</v>
      </c>
      <c r="E38" s="306" t="str">
        <v/>
      </c>
      <c r="F38" s="272"/>
      <c r="G38" s="272"/>
      <c r="H38" s="272"/>
      <c r="I38" s="272"/>
      <c r="J38" s="272"/>
      <c r="K38" s="272"/>
    </row>
    <row r="39" spans="1:11" ht="18.95" customHeight="1">
      <c r="A39" s="686"/>
      <c r="B39" s="660" t="str">
        <v>08</v>
      </c>
      <c r="C39" s="331" t="s">
        <v>165</v>
      </c>
      <c r="D39" s="332" t="str">
        <f>'Tab.G3.1-5'!$D$77</f>
        <v>[tys. zł/(m³/h)]</v>
      </c>
      <c r="E39" s="333" t="str">
        <f t="array" ref="E39:E41">IFERROR($E$9:$E$11/E24:E26,"")</f>
        <v/>
      </c>
      <c r="F39" s="272"/>
      <c r="G39" s="272"/>
      <c r="H39" s="272"/>
      <c r="I39" s="272"/>
      <c r="J39" s="272"/>
      <c r="K39" s="272"/>
    </row>
    <row r="40" spans="1:11" ht="18.95" customHeight="1">
      <c r="A40" s="686"/>
      <c r="B40" s="658" t="str">
        <v>09</v>
      </c>
      <c r="C40" s="328" t="s">
        <v>156</v>
      </c>
      <c r="D40" s="329" t="str">
        <f>'Tab.G3.1-5'!$D$77</f>
        <v>[tys. zł/(m³/h)]</v>
      </c>
      <c r="E40" s="330" t="str">
        <v/>
      </c>
      <c r="F40" s="272"/>
      <c r="G40" s="272"/>
      <c r="H40" s="272"/>
      <c r="I40" s="272"/>
      <c r="J40" s="272"/>
      <c r="K40" s="272"/>
    </row>
    <row r="41" spans="1:11" ht="18.95" customHeight="1" thickBot="1">
      <c r="A41" s="686"/>
      <c r="B41" s="661" t="str">
        <v>10</v>
      </c>
      <c r="C41" s="322" t="s">
        <v>157</v>
      </c>
      <c r="D41" s="311" t="str">
        <f>'Tab.G3.1-5'!$D$77</f>
        <v>[tys. zł/(m³/h)]</v>
      </c>
      <c r="E41" s="312" t="str">
        <v/>
      </c>
      <c r="F41" s="272"/>
      <c r="G41" s="272"/>
      <c r="H41" s="272"/>
      <c r="I41" s="272"/>
      <c r="J41" s="272"/>
      <c r="K41" s="272"/>
    </row>
    <row r="42" spans="1:11" ht="21" customHeight="1" thickTop="1">
      <c r="A42" s="686"/>
      <c r="B42" s="686"/>
      <c r="C42" s="686"/>
      <c r="D42" s="686"/>
      <c r="E42" s="272"/>
      <c r="F42" s="272"/>
      <c r="G42" s="272"/>
      <c r="H42" s="272"/>
      <c r="I42" s="272"/>
      <c r="J42" s="272"/>
      <c r="K42" s="272"/>
    </row>
    <row r="43" spans="1:11" ht="21" customHeight="1">
      <c r="A43" s="686"/>
      <c r="B43" s="686"/>
      <c r="C43" s="686"/>
      <c r="D43" s="686"/>
      <c r="E43" s="272"/>
      <c r="F43" s="272"/>
      <c r="G43" s="272"/>
      <c r="H43" s="272"/>
      <c r="I43" s="272"/>
      <c r="J43" s="272"/>
      <c r="K43" s="272"/>
    </row>
    <row r="44" spans="1:11" ht="21" customHeight="1">
      <c r="A44" s="686"/>
      <c r="B44" s="686"/>
      <c r="C44" s="686"/>
      <c r="D44" s="686"/>
      <c r="E44" s="272"/>
      <c r="F44" s="272"/>
      <c r="G44" s="272"/>
      <c r="H44" s="272"/>
      <c r="I44" s="272"/>
      <c r="J44" s="272"/>
      <c r="K44" s="272"/>
    </row>
    <row r="45" spans="1:11" ht="21" customHeight="1">
      <c r="A45" s="320"/>
      <c r="B45" s="320"/>
      <c r="C45" s="320"/>
      <c r="D45" s="320"/>
    </row>
    <row r="46" spans="1:11" ht="21" customHeight="1">
      <c r="A46" s="320"/>
      <c r="B46" s="320"/>
      <c r="C46" s="320"/>
      <c r="D46" s="320"/>
    </row>
    <row r="47" spans="1:11" ht="21" customHeight="1">
      <c r="A47" s="320"/>
      <c r="B47" s="320"/>
      <c r="C47" s="320"/>
      <c r="D47" s="320"/>
    </row>
    <row r="48" spans="1:11" ht="21" customHeight="1">
      <c r="A48"/>
      <c r="B48"/>
      <c r="C48"/>
      <c r="D48"/>
      <c r="E48"/>
      <c r="F48"/>
    </row>
    <row r="49" spans="1:7" ht="31.5" customHeight="1">
      <c r="A49"/>
      <c r="B49"/>
      <c r="C49"/>
      <c r="D49"/>
      <c r="E49"/>
      <c r="F49"/>
      <c r="G49" s="203"/>
    </row>
    <row r="50" spans="1:7" ht="17.25" customHeight="1">
      <c r="A50"/>
      <c r="B50"/>
      <c r="C50"/>
      <c r="D50"/>
      <c r="E50"/>
      <c r="F50"/>
      <c r="G50" s="203"/>
    </row>
    <row r="51" spans="1:7" ht="40.5" customHeight="1">
      <c r="A51"/>
      <c r="B51"/>
      <c r="C51"/>
      <c r="D51"/>
      <c r="E51"/>
      <c r="F51"/>
      <c r="G51" s="203"/>
    </row>
    <row r="52" spans="1:7" ht="12" customHeight="1">
      <c r="A52"/>
      <c r="B52"/>
      <c r="C52"/>
      <c r="D52"/>
      <c r="E52"/>
      <c r="F52"/>
      <c r="G52" s="203"/>
    </row>
    <row r="53" spans="1:7" ht="18" customHeight="1">
      <c r="A53"/>
      <c r="B53"/>
      <c r="C53"/>
      <c r="D53"/>
      <c r="E53"/>
      <c r="F53"/>
      <c r="G53" s="203"/>
    </row>
    <row r="54" spans="1:7" ht="18" customHeight="1">
      <c r="A54"/>
      <c r="B54"/>
      <c r="C54"/>
      <c r="D54"/>
      <c r="E54"/>
      <c r="F54"/>
      <c r="G54" s="203"/>
    </row>
    <row r="55" spans="1:7" ht="18" customHeight="1">
      <c r="A55"/>
      <c r="B55"/>
      <c r="C55"/>
      <c r="D55"/>
      <c r="E55"/>
      <c r="F55"/>
      <c r="G55" s="203"/>
    </row>
    <row r="56" spans="1:7" ht="16.5" customHeight="1">
      <c r="A56"/>
      <c r="B56"/>
      <c r="C56"/>
      <c r="D56"/>
      <c r="E56"/>
      <c r="F56"/>
    </row>
    <row r="57" spans="1:7" ht="21" customHeight="1">
      <c r="A57"/>
      <c r="B57"/>
      <c r="C57"/>
      <c r="D57"/>
      <c r="E57"/>
      <c r="F57"/>
    </row>
    <row r="58" spans="1:7" ht="33" customHeight="1">
      <c r="A58"/>
      <c r="B58"/>
      <c r="C58"/>
      <c r="D58"/>
      <c r="E58"/>
      <c r="F58"/>
      <c r="G58" s="203"/>
    </row>
    <row r="59" spans="1:7" ht="17.25" customHeight="1">
      <c r="A59"/>
      <c r="B59"/>
      <c r="C59"/>
      <c r="D59"/>
      <c r="E59"/>
      <c r="F59"/>
      <c r="G59" s="203"/>
    </row>
    <row r="60" spans="1:7" ht="40.5" customHeight="1">
      <c r="A60"/>
      <c r="B60"/>
      <c r="C60"/>
      <c r="D60"/>
      <c r="E60"/>
      <c r="F60"/>
      <c r="G60" s="203"/>
    </row>
    <row r="61" spans="1:7" ht="12" customHeight="1">
      <c r="A61"/>
      <c r="B61"/>
      <c r="C61"/>
      <c r="D61"/>
      <c r="E61"/>
      <c r="F61"/>
      <c r="G61" s="203"/>
    </row>
    <row r="62" spans="1:7" ht="18" customHeight="1">
      <c r="A62"/>
      <c r="B62"/>
      <c r="C62"/>
      <c r="D62"/>
      <c r="E62"/>
      <c r="F62"/>
      <c r="G62" s="203"/>
    </row>
    <row r="63" spans="1:7" ht="18" customHeight="1">
      <c r="A63"/>
      <c r="B63"/>
      <c r="C63"/>
      <c r="D63"/>
      <c r="E63"/>
      <c r="F63"/>
      <c r="G63" s="203"/>
    </row>
    <row r="64" spans="1:7" ht="18" customHeight="1">
      <c r="A64"/>
      <c r="B64"/>
      <c r="C64"/>
      <c r="D64"/>
      <c r="E64"/>
      <c r="F64"/>
      <c r="G64" s="203"/>
    </row>
    <row r="65" spans="1:7" ht="20.25" customHeight="1">
      <c r="A65"/>
      <c r="B65"/>
      <c r="C65"/>
      <c r="D65"/>
      <c r="E65"/>
      <c r="F65"/>
      <c r="G65" s="203"/>
    </row>
    <row r="66" spans="1:7" ht="20.25" customHeight="1">
      <c r="A66"/>
      <c r="B66"/>
      <c r="C66"/>
      <c r="D66"/>
      <c r="E66"/>
      <c r="F66"/>
      <c r="G66" s="203"/>
    </row>
    <row r="67" spans="1:7" ht="15.75">
      <c r="A67"/>
      <c r="B67"/>
      <c r="C67"/>
      <c r="D67"/>
      <c r="E67"/>
      <c r="F67"/>
      <c r="G67" s="203"/>
    </row>
    <row r="68" spans="1:7" ht="15.75">
      <c r="A68"/>
      <c r="B68"/>
      <c r="C68"/>
      <c r="D68"/>
      <c r="E68"/>
      <c r="F68"/>
    </row>
    <row r="69" spans="1:7" ht="15.75">
      <c r="A69"/>
      <c r="B69"/>
      <c r="C69"/>
      <c r="D69"/>
      <c r="E69"/>
      <c r="F69"/>
    </row>
    <row r="70" spans="1:7" ht="15.75">
      <c r="A70"/>
      <c r="B70"/>
      <c r="C70"/>
      <c r="D70"/>
      <c r="E70"/>
      <c r="F70"/>
    </row>
    <row r="71" spans="1:7" ht="21" customHeight="1">
      <c r="A71"/>
      <c r="B71"/>
      <c r="C71"/>
      <c r="D71"/>
      <c r="E71"/>
      <c r="F71"/>
    </row>
    <row r="72" spans="1:7" ht="32.25" customHeight="1">
      <c r="A72"/>
      <c r="B72"/>
      <c r="C72"/>
      <c r="D72"/>
      <c r="E72"/>
      <c r="F72"/>
      <c r="G72" s="203"/>
    </row>
    <row r="73" spans="1:7" ht="17.25" customHeight="1">
      <c r="A73"/>
      <c r="B73"/>
      <c r="C73"/>
      <c r="D73"/>
      <c r="E73"/>
      <c r="F73"/>
      <c r="G73" s="203"/>
    </row>
    <row r="74" spans="1:7" ht="40.5" customHeight="1">
      <c r="A74"/>
      <c r="B74"/>
      <c r="C74"/>
      <c r="D74"/>
      <c r="E74"/>
      <c r="F74"/>
      <c r="G74" s="203"/>
    </row>
    <row r="75" spans="1:7" ht="12" customHeight="1">
      <c r="A75"/>
      <c r="B75"/>
      <c r="C75"/>
      <c r="D75"/>
      <c r="E75"/>
      <c r="F75"/>
      <c r="G75" s="203"/>
    </row>
    <row r="76" spans="1:7" ht="18" customHeight="1">
      <c r="A76"/>
      <c r="B76"/>
      <c r="C76"/>
      <c r="D76"/>
      <c r="E76"/>
      <c r="F76"/>
      <c r="G76" s="203"/>
    </row>
    <row r="77" spans="1:7" ht="18" customHeight="1">
      <c r="A77"/>
      <c r="B77"/>
      <c r="C77"/>
      <c r="D77"/>
      <c r="E77"/>
      <c r="F77"/>
      <c r="G77" s="203"/>
    </row>
    <row r="78" spans="1:7" ht="18" customHeight="1">
      <c r="A78"/>
      <c r="B78"/>
      <c r="C78"/>
      <c r="D78"/>
      <c r="E78"/>
      <c r="F78"/>
      <c r="G78" s="203"/>
    </row>
    <row r="79" spans="1:7" ht="15.75">
      <c r="A79"/>
      <c r="B79"/>
      <c r="C79"/>
      <c r="D79"/>
      <c r="E79"/>
      <c r="F79"/>
    </row>
  </sheetData>
  <mergeCells count="11">
    <mergeCell ref="C3:G3"/>
    <mergeCell ref="C4:G4"/>
    <mergeCell ref="B6:B7"/>
    <mergeCell ref="C6:D7"/>
    <mergeCell ref="C8:D8"/>
    <mergeCell ref="C32:D32"/>
    <mergeCell ref="B15:B16"/>
    <mergeCell ref="C15:D16"/>
    <mergeCell ref="C17:D17"/>
    <mergeCell ref="B30:B31"/>
    <mergeCell ref="C30:D31"/>
  </mergeCells>
  <phoneticPr fontId="0" type="noConversion"/>
  <hyperlinks>
    <hyperlink ref="C1" location="Spis!B26" display="&gt;&gt; powrót do spisu treści" xr:uid="{00000000-0004-0000-0700-000000000000}"/>
  </hyperlinks>
  <pageMargins left="0.74803149606299213" right="0.74803149606299213" top="0.98425196850393704" bottom="0.98425196850393704" header="0.51181102362204722" footer="0.51181102362204722"/>
  <pageSetup paperSize="9" scale="79" fitToHeight="0" orientation="portrait" r:id="rId1"/>
  <headerFooter alignWithMargins="0">
    <oddFooter>&amp;LModuł planu inwestycyjnego&amp;C&amp;P/&amp;N&amp;R&amp;A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7">
    <pageSetUpPr fitToPage="1"/>
  </sheetPr>
  <dimension ref="A1:O1785"/>
  <sheetViews>
    <sheetView zoomScale="90" zoomScaleNormal="90" zoomScaleSheetLayoutView="75" workbookViewId="0">
      <pane ySplit="5" topLeftCell="A6" activePane="bottomLeft" state="frozen"/>
      <selection pane="bottomLeft" activeCell="C5" sqref="C5:I5"/>
    </sheetView>
  </sheetViews>
  <sheetFormatPr defaultColWidth="8.88671875" defaultRowHeight="12.75"/>
  <cols>
    <col min="1" max="1" width="3.77734375" style="109" customWidth="1"/>
    <col min="2" max="2" width="4.77734375" style="109" customWidth="1"/>
    <col min="3" max="3" width="66.77734375" style="135" customWidth="1"/>
    <col min="4" max="4" width="12.77734375" style="141" customWidth="1"/>
    <col min="5" max="5" width="15.77734375" style="109" customWidth="1"/>
    <col min="6" max="12" width="10.77734375" style="109" customWidth="1"/>
    <col min="13" max="13" width="13.44140625" style="109" customWidth="1"/>
    <col min="14" max="16384" width="8.88671875" style="109"/>
  </cols>
  <sheetData>
    <row r="1" spans="1:15" ht="15.75">
      <c r="A1" s="36"/>
      <c r="B1" s="128"/>
      <c r="C1" s="930" t="s">
        <v>9</v>
      </c>
      <c r="D1" s="129"/>
      <c r="E1" s="128"/>
      <c r="F1" s="128"/>
      <c r="G1" s="128"/>
      <c r="H1" s="128"/>
      <c r="I1" s="128"/>
      <c r="J1" s="853"/>
      <c r="K1" s="853"/>
      <c r="L1" s="863"/>
      <c r="M1" s="863"/>
    </row>
    <row r="2" spans="1:15" ht="15.75">
      <c r="A2" s="36"/>
      <c r="B2" s="128"/>
      <c r="C2" s="38"/>
      <c r="D2" s="129"/>
      <c r="E2" s="128"/>
      <c r="F2" s="128"/>
      <c r="G2" s="128"/>
      <c r="H2" s="128"/>
      <c r="I2" s="128"/>
      <c r="J2" s="853"/>
      <c r="K2" s="853"/>
      <c r="L2" s="863"/>
      <c r="M2" s="863"/>
    </row>
    <row r="3" spans="1:15" ht="18">
      <c r="A3" s="36"/>
      <c r="B3" s="142" t="s">
        <v>61</v>
      </c>
      <c r="C3" s="142"/>
      <c r="D3" s="142"/>
      <c r="E3" s="143"/>
      <c r="F3" s="128"/>
      <c r="G3" s="128"/>
      <c r="H3" s="128"/>
      <c r="I3" s="128"/>
      <c r="J3" s="853"/>
      <c r="K3" s="853"/>
      <c r="L3" s="863"/>
      <c r="M3" s="863"/>
    </row>
    <row r="4" spans="1:15" ht="18.95" customHeight="1">
      <c r="A4" s="36"/>
      <c r="B4" s="142"/>
      <c r="C4" s="142"/>
      <c r="D4" s="142"/>
      <c r="E4" s="143"/>
      <c r="F4" s="128"/>
      <c r="G4" s="128"/>
      <c r="H4" s="128"/>
      <c r="I4" s="128"/>
      <c r="J4" s="853"/>
      <c r="K4" s="853"/>
      <c r="L4" s="863"/>
      <c r="M4" s="863"/>
    </row>
    <row r="5" spans="1:15" ht="24.95" customHeight="1">
      <c r="A5" s="36"/>
      <c r="B5" s="842" t="s">
        <v>13</v>
      </c>
      <c r="C5" s="1083" t="s">
        <v>277</v>
      </c>
      <c r="D5" s="1050"/>
      <c r="E5" s="1050"/>
      <c r="F5" s="1050"/>
      <c r="G5" s="1050"/>
      <c r="H5" s="1050"/>
      <c r="I5" s="1050"/>
      <c r="J5" s="866"/>
      <c r="K5" s="866"/>
      <c r="L5" s="864"/>
      <c r="M5" s="863"/>
    </row>
    <row r="6" spans="1:15" ht="30" customHeight="1" thickBot="1">
      <c r="A6" s="35"/>
      <c r="B6" s="199" t="s">
        <v>166</v>
      </c>
      <c r="C6" s="132"/>
      <c r="D6" s="133"/>
      <c r="E6" s="35"/>
      <c r="F6" s="35"/>
      <c r="G6" s="35"/>
      <c r="H6" s="35"/>
      <c r="I6" s="35"/>
      <c r="J6" s="853"/>
      <c r="K6" s="853"/>
      <c r="L6" s="863"/>
      <c r="M6" s="863"/>
    </row>
    <row r="7" spans="1:15" s="135" customFormat="1" ht="18.95" customHeight="1">
      <c r="A7" s="37"/>
      <c r="B7" s="1035" t="str">
        <f>'Tab.G1.1-4'!$B$8</f>
        <v>LP</v>
      </c>
      <c r="C7" s="1037" t="str">
        <f>'Tab.G1.1-4'!$C$8</f>
        <v>Wyszczególnienie</v>
      </c>
      <c r="D7" s="1038"/>
      <c r="E7" s="627" t="str">
        <f>'Tab.G1.1-4'!$E$8</f>
        <v>Wykonanie</v>
      </c>
      <c r="F7" s="704"/>
      <c r="G7" s="704"/>
      <c r="H7" s="704"/>
      <c r="I7" s="704"/>
      <c r="J7" s="704"/>
      <c r="K7" s="704"/>
      <c r="L7" s="865"/>
      <c r="M7" s="865"/>
      <c r="N7"/>
      <c r="O7"/>
    </row>
    <row r="8" spans="1:15" s="135" customFormat="1" ht="18.95" customHeight="1">
      <c r="A8" s="134"/>
      <c r="B8" s="1036"/>
      <c r="C8" s="1039"/>
      <c r="D8" s="1040"/>
      <c r="E8" s="628">
        <f>Rok_ZPR</f>
        <v>2023</v>
      </c>
      <c r="F8" s="704"/>
      <c r="G8" s="704"/>
      <c r="H8" s="704"/>
      <c r="I8" s="704"/>
      <c r="J8" s="704"/>
      <c r="K8" s="704"/>
      <c r="L8" s="865"/>
      <c r="M8" s="865"/>
      <c r="N8"/>
      <c r="O8"/>
    </row>
    <row r="9" spans="1:15" ht="14.1" customHeight="1" thickBot="1">
      <c r="A9" s="136"/>
      <c r="B9" s="644" t="str">
        <f t="array" ref="B9:B66">Tab.G17!$B$10:$B$67</f>
        <v>01</v>
      </c>
      <c r="C9" s="1044" t="str">
        <f>Tab.G17!$B$11</f>
        <v>02</v>
      </c>
      <c r="D9" s="1034"/>
      <c r="E9" s="645" t="str">
        <f>Tab.G17!$B$12</f>
        <v>03</v>
      </c>
      <c r="F9" s="704"/>
      <c r="G9" s="704"/>
      <c r="H9" s="704"/>
      <c r="I9" s="704"/>
      <c r="J9" s="704"/>
      <c r="K9" s="704"/>
      <c r="L9" s="865"/>
      <c r="M9" s="865"/>
      <c r="N9"/>
      <c r="O9"/>
    </row>
    <row r="10" spans="1:15" ht="18.95" customHeight="1" thickBot="1">
      <c r="A10" s="130"/>
      <c r="B10" s="641" t="str">
        <v>02</v>
      </c>
      <c r="C10" s="1" t="s">
        <v>112</v>
      </c>
      <c r="D10" s="2" t="str">
        <f>'Tab.G1.1-4'!$D$11</f>
        <v>[tys. zł]</v>
      </c>
      <c r="E10" s="146">
        <f>SUM(E11,E22,E38)</f>
        <v>0</v>
      </c>
      <c r="F10" s="704"/>
      <c r="G10" s="704"/>
      <c r="H10" s="704"/>
      <c r="I10" s="704"/>
      <c r="J10" s="704"/>
      <c r="K10" s="704"/>
      <c r="L10"/>
      <c r="M10"/>
      <c r="N10"/>
      <c r="O10"/>
    </row>
    <row r="11" spans="1:15" ht="18.95" customHeight="1" thickBot="1">
      <c r="A11" s="130"/>
      <c r="B11" s="633" t="str">
        <v>03</v>
      </c>
      <c r="C11" s="3" t="s">
        <v>120</v>
      </c>
      <c r="D11" s="4" t="str">
        <f>'Tab.G1.1-4'!$D$11</f>
        <v>[tys. zł]</v>
      </c>
      <c r="E11" s="147">
        <f>SUM(E12,E17)</f>
        <v>0</v>
      </c>
      <c r="F11" s="704"/>
      <c r="G11" s="704"/>
      <c r="H11" s="704"/>
      <c r="I11" s="704"/>
      <c r="J11" s="704"/>
      <c r="K11" s="704"/>
      <c r="L11"/>
      <c r="M11"/>
      <c r="N11"/>
      <c r="O11"/>
    </row>
    <row r="12" spans="1:15" ht="18.95" customHeight="1">
      <c r="A12" s="35"/>
      <c r="B12" s="634" t="str">
        <v>04</v>
      </c>
      <c r="C12" s="258" t="s">
        <v>72</v>
      </c>
      <c r="D12" s="5" t="str">
        <f>'Tab.G1.1-4'!$D$11</f>
        <v>[tys. zł]</v>
      </c>
      <c r="E12" s="148">
        <f>SUM(E13:E16)</f>
        <v>0</v>
      </c>
      <c r="F12" s="704"/>
      <c r="G12" s="704"/>
      <c r="H12" s="704"/>
      <c r="I12" s="704"/>
      <c r="J12" s="704"/>
      <c r="K12" s="704"/>
      <c r="L12"/>
      <c r="M12"/>
      <c r="N12"/>
      <c r="O12"/>
    </row>
    <row r="13" spans="1:15" ht="18.95" customHeight="1">
      <c r="A13" s="35"/>
      <c r="B13" s="635" t="str">
        <v>05</v>
      </c>
      <c r="C13" s="260" t="s">
        <v>73</v>
      </c>
      <c r="D13" s="6" t="str">
        <f>'Tab.G1.1-4'!$D$11</f>
        <v>[tys. zł]</v>
      </c>
      <c r="E13" s="149"/>
      <c r="F13" s="704"/>
      <c r="G13" s="704"/>
      <c r="H13" s="704"/>
      <c r="I13" s="704"/>
      <c r="J13" s="704"/>
      <c r="K13" s="704"/>
      <c r="L13"/>
      <c r="M13"/>
      <c r="N13"/>
      <c r="O13"/>
    </row>
    <row r="14" spans="1:15" ht="18.95" customHeight="1">
      <c r="A14" s="35"/>
      <c r="B14" s="636" t="str">
        <v>06</v>
      </c>
      <c r="C14" s="261" t="s">
        <v>74</v>
      </c>
      <c r="D14" s="7" t="str">
        <f>'Tab.G1.1-4'!$D$11</f>
        <v>[tys. zł]</v>
      </c>
      <c r="E14" s="150"/>
      <c r="F14" s="704"/>
      <c r="G14" s="704"/>
      <c r="H14" s="704"/>
      <c r="I14" s="704"/>
      <c r="J14" s="704"/>
      <c r="K14" s="704"/>
      <c r="L14"/>
      <c r="M14"/>
      <c r="N14"/>
      <c r="O14"/>
    </row>
    <row r="15" spans="1:15" ht="18.95" customHeight="1">
      <c r="A15" s="130"/>
      <c r="B15" s="636" t="str">
        <v>07</v>
      </c>
      <c r="C15" s="261" t="s">
        <v>75</v>
      </c>
      <c r="D15" s="7" t="str">
        <f>'Tab.G1.1-4'!$D$11</f>
        <v>[tys. zł]</v>
      </c>
      <c r="E15" s="150"/>
      <c r="F15" s="704"/>
      <c r="G15" s="704"/>
      <c r="H15" s="704"/>
      <c r="I15" s="704"/>
      <c r="J15" s="704"/>
      <c r="K15" s="704"/>
      <c r="L15"/>
      <c r="M15"/>
      <c r="N15"/>
      <c r="O15"/>
    </row>
    <row r="16" spans="1:15" ht="18.95" customHeight="1">
      <c r="A16" s="130"/>
      <c r="B16" s="637" t="str">
        <v>08</v>
      </c>
      <c r="C16" s="264" t="s">
        <v>76</v>
      </c>
      <c r="D16" s="8" t="str">
        <f>'Tab.G1.1-4'!$D$11</f>
        <v>[tys. zł]</v>
      </c>
      <c r="E16" s="151"/>
      <c r="F16" s="704"/>
      <c r="G16" s="704"/>
      <c r="H16" s="704"/>
      <c r="I16" s="704"/>
      <c r="J16" s="704"/>
      <c r="K16" s="704"/>
      <c r="L16"/>
      <c r="M16"/>
      <c r="N16"/>
      <c r="O16"/>
    </row>
    <row r="17" spans="1:15" ht="18.95" customHeight="1">
      <c r="A17" s="130"/>
      <c r="B17" s="638" t="str">
        <v>09</v>
      </c>
      <c r="C17" s="259" t="s">
        <v>77</v>
      </c>
      <c r="D17" s="9" t="str">
        <f>'Tab.G1.1-4'!$D$11</f>
        <v>[tys. zł]</v>
      </c>
      <c r="E17" s="152">
        <f>SUM(E18:E21)</f>
        <v>0</v>
      </c>
      <c r="F17" s="704"/>
      <c r="G17" s="704"/>
      <c r="H17" s="704"/>
      <c r="I17" s="704"/>
      <c r="J17" s="704"/>
      <c r="K17" s="704"/>
      <c r="L17"/>
      <c r="M17"/>
      <c r="N17"/>
      <c r="O17"/>
    </row>
    <row r="18" spans="1:15" ht="18.95" customHeight="1">
      <c r="A18" s="130"/>
      <c r="B18" s="635" t="str">
        <v>10</v>
      </c>
      <c r="C18" s="260" t="s">
        <v>73</v>
      </c>
      <c r="D18" s="6" t="str">
        <f>'Tab.G1.1-4'!$D$11</f>
        <v>[tys. zł]</v>
      </c>
      <c r="E18" s="149"/>
      <c r="F18" s="704"/>
      <c r="G18" s="704"/>
      <c r="H18" s="704"/>
      <c r="I18" s="704"/>
      <c r="J18" s="704"/>
      <c r="K18" s="704"/>
      <c r="L18"/>
      <c r="M18"/>
      <c r="N18"/>
      <c r="O18"/>
    </row>
    <row r="19" spans="1:15" ht="18.95" customHeight="1">
      <c r="A19" s="130"/>
      <c r="B19" s="636" t="str">
        <v>11</v>
      </c>
      <c r="C19" s="261" t="s">
        <v>74</v>
      </c>
      <c r="D19" s="7" t="str">
        <f>'Tab.G1.1-4'!$D$11</f>
        <v>[tys. zł]</v>
      </c>
      <c r="E19" s="150"/>
      <c r="F19" s="704"/>
      <c r="G19" s="704"/>
      <c r="H19" s="704"/>
      <c r="I19" s="704"/>
      <c r="J19" s="704"/>
      <c r="K19" s="704"/>
      <c r="L19"/>
      <c r="M19"/>
      <c r="N19"/>
      <c r="O19"/>
    </row>
    <row r="20" spans="1:15" ht="18.95" customHeight="1">
      <c r="A20" s="130"/>
      <c r="B20" s="636" t="str">
        <v>12</v>
      </c>
      <c r="C20" s="261" t="s">
        <v>75</v>
      </c>
      <c r="D20" s="7" t="str">
        <f>'Tab.G1.1-4'!$D$11</f>
        <v>[tys. zł]</v>
      </c>
      <c r="E20" s="150"/>
      <c r="F20" s="704"/>
      <c r="G20" s="704"/>
      <c r="H20" s="704"/>
      <c r="I20" s="704"/>
      <c r="J20" s="704"/>
      <c r="K20" s="704"/>
      <c r="L20"/>
      <c r="M20"/>
      <c r="N20"/>
      <c r="O20"/>
    </row>
    <row r="21" spans="1:15" ht="18.95" customHeight="1" thickBot="1">
      <c r="A21" s="130"/>
      <c r="B21" s="639" t="str">
        <v>13</v>
      </c>
      <c r="C21" s="265" t="s">
        <v>76</v>
      </c>
      <c r="D21" s="10" t="str">
        <f>'Tab.G1.1-4'!$D$11</f>
        <v>[tys. zł]</v>
      </c>
      <c r="E21" s="153"/>
      <c r="F21" s="704"/>
      <c r="G21" s="704"/>
      <c r="H21" s="704"/>
      <c r="I21" s="704"/>
      <c r="J21" s="704"/>
      <c r="K21" s="704"/>
      <c r="L21"/>
      <c r="M21"/>
      <c r="N21"/>
      <c r="O21"/>
    </row>
    <row r="22" spans="1:15" ht="18.95" customHeight="1" thickBot="1">
      <c r="A22" s="130"/>
      <c r="B22" s="633" t="str">
        <v>14</v>
      </c>
      <c r="C22" s="11" t="s">
        <v>121</v>
      </c>
      <c r="D22" s="4" t="str">
        <f>'Tab.G1.1-4'!$D$11</f>
        <v>[tys. zł]</v>
      </c>
      <c r="E22" s="147">
        <f>SUM(E23,E28,E33)</f>
        <v>0</v>
      </c>
      <c r="F22" s="704"/>
      <c r="G22" s="704"/>
      <c r="H22" s="704"/>
      <c r="I22" s="704"/>
      <c r="J22" s="704"/>
      <c r="K22" s="704"/>
      <c r="L22"/>
      <c r="M22"/>
      <c r="N22"/>
      <c r="O22"/>
    </row>
    <row r="23" spans="1:15" ht="18.95" customHeight="1">
      <c r="A23" s="130"/>
      <c r="B23" s="634" t="str">
        <v>15</v>
      </c>
      <c r="C23" s="258" t="s">
        <v>72</v>
      </c>
      <c r="D23" s="5" t="str">
        <f>'Tab.G1.1-4'!$D$11</f>
        <v>[tys. zł]</v>
      </c>
      <c r="E23" s="148">
        <f>SUM(E24:E27)</f>
        <v>0</v>
      </c>
      <c r="F23" s="704"/>
      <c r="G23" s="704"/>
      <c r="H23" s="704"/>
      <c r="I23" s="704"/>
      <c r="J23" s="704"/>
      <c r="K23" s="704"/>
      <c r="L23"/>
      <c r="M23"/>
      <c r="N23"/>
      <c r="O23"/>
    </row>
    <row r="24" spans="1:15" ht="18.95" customHeight="1">
      <c r="A24" s="130"/>
      <c r="B24" s="635" t="str">
        <v>16</v>
      </c>
      <c r="C24" s="260" t="s">
        <v>78</v>
      </c>
      <c r="D24" s="6" t="str">
        <f>'Tab.G1.1-4'!$D$11</f>
        <v>[tys. zł]</v>
      </c>
      <c r="E24" s="149"/>
      <c r="F24" s="704"/>
      <c r="G24" s="704"/>
      <c r="H24" s="704"/>
      <c r="I24" s="704"/>
      <c r="J24" s="704"/>
      <c r="K24" s="704"/>
      <c r="L24"/>
      <c r="M24"/>
      <c r="N24"/>
      <c r="O24"/>
    </row>
    <row r="25" spans="1:15" ht="18.95" customHeight="1">
      <c r="A25" s="130"/>
      <c r="B25" s="636" t="str">
        <v>17</v>
      </c>
      <c r="C25" s="261" t="s">
        <v>75</v>
      </c>
      <c r="D25" s="7" t="str">
        <f>'Tab.G1.1-4'!$D$11</f>
        <v>[tys. zł]</v>
      </c>
      <c r="E25" s="150"/>
      <c r="F25" s="704"/>
      <c r="G25" s="704"/>
      <c r="H25" s="704"/>
      <c r="I25" s="704"/>
      <c r="J25" s="704"/>
      <c r="K25" s="704"/>
      <c r="L25"/>
      <c r="M25"/>
      <c r="N25"/>
      <c r="O25"/>
    </row>
    <row r="26" spans="1:15" ht="18.95" customHeight="1">
      <c r="A26" s="130"/>
      <c r="B26" s="636" t="str">
        <v>18</v>
      </c>
      <c r="C26" s="262" t="s">
        <v>79</v>
      </c>
      <c r="D26" s="7" t="str">
        <f>'Tab.G1.1-4'!$D$11</f>
        <v>[tys. zł]</v>
      </c>
      <c r="E26" s="150"/>
      <c r="F26" s="704"/>
      <c r="G26" s="704"/>
      <c r="H26" s="704"/>
      <c r="I26" s="704"/>
      <c r="J26" s="704"/>
      <c r="K26" s="704"/>
      <c r="L26"/>
      <c r="M26"/>
      <c r="N26"/>
      <c r="O26"/>
    </row>
    <row r="27" spans="1:15" ht="18.95" customHeight="1">
      <c r="A27" s="130"/>
      <c r="B27" s="637" t="str">
        <v>19</v>
      </c>
      <c r="C27" s="264" t="s">
        <v>80</v>
      </c>
      <c r="D27" s="8" t="str">
        <f>'Tab.G1.1-4'!$D$11</f>
        <v>[tys. zł]</v>
      </c>
      <c r="E27" s="151"/>
      <c r="F27" s="704"/>
      <c r="G27" s="704"/>
      <c r="H27" s="704"/>
      <c r="I27" s="704"/>
      <c r="J27" s="704"/>
      <c r="K27" s="704"/>
      <c r="L27"/>
      <c r="M27"/>
      <c r="N27"/>
      <c r="O27"/>
    </row>
    <row r="28" spans="1:15" ht="18.95" customHeight="1">
      <c r="A28" s="130"/>
      <c r="B28" s="638" t="str">
        <v>20</v>
      </c>
      <c r="C28" s="259" t="s">
        <v>77</v>
      </c>
      <c r="D28" s="9" t="str">
        <f>'Tab.G1.1-4'!$D$11</f>
        <v>[tys. zł]</v>
      </c>
      <c r="E28" s="152">
        <f>SUM(E29:E32)</f>
        <v>0</v>
      </c>
      <c r="F28" s="704"/>
      <c r="G28" s="704"/>
      <c r="H28" s="704"/>
      <c r="I28" s="704"/>
      <c r="J28" s="704"/>
      <c r="K28" s="704"/>
      <c r="L28"/>
      <c r="M28"/>
      <c r="N28"/>
      <c r="O28"/>
    </row>
    <row r="29" spans="1:15" ht="18.95" customHeight="1">
      <c r="A29" s="130"/>
      <c r="B29" s="635" t="str">
        <v>21</v>
      </c>
      <c r="C29" s="260" t="s">
        <v>78</v>
      </c>
      <c r="D29" s="6" t="str">
        <f>'Tab.G1.1-4'!$D$11</f>
        <v>[tys. zł]</v>
      </c>
      <c r="E29" s="149"/>
      <c r="F29" s="704"/>
      <c r="G29" s="704"/>
      <c r="H29" s="704"/>
      <c r="I29" s="704"/>
      <c r="J29" s="704"/>
      <c r="K29" s="704"/>
      <c r="L29"/>
      <c r="M29"/>
      <c r="N29"/>
      <c r="O29"/>
    </row>
    <row r="30" spans="1:15" ht="18.95" customHeight="1">
      <c r="A30" s="130"/>
      <c r="B30" s="636" t="str">
        <v>22</v>
      </c>
      <c r="C30" s="261" t="s">
        <v>75</v>
      </c>
      <c r="D30" s="7" t="str">
        <f>'Tab.G1.1-4'!$D$11</f>
        <v>[tys. zł]</v>
      </c>
      <c r="E30" s="150"/>
      <c r="F30" s="704"/>
      <c r="G30" s="704"/>
      <c r="H30" s="704"/>
      <c r="I30" s="704"/>
      <c r="J30" s="704"/>
      <c r="K30" s="704"/>
      <c r="L30"/>
      <c r="M30"/>
      <c r="N30"/>
      <c r="O30"/>
    </row>
    <row r="31" spans="1:15" ht="18.95" customHeight="1">
      <c r="A31" s="130"/>
      <c r="B31" s="636" t="str">
        <v>23</v>
      </c>
      <c r="C31" s="262" t="s">
        <v>79</v>
      </c>
      <c r="D31" s="7" t="str">
        <f>'Tab.G1.1-4'!$D$11</f>
        <v>[tys. zł]</v>
      </c>
      <c r="E31" s="150"/>
      <c r="F31" s="704"/>
      <c r="G31" s="704"/>
      <c r="H31" s="704"/>
      <c r="I31" s="704"/>
      <c r="J31" s="704"/>
      <c r="K31" s="704"/>
      <c r="L31"/>
      <c r="M31"/>
      <c r="N31"/>
      <c r="O31"/>
    </row>
    <row r="32" spans="1:15" ht="18.95" customHeight="1">
      <c r="A32" s="130"/>
      <c r="B32" s="640" t="str">
        <v>24</v>
      </c>
      <c r="C32" s="335" t="s">
        <v>80</v>
      </c>
      <c r="D32" s="267" t="str">
        <f>'Tab.G1.1-4'!$D$11</f>
        <v>[tys. zł]</v>
      </c>
      <c r="E32" s="268"/>
      <c r="F32" s="704"/>
      <c r="G32" s="704"/>
      <c r="H32" s="704"/>
      <c r="I32" s="704"/>
      <c r="J32" s="704"/>
      <c r="K32" s="704"/>
      <c r="L32"/>
      <c r="M32"/>
      <c r="N32"/>
      <c r="O32"/>
    </row>
    <row r="33" spans="1:15" ht="18.95" customHeight="1">
      <c r="A33" s="130"/>
      <c r="B33" s="638" t="str">
        <v>25</v>
      </c>
      <c r="C33" s="259" t="s">
        <v>167</v>
      </c>
      <c r="D33" s="9" t="str">
        <f>'Tab.G1.1-4'!$D$11</f>
        <v>[tys. zł]</v>
      </c>
      <c r="E33" s="152">
        <f>SUM(E34:E37)</f>
        <v>0</v>
      </c>
      <c r="F33" s="704"/>
      <c r="G33" s="704"/>
      <c r="H33" s="704"/>
      <c r="I33" s="704"/>
      <c r="J33" s="704"/>
      <c r="K33" s="704"/>
      <c r="L33"/>
      <c r="M33"/>
      <c r="N33"/>
      <c r="O33"/>
    </row>
    <row r="34" spans="1:15" ht="18.95" customHeight="1">
      <c r="A34" s="130"/>
      <c r="B34" s="635" t="str">
        <v>26</v>
      </c>
      <c r="C34" s="260" t="s">
        <v>78</v>
      </c>
      <c r="D34" s="6" t="str">
        <f>'Tab.G1.1-4'!$D$11</f>
        <v>[tys. zł]</v>
      </c>
      <c r="E34" s="149"/>
      <c r="F34" s="704"/>
      <c r="G34" s="704"/>
      <c r="H34" s="704"/>
      <c r="I34" s="704"/>
      <c r="J34" s="704"/>
      <c r="K34" s="704"/>
      <c r="L34"/>
      <c r="M34"/>
      <c r="N34"/>
      <c r="O34"/>
    </row>
    <row r="35" spans="1:15" ht="18.95" customHeight="1">
      <c r="A35" s="130"/>
      <c r="B35" s="636" t="str">
        <v>27</v>
      </c>
      <c r="C35" s="261" t="s">
        <v>75</v>
      </c>
      <c r="D35" s="7" t="str">
        <f>'Tab.G1.1-4'!$D$11</f>
        <v>[tys. zł]</v>
      </c>
      <c r="E35" s="150"/>
      <c r="F35" s="704"/>
      <c r="G35" s="704"/>
      <c r="H35" s="704"/>
      <c r="I35" s="704"/>
      <c r="J35" s="704"/>
      <c r="K35" s="704"/>
      <c r="L35"/>
      <c r="M35"/>
      <c r="N35"/>
      <c r="O35"/>
    </row>
    <row r="36" spans="1:15" ht="18.95" customHeight="1">
      <c r="A36" s="130"/>
      <c r="B36" s="636" t="str">
        <v>28</v>
      </c>
      <c r="C36" s="262" t="s">
        <v>79</v>
      </c>
      <c r="D36" s="7" t="str">
        <f>'Tab.G1.1-4'!$D$11</f>
        <v>[tys. zł]</v>
      </c>
      <c r="E36" s="150"/>
      <c r="F36" s="704"/>
      <c r="G36" s="704"/>
      <c r="H36" s="704"/>
      <c r="I36" s="704"/>
      <c r="J36" s="704"/>
      <c r="K36" s="704"/>
      <c r="L36"/>
      <c r="M36"/>
      <c r="N36"/>
      <c r="O36"/>
    </row>
    <row r="37" spans="1:15" ht="18.95" customHeight="1" thickBot="1">
      <c r="A37" s="130"/>
      <c r="B37" s="637" t="str">
        <v>29</v>
      </c>
      <c r="C37" s="264" t="s">
        <v>80</v>
      </c>
      <c r="D37" s="8" t="str">
        <f>'Tab.G1.1-4'!$D$11</f>
        <v>[tys. zł]</v>
      </c>
      <c r="E37" s="151"/>
      <c r="F37" s="704"/>
      <c r="G37" s="704"/>
      <c r="H37" s="704"/>
      <c r="I37" s="704"/>
      <c r="J37" s="704"/>
      <c r="K37" s="704"/>
      <c r="L37"/>
      <c r="M37"/>
      <c r="N37"/>
      <c r="O37"/>
    </row>
    <row r="38" spans="1:15" ht="18.95" customHeight="1" thickBot="1">
      <c r="A38" s="130"/>
      <c r="B38" s="633" t="str">
        <v>30</v>
      </c>
      <c r="C38" s="11" t="s">
        <v>168</v>
      </c>
      <c r="D38" s="4" t="str">
        <f>'Tab.G1.1-4'!$D$11</f>
        <v>[tys. zł]</v>
      </c>
      <c r="E38" s="147"/>
      <c r="F38" s="704"/>
      <c r="G38" s="704"/>
      <c r="H38" s="704"/>
      <c r="I38" s="704"/>
      <c r="J38" s="704"/>
      <c r="K38" s="704"/>
      <c r="L38"/>
      <c r="M38"/>
      <c r="N38"/>
      <c r="O38"/>
    </row>
    <row r="39" spans="1:15" ht="18.95" customHeight="1" thickBot="1">
      <c r="A39" s="130"/>
      <c r="B39" s="641" t="str">
        <v>31</v>
      </c>
      <c r="C39" s="1" t="s">
        <v>113</v>
      </c>
      <c r="D39" s="2" t="str">
        <f>'Tab.G1.1-4'!$D$11</f>
        <v>[tys. zł]</v>
      </c>
      <c r="E39" s="146">
        <f>SUM(E40,E44,E48,E52:E53)</f>
        <v>0</v>
      </c>
      <c r="F39" s="704"/>
      <c r="G39" s="704"/>
      <c r="H39" s="704"/>
      <c r="I39" s="704"/>
      <c r="J39" s="704"/>
      <c r="K39" s="704"/>
      <c r="L39"/>
      <c r="M39"/>
      <c r="N39"/>
      <c r="O39"/>
    </row>
    <row r="40" spans="1:15" ht="18.95" customHeight="1">
      <c r="A40" s="130"/>
      <c r="B40" s="634" t="str">
        <v>32</v>
      </c>
      <c r="C40" s="12" t="s">
        <v>115</v>
      </c>
      <c r="D40" s="5" t="str">
        <f>'Tab.G1.1-4'!$D$11</f>
        <v>[tys. zł]</v>
      </c>
      <c r="E40" s="148">
        <f>SUM(E41:E43)</f>
        <v>0</v>
      </c>
      <c r="F40" s="704"/>
      <c r="G40" s="704"/>
      <c r="H40" s="704"/>
      <c r="I40" s="704"/>
      <c r="J40" s="704"/>
      <c r="K40" s="704"/>
      <c r="L40"/>
      <c r="M40"/>
      <c r="N40"/>
      <c r="O40"/>
    </row>
    <row r="41" spans="1:15" ht="18.95" customHeight="1">
      <c r="A41" s="130"/>
      <c r="B41" s="635" t="str">
        <v>33</v>
      </c>
      <c r="C41" s="260" t="s">
        <v>85</v>
      </c>
      <c r="D41" s="6" t="str">
        <f>'Tab.G1.1-4'!$D$11</f>
        <v>[tys. zł]</v>
      </c>
      <c r="E41" s="149"/>
      <c r="F41" s="704"/>
      <c r="G41" s="704"/>
      <c r="H41" s="704"/>
      <c r="I41" s="704"/>
      <c r="J41" s="704"/>
      <c r="K41" s="704"/>
      <c r="L41"/>
      <c r="M41"/>
      <c r="N41"/>
      <c r="O41"/>
    </row>
    <row r="42" spans="1:15" ht="18.95" customHeight="1">
      <c r="A42" s="130"/>
      <c r="B42" s="636" t="str">
        <v>34</v>
      </c>
      <c r="C42" s="261" t="s">
        <v>86</v>
      </c>
      <c r="D42" s="7" t="str">
        <f>'Tab.G1.1-4'!$D$11</f>
        <v>[tys. zł]</v>
      </c>
      <c r="E42" s="150"/>
      <c r="F42" s="704"/>
      <c r="G42" s="704"/>
      <c r="H42" s="704"/>
      <c r="I42" s="704"/>
      <c r="J42" s="704"/>
      <c r="K42" s="704"/>
      <c r="L42"/>
      <c r="M42"/>
      <c r="N42"/>
      <c r="O42"/>
    </row>
    <row r="43" spans="1:15" ht="18.95" customHeight="1">
      <c r="A43" s="130"/>
      <c r="B43" s="637" t="str">
        <v>35</v>
      </c>
      <c r="C43" s="269" t="s">
        <v>87</v>
      </c>
      <c r="D43" s="8" t="str">
        <f>'Tab.G1.1-4'!$D$11</f>
        <v>[tys. zł]</v>
      </c>
      <c r="E43" s="151"/>
      <c r="F43" s="704"/>
      <c r="G43" s="704"/>
      <c r="H43" s="704"/>
      <c r="I43" s="704"/>
      <c r="J43" s="704"/>
      <c r="K43" s="704"/>
      <c r="L43"/>
      <c r="M43"/>
      <c r="N43"/>
      <c r="O43"/>
    </row>
    <row r="44" spans="1:15" ht="18.95" customHeight="1">
      <c r="A44" s="130"/>
      <c r="B44" s="638" t="str">
        <v>36</v>
      </c>
      <c r="C44" s="13" t="s">
        <v>116</v>
      </c>
      <c r="D44" s="9" t="str">
        <f>'Tab.G1.1-4'!$D$11</f>
        <v>[tys. zł]</v>
      </c>
      <c r="E44" s="152">
        <f>SUM(E45:E47)</f>
        <v>0</v>
      </c>
      <c r="F44" s="704"/>
      <c r="G44" s="704"/>
      <c r="H44" s="704"/>
      <c r="I44" s="704"/>
      <c r="J44" s="704"/>
      <c r="K44" s="704"/>
      <c r="L44"/>
      <c r="M44"/>
      <c r="N44"/>
      <c r="O44"/>
    </row>
    <row r="45" spans="1:15" ht="18.95" customHeight="1">
      <c r="A45" s="130"/>
      <c r="B45" s="635" t="str">
        <v>37</v>
      </c>
      <c r="C45" s="260" t="s">
        <v>88</v>
      </c>
      <c r="D45" s="6" t="str">
        <f>'Tab.G1.1-4'!$D$11</f>
        <v>[tys. zł]</v>
      </c>
      <c r="E45" s="149"/>
      <c r="F45" s="704"/>
      <c r="G45" s="704"/>
      <c r="H45" s="704"/>
      <c r="I45" s="704"/>
      <c r="J45" s="704"/>
      <c r="K45" s="704"/>
      <c r="L45"/>
      <c r="M45"/>
      <c r="N45"/>
      <c r="O45"/>
    </row>
    <row r="46" spans="1:15" ht="18.95" customHeight="1">
      <c r="A46" s="130"/>
      <c r="B46" s="636" t="str">
        <v>38</v>
      </c>
      <c r="C46" s="262" t="s">
        <v>89</v>
      </c>
      <c r="D46" s="7" t="str">
        <f>'Tab.G1.1-4'!$D$11</f>
        <v>[tys. zł]</v>
      </c>
      <c r="E46" s="150"/>
      <c r="F46" s="704"/>
      <c r="G46" s="704"/>
      <c r="H46" s="704"/>
      <c r="I46" s="704"/>
      <c r="J46" s="704"/>
      <c r="K46" s="704"/>
      <c r="L46"/>
      <c r="M46"/>
      <c r="N46"/>
      <c r="O46"/>
    </row>
    <row r="47" spans="1:15" ht="18.95" customHeight="1">
      <c r="A47" s="130"/>
      <c r="B47" s="637" t="str">
        <v>39</v>
      </c>
      <c r="C47" s="269" t="s">
        <v>90</v>
      </c>
      <c r="D47" s="8" t="str">
        <f>'Tab.G1.1-4'!$D$11</f>
        <v>[tys. zł]</v>
      </c>
      <c r="E47" s="151"/>
      <c r="F47" s="704"/>
      <c r="G47" s="704"/>
      <c r="H47" s="704"/>
      <c r="I47" s="704"/>
      <c r="J47" s="704"/>
      <c r="K47" s="704"/>
      <c r="L47"/>
      <c r="M47"/>
      <c r="N47"/>
      <c r="O47"/>
    </row>
    <row r="48" spans="1:15" ht="18.95" customHeight="1">
      <c r="A48" s="130"/>
      <c r="B48" s="638" t="str">
        <v>40</v>
      </c>
      <c r="C48" s="13" t="s">
        <v>117</v>
      </c>
      <c r="D48" s="9" t="str">
        <f>'Tab.G1.1-4'!$D$11</f>
        <v>[tys. zł]</v>
      </c>
      <c r="E48" s="152">
        <f>SUM(E49:E51)</f>
        <v>0</v>
      </c>
      <c r="F48" s="704"/>
      <c r="G48" s="704"/>
      <c r="H48" s="704"/>
      <c r="I48" s="704"/>
      <c r="J48" s="704"/>
      <c r="K48" s="704"/>
      <c r="L48"/>
      <c r="M48"/>
      <c r="N48"/>
      <c r="O48"/>
    </row>
    <row r="49" spans="1:15" ht="18.95" customHeight="1">
      <c r="A49" s="130"/>
      <c r="B49" s="635" t="str">
        <v>41</v>
      </c>
      <c r="C49" s="260" t="s">
        <v>88</v>
      </c>
      <c r="D49" s="6" t="str">
        <f>'Tab.G1.1-4'!$D$11</f>
        <v>[tys. zł]</v>
      </c>
      <c r="E49" s="149"/>
      <c r="F49" s="704"/>
      <c r="G49" s="704"/>
      <c r="H49" s="704"/>
      <c r="I49" s="704"/>
      <c r="J49" s="704"/>
      <c r="K49" s="704"/>
      <c r="L49"/>
      <c r="M49"/>
      <c r="N49"/>
      <c r="O49"/>
    </row>
    <row r="50" spans="1:15" ht="18.95" customHeight="1">
      <c r="A50" s="130"/>
      <c r="B50" s="636" t="str">
        <v>42</v>
      </c>
      <c r="C50" s="262" t="s">
        <v>89</v>
      </c>
      <c r="D50" s="7" t="str">
        <f>'Tab.G1.1-4'!$D$11</f>
        <v>[tys. zł]</v>
      </c>
      <c r="E50" s="150"/>
      <c r="F50" s="704"/>
      <c r="G50" s="704"/>
      <c r="H50" s="704"/>
      <c r="I50" s="704"/>
      <c r="J50" s="704"/>
      <c r="K50" s="704"/>
      <c r="L50"/>
      <c r="M50"/>
      <c r="N50"/>
      <c r="O50"/>
    </row>
    <row r="51" spans="1:15" ht="18.95" customHeight="1">
      <c r="A51" s="130"/>
      <c r="B51" s="637" t="str">
        <v>43</v>
      </c>
      <c r="C51" s="269" t="s">
        <v>90</v>
      </c>
      <c r="D51" s="8" t="str">
        <f>'Tab.G1.1-4'!$D$11</f>
        <v>[tys. zł]</v>
      </c>
      <c r="E51" s="151"/>
      <c r="F51" s="704"/>
      <c r="G51" s="704"/>
      <c r="H51" s="704"/>
      <c r="I51" s="704"/>
      <c r="J51" s="704"/>
      <c r="K51" s="704"/>
      <c r="L51"/>
      <c r="M51"/>
      <c r="N51"/>
      <c r="O51"/>
    </row>
    <row r="52" spans="1:15" ht="18.95" customHeight="1">
      <c r="A52" s="130"/>
      <c r="B52" s="642" t="str">
        <v>44</v>
      </c>
      <c r="C52" s="14" t="s">
        <v>118</v>
      </c>
      <c r="D52" s="15" t="str">
        <f>'Tab.G1.1-4'!$D$11</f>
        <v>[tys. zł]</v>
      </c>
      <c r="E52" s="152"/>
      <c r="F52" s="704"/>
      <c r="G52" s="704"/>
      <c r="H52" s="704"/>
      <c r="I52" s="704"/>
      <c r="J52" s="704"/>
      <c r="K52" s="704"/>
      <c r="L52"/>
      <c r="M52"/>
      <c r="N52"/>
      <c r="O52"/>
    </row>
    <row r="53" spans="1:15" ht="18.95" customHeight="1" thickBot="1">
      <c r="A53" s="130"/>
      <c r="B53" s="643" t="str">
        <v>45</v>
      </c>
      <c r="C53" s="16" t="s">
        <v>119</v>
      </c>
      <c r="D53" s="17" t="str">
        <f>'Tab.G1.1-4'!$D$11</f>
        <v>[tys. zł]</v>
      </c>
      <c r="E53" s="154"/>
      <c r="F53" s="704"/>
      <c r="G53" s="704"/>
      <c r="H53" s="704"/>
      <c r="I53" s="704"/>
      <c r="J53" s="704"/>
      <c r="K53" s="704"/>
      <c r="L53"/>
      <c r="M53"/>
      <c r="N53"/>
      <c r="O53"/>
    </row>
    <row r="54" spans="1:15" ht="18.95" customHeight="1" thickBot="1">
      <c r="A54" s="130"/>
      <c r="B54" s="641" t="str">
        <v>46</v>
      </c>
      <c r="C54" s="1" t="s">
        <v>126</v>
      </c>
      <c r="D54" s="2" t="str">
        <f>'Tab.G1.1-4'!$D$11</f>
        <v>[tys. zł]</v>
      </c>
      <c r="E54" s="146">
        <f>SUM(E55,E60,E63,E66)</f>
        <v>0</v>
      </c>
      <c r="F54" s="704"/>
      <c r="G54" s="704"/>
      <c r="H54" s="704"/>
      <c r="I54" s="704"/>
      <c r="J54" s="704"/>
      <c r="K54" s="704"/>
      <c r="L54"/>
      <c r="M54"/>
      <c r="N54"/>
      <c r="O54"/>
    </row>
    <row r="55" spans="1:15" ht="18.95" customHeight="1">
      <c r="A55" s="130"/>
      <c r="B55" s="634" t="str">
        <v>47</v>
      </c>
      <c r="C55" s="12" t="s">
        <v>127</v>
      </c>
      <c r="D55" s="5" t="str">
        <f>'Tab.G1.1-4'!$D$11</f>
        <v>[tys. zł]</v>
      </c>
      <c r="E55" s="148">
        <f>SUM(E56:E59)</f>
        <v>0</v>
      </c>
      <c r="F55" s="704"/>
      <c r="G55" s="704"/>
      <c r="H55" s="704"/>
      <c r="I55" s="704"/>
      <c r="J55" s="704"/>
      <c r="K55" s="704"/>
      <c r="L55"/>
      <c r="M55"/>
      <c r="N55"/>
      <c r="O55"/>
    </row>
    <row r="56" spans="1:15" ht="18.95" customHeight="1">
      <c r="A56" s="130"/>
      <c r="B56" s="635" t="str">
        <v>48</v>
      </c>
      <c r="C56" s="263" t="s">
        <v>128</v>
      </c>
      <c r="D56" s="6" t="str">
        <f>'Tab.G1.1-4'!$D$11</f>
        <v>[tys. zł]</v>
      </c>
      <c r="E56" s="149"/>
      <c r="F56" s="704"/>
      <c r="G56" s="704"/>
      <c r="H56" s="704"/>
      <c r="I56" s="704"/>
      <c r="J56" s="704"/>
      <c r="K56" s="704"/>
      <c r="L56"/>
      <c r="M56"/>
      <c r="N56"/>
      <c r="O56"/>
    </row>
    <row r="57" spans="1:15" ht="18.95" customHeight="1">
      <c r="A57" s="130"/>
      <c r="B57" s="636" t="str">
        <v>49</v>
      </c>
      <c r="C57" s="262" t="s">
        <v>169</v>
      </c>
      <c r="D57" s="7" t="str">
        <f>'Tab.G1.1-4'!$D$11</f>
        <v>[tys. zł]</v>
      </c>
      <c r="E57" s="150"/>
      <c r="F57" s="704"/>
      <c r="G57" s="704"/>
      <c r="H57" s="704"/>
      <c r="I57" s="704"/>
      <c r="J57" s="704"/>
      <c r="K57" s="704"/>
      <c r="L57"/>
      <c r="M57"/>
      <c r="N57"/>
      <c r="O57"/>
    </row>
    <row r="58" spans="1:15" ht="18.95" customHeight="1">
      <c r="A58" s="130"/>
      <c r="B58" s="636" t="str">
        <v>50</v>
      </c>
      <c r="C58" s="262" t="s">
        <v>129</v>
      </c>
      <c r="D58" s="7" t="str">
        <f>'Tab.G1.1-4'!$D$11</f>
        <v>[tys. zł]</v>
      </c>
      <c r="E58" s="150"/>
      <c r="F58" s="704"/>
      <c r="G58" s="704"/>
      <c r="H58" s="704"/>
      <c r="I58" s="704"/>
      <c r="J58" s="704"/>
      <c r="K58" s="704"/>
      <c r="L58"/>
      <c r="M58"/>
      <c r="N58"/>
      <c r="O58"/>
    </row>
    <row r="59" spans="1:15" ht="18.95" customHeight="1">
      <c r="A59" s="130"/>
      <c r="B59" s="637" t="str">
        <v>51</v>
      </c>
      <c r="C59" s="336" t="s">
        <v>170</v>
      </c>
      <c r="D59" s="8" t="str">
        <f>'Tab.G1.1-4'!$D$11</f>
        <v>[tys. zł]</v>
      </c>
      <c r="E59" s="151"/>
      <c r="F59" s="704"/>
      <c r="G59" s="704"/>
      <c r="H59" s="704"/>
      <c r="I59" s="704"/>
      <c r="J59" s="704"/>
      <c r="K59" s="704"/>
      <c r="L59"/>
      <c r="M59"/>
      <c r="N59"/>
      <c r="O59"/>
    </row>
    <row r="60" spans="1:15" ht="18.95" customHeight="1">
      <c r="A60" s="130"/>
      <c r="B60" s="638" t="str">
        <v>52</v>
      </c>
      <c r="C60" s="13" t="s">
        <v>130</v>
      </c>
      <c r="D60" s="9" t="str">
        <f>'Tab.G1.1-4'!$D$11</f>
        <v>[tys. zł]</v>
      </c>
      <c r="E60" s="152">
        <f>SUM(E61:E62)</f>
        <v>0</v>
      </c>
      <c r="F60" s="704"/>
      <c r="G60" s="704"/>
      <c r="H60" s="704"/>
      <c r="I60" s="704"/>
      <c r="J60" s="704"/>
      <c r="K60" s="704"/>
      <c r="L60"/>
      <c r="M60"/>
      <c r="N60"/>
      <c r="O60"/>
    </row>
    <row r="61" spans="1:15" ht="18.95" customHeight="1">
      <c r="A61" s="130"/>
      <c r="B61" s="635" t="str">
        <v>53</v>
      </c>
      <c r="C61" s="263" t="s">
        <v>33</v>
      </c>
      <c r="D61" s="6" t="str">
        <f>'Tab.G1.1-4'!$D$11</f>
        <v>[tys. zł]</v>
      </c>
      <c r="E61" s="149"/>
      <c r="F61" s="704"/>
      <c r="G61" s="704"/>
      <c r="H61" s="704"/>
      <c r="I61" s="704"/>
      <c r="J61" s="704"/>
      <c r="K61" s="704"/>
      <c r="L61"/>
      <c r="M61"/>
      <c r="N61"/>
      <c r="O61"/>
    </row>
    <row r="62" spans="1:15" ht="18.95" customHeight="1">
      <c r="A62" s="130"/>
      <c r="B62" s="640" t="str">
        <v>54</v>
      </c>
      <c r="C62" s="266" t="s">
        <v>31</v>
      </c>
      <c r="D62" s="267" t="str">
        <f>'Tab.G1.1-4'!$D$11</f>
        <v>[tys. zł]</v>
      </c>
      <c r="E62" s="268"/>
      <c r="F62" s="704"/>
      <c r="G62" s="704"/>
      <c r="H62" s="704"/>
      <c r="I62" s="704"/>
      <c r="J62" s="704"/>
      <c r="K62" s="704"/>
      <c r="L62"/>
      <c r="M62"/>
      <c r="N62"/>
      <c r="O62"/>
    </row>
    <row r="63" spans="1:15" ht="18.95" customHeight="1">
      <c r="A63" s="130"/>
      <c r="B63" s="638" t="str">
        <v>55</v>
      </c>
      <c r="C63" s="13" t="s">
        <v>131</v>
      </c>
      <c r="D63" s="9" t="str">
        <f>'Tab.G1.1-4'!$D$11</f>
        <v>[tys. zł]</v>
      </c>
      <c r="E63" s="152">
        <f>SUM(E64:E65)</f>
        <v>0</v>
      </c>
      <c r="F63" s="704"/>
      <c r="G63" s="704"/>
      <c r="H63" s="704"/>
      <c r="I63" s="704"/>
      <c r="J63" s="704"/>
      <c r="K63" s="704"/>
      <c r="L63"/>
      <c r="M63"/>
      <c r="N63"/>
      <c r="O63"/>
    </row>
    <row r="64" spans="1:15" ht="18.95" customHeight="1">
      <c r="A64" s="35"/>
      <c r="B64" s="635" t="str">
        <v>56</v>
      </c>
      <c r="C64" s="263" t="s">
        <v>33</v>
      </c>
      <c r="D64" s="6" t="str">
        <f>'Tab.G1.1-4'!$D$11</f>
        <v>[tys. zł]</v>
      </c>
      <c r="E64" s="149"/>
      <c r="F64" s="704"/>
      <c r="G64" s="704"/>
      <c r="H64" s="704"/>
      <c r="I64" s="704"/>
      <c r="J64" s="704"/>
      <c r="K64" s="704"/>
      <c r="L64"/>
      <c r="M64"/>
      <c r="N64"/>
      <c r="O64"/>
    </row>
    <row r="65" spans="1:15" ht="18.95" customHeight="1">
      <c r="A65" s="35"/>
      <c r="B65" s="640" t="str">
        <v>57</v>
      </c>
      <c r="C65" s="266" t="s">
        <v>31</v>
      </c>
      <c r="D65" s="267" t="str">
        <f>'Tab.G1.1-4'!$D$11</f>
        <v>[tys. zł]</v>
      </c>
      <c r="E65" s="268"/>
      <c r="F65" s="704"/>
      <c r="G65" s="704"/>
      <c r="H65" s="704"/>
      <c r="I65" s="704"/>
      <c r="J65" s="704"/>
      <c r="K65" s="704"/>
      <c r="L65"/>
      <c r="M65"/>
      <c r="N65"/>
      <c r="O65"/>
    </row>
    <row r="66" spans="1:15" ht="18.95" customHeight="1" thickBot="1">
      <c r="A66" s="35"/>
      <c r="B66" s="643" t="str">
        <v>58</v>
      </c>
      <c r="C66" s="16" t="s">
        <v>132</v>
      </c>
      <c r="D66" s="17" t="str">
        <f>'Tab.G1.1-4'!$D$11</f>
        <v>[tys. zł]</v>
      </c>
      <c r="E66" s="154"/>
      <c r="F66" s="843"/>
      <c r="G66" s="704"/>
      <c r="H66" s="704"/>
      <c r="I66" s="704"/>
      <c r="J66" s="704"/>
      <c r="K66" s="704"/>
      <c r="L66"/>
      <c r="M66"/>
      <c r="N66"/>
      <c r="O66"/>
    </row>
    <row r="67" spans="1:15" ht="18.95" customHeight="1">
      <c r="A67" s="859"/>
      <c r="B67" s="867"/>
      <c r="C67" s="868"/>
      <c r="D67" s="869"/>
      <c r="E67" s="844"/>
      <c r="F67" s="844"/>
      <c r="G67" s="704"/>
      <c r="H67" s="704"/>
      <c r="I67" s="704"/>
      <c r="J67" s="704"/>
      <c r="K67" s="704"/>
      <c r="L67"/>
      <c r="M67"/>
      <c r="N67"/>
      <c r="O67"/>
    </row>
    <row r="68" spans="1:15" ht="18.95" customHeight="1">
      <c r="A68" s="859"/>
      <c r="B68" s="704"/>
      <c r="C68" s="870"/>
      <c r="D68" s="869"/>
      <c r="E68" s="844"/>
      <c r="F68" s="844"/>
      <c r="G68" s="704"/>
      <c r="H68" s="704"/>
      <c r="I68" s="704"/>
      <c r="J68" s="704"/>
      <c r="K68" s="704"/>
      <c r="L68"/>
      <c r="M68"/>
      <c r="N68"/>
      <c r="O68"/>
    </row>
    <row r="69" spans="1:15" ht="30" customHeight="1" thickBot="1">
      <c r="A69" s="859"/>
      <c r="B69" s="695" t="s">
        <v>171</v>
      </c>
      <c r="C69" s="704"/>
      <c r="D69" s="704"/>
      <c r="E69" s="845"/>
      <c r="F69" s="845"/>
      <c r="G69" s="704"/>
      <c r="H69" s="704"/>
      <c r="I69" s="704"/>
      <c r="J69" s="704"/>
      <c r="K69" s="704"/>
      <c r="L69"/>
      <c r="M69"/>
      <c r="N69"/>
      <c r="O69"/>
    </row>
    <row r="70" spans="1:15" ht="18.95" customHeight="1">
      <c r="A70" s="35"/>
      <c r="B70" s="1035" t="str">
        <f>'Tab.G1.1-4'!$B$8</f>
        <v>LP</v>
      </c>
      <c r="C70" s="1037" t="str">
        <f>'Tab.G1.1-4'!$C$8</f>
        <v>Wyszczególnienie</v>
      </c>
      <c r="D70" s="1038"/>
      <c r="E70" s="627" t="str">
        <f>'Tab.G1.1-4'!$E$8</f>
        <v>Wykonanie</v>
      </c>
      <c r="F70" s="845"/>
      <c r="G70" s="704"/>
      <c r="H70" s="704"/>
      <c r="I70" s="704"/>
      <c r="J70" s="704"/>
      <c r="K70" s="704"/>
      <c r="L70"/>
      <c r="M70"/>
      <c r="N70"/>
      <c r="O70"/>
    </row>
    <row r="71" spans="1:15" ht="18.95" customHeight="1">
      <c r="A71" s="35"/>
      <c r="B71" s="1036"/>
      <c r="C71" s="1039"/>
      <c r="D71" s="1040"/>
      <c r="E71" s="628">
        <f>Rok_ZPR</f>
        <v>2023</v>
      </c>
      <c r="F71" s="846"/>
      <c r="G71" s="704"/>
      <c r="H71" s="704"/>
      <c r="I71" s="704"/>
      <c r="J71" s="704"/>
      <c r="K71" s="704"/>
      <c r="L71"/>
      <c r="M71"/>
      <c r="N71"/>
      <c r="O71"/>
    </row>
    <row r="72" spans="1:15" ht="14.1" customHeight="1" thickBot="1">
      <c r="A72" s="35"/>
      <c r="B72" s="644" t="str">
        <f t="array" ref="B72:B129">Tab.G17!$B$10:$B$67</f>
        <v>01</v>
      </c>
      <c r="C72" s="1044" t="str">
        <f>Tab.G17!$B$11</f>
        <v>02</v>
      </c>
      <c r="D72" s="1034"/>
      <c r="E72" s="645" t="str">
        <f>Tab.G17!$B$12</f>
        <v>03</v>
      </c>
      <c r="F72" s="847"/>
      <c r="G72" s="704"/>
      <c r="H72" s="704"/>
      <c r="I72" s="704"/>
      <c r="J72" s="704"/>
      <c r="K72" s="704"/>
      <c r="L72"/>
      <c r="M72"/>
      <c r="N72"/>
      <c r="O72"/>
    </row>
    <row r="73" spans="1:15" ht="18.95" customHeight="1" thickBot="1">
      <c r="A73" s="35"/>
      <c r="B73" s="641" t="str">
        <v>02</v>
      </c>
      <c r="C73" s="1" t="s">
        <v>112</v>
      </c>
      <c r="D73" s="2" t="str">
        <f>'Tab.G2.1-3'!$D$72</f>
        <v>[km]</v>
      </c>
      <c r="E73" s="146">
        <f>SUM(E74,E85,E101)</f>
        <v>0</v>
      </c>
      <c r="F73" s="848"/>
      <c r="G73" s="704"/>
      <c r="H73" s="704"/>
      <c r="I73" s="704"/>
      <c r="J73" s="704"/>
      <c r="K73" s="704"/>
      <c r="L73"/>
      <c r="M73"/>
      <c r="N73"/>
      <c r="O73"/>
    </row>
    <row r="74" spans="1:15" ht="18.95" customHeight="1" thickBot="1">
      <c r="A74" s="35"/>
      <c r="B74" s="633" t="str">
        <v>03</v>
      </c>
      <c r="C74" s="3" t="s">
        <v>120</v>
      </c>
      <c r="D74" s="4" t="str">
        <f>'Tab.G2.1-3'!$D$72</f>
        <v>[km]</v>
      </c>
      <c r="E74" s="147">
        <f>SUM(E75,E80)</f>
        <v>0</v>
      </c>
      <c r="F74" s="849"/>
      <c r="G74" s="704"/>
      <c r="H74" s="704"/>
      <c r="I74" s="704"/>
      <c r="J74" s="704"/>
      <c r="K74" s="704"/>
      <c r="L74"/>
      <c r="M74"/>
      <c r="N74"/>
      <c r="O74"/>
    </row>
    <row r="75" spans="1:15" ht="18.95" customHeight="1">
      <c r="A75" s="35"/>
      <c r="B75" s="634" t="str">
        <v>04</v>
      </c>
      <c r="C75" s="258" t="s">
        <v>72</v>
      </c>
      <c r="D75" s="5" t="str">
        <f>'Tab.G2.1-3'!$D$72</f>
        <v>[km]</v>
      </c>
      <c r="E75" s="148">
        <f>SUM(E76:E79)</f>
        <v>0</v>
      </c>
      <c r="F75" s="850"/>
      <c r="G75" s="704"/>
      <c r="H75" s="704"/>
      <c r="I75" s="704"/>
      <c r="J75" s="704"/>
      <c r="K75" s="704"/>
      <c r="L75"/>
      <c r="M75"/>
      <c r="N75"/>
      <c r="O75"/>
    </row>
    <row r="76" spans="1:15" ht="18.95" customHeight="1">
      <c r="A76" s="35"/>
      <c r="B76" s="635" t="str">
        <v>05</v>
      </c>
      <c r="C76" s="260" t="s">
        <v>73</v>
      </c>
      <c r="D76" s="6" t="str">
        <f>'Tab.G2.1-3'!$D$72</f>
        <v>[km]</v>
      </c>
      <c r="E76" s="149"/>
      <c r="F76" s="851"/>
      <c r="G76" s="704"/>
      <c r="H76" s="704"/>
      <c r="I76" s="704"/>
      <c r="J76" s="704"/>
      <c r="K76" s="704"/>
      <c r="L76"/>
      <c r="M76"/>
      <c r="N76"/>
      <c r="O76"/>
    </row>
    <row r="77" spans="1:15" ht="18.95" customHeight="1">
      <c r="A77" s="35"/>
      <c r="B77" s="636" t="str">
        <v>06</v>
      </c>
      <c r="C77" s="261" t="s">
        <v>74</v>
      </c>
      <c r="D77" s="7" t="str">
        <f>'Tab.G2.1-3'!$D$72</f>
        <v>[km]</v>
      </c>
      <c r="E77" s="150"/>
      <c r="F77" s="851"/>
      <c r="G77" s="704"/>
      <c r="H77" s="704"/>
      <c r="I77" s="704"/>
      <c r="J77" s="704"/>
      <c r="K77" s="704"/>
      <c r="L77"/>
      <c r="M77"/>
      <c r="N77"/>
      <c r="O77"/>
    </row>
    <row r="78" spans="1:15" ht="18.95" customHeight="1">
      <c r="A78" s="35"/>
      <c r="B78" s="636" t="str">
        <v>07</v>
      </c>
      <c r="C78" s="261" t="s">
        <v>75</v>
      </c>
      <c r="D78" s="7" t="str">
        <f>'Tab.G2.1-3'!$D$72</f>
        <v>[km]</v>
      </c>
      <c r="E78" s="150"/>
      <c r="F78" s="850"/>
      <c r="G78" s="704"/>
      <c r="H78" s="704"/>
      <c r="I78" s="704"/>
      <c r="J78" s="704"/>
      <c r="K78" s="704"/>
      <c r="L78"/>
      <c r="M78"/>
      <c r="N78"/>
      <c r="O78"/>
    </row>
    <row r="79" spans="1:15" ht="18.95" customHeight="1">
      <c r="A79" s="859"/>
      <c r="B79" s="637" t="str">
        <v>08</v>
      </c>
      <c r="C79" s="264" t="s">
        <v>76</v>
      </c>
      <c r="D79" s="8" t="str">
        <f>'Tab.G2.1-3'!$D$72</f>
        <v>[km]</v>
      </c>
      <c r="E79" s="151"/>
      <c r="F79" s="851"/>
      <c r="G79" s="704"/>
      <c r="H79" s="704"/>
      <c r="I79" s="704"/>
      <c r="J79" s="704"/>
      <c r="K79" s="704"/>
      <c r="L79"/>
      <c r="M79"/>
      <c r="N79"/>
      <c r="O79"/>
    </row>
    <row r="80" spans="1:15" ht="18.95" customHeight="1">
      <c r="A80" s="859"/>
      <c r="B80" s="638" t="str">
        <v>09</v>
      </c>
      <c r="C80" s="259" t="s">
        <v>77</v>
      </c>
      <c r="D80" s="9" t="str">
        <f>'Tab.G2.1-3'!$D$72</f>
        <v>[km]</v>
      </c>
      <c r="E80" s="152">
        <f>SUM(E81:E84)</f>
        <v>0</v>
      </c>
      <c r="F80" s="851"/>
      <c r="G80" s="704"/>
      <c r="H80" s="704"/>
      <c r="I80" s="704"/>
      <c r="J80" s="704"/>
      <c r="K80" s="704"/>
      <c r="L80"/>
      <c r="M80"/>
      <c r="N80"/>
      <c r="O80"/>
    </row>
    <row r="81" spans="1:15" ht="18.95" customHeight="1">
      <c r="A81" s="859"/>
      <c r="B81" s="635" t="str">
        <v>10</v>
      </c>
      <c r="C81" s="260" t="s">
        <v>73</v>
      </c>
      <c r="D81" s="6" t="str">
        <f>'Tab.G2.1-3'!$D$72</f>
        <v>[km]</v>
      </c>
      <c r="E81" s="149"/>
      <c r="F81" s="850"/>
      <c r="G81" s="704"/>
      <c r="H81" s="704"/>
      <c r="I81" s="704"/>
      <c r="J81" s="704"/>
      <c r="K81" s="704"/>
      <c r="L81"/>
      <c r="M81"/>
      <c r="N81"/>
      <c r="O81"/>
    </row>
    <row r="82" spans="1:15" ht="18.95" customHeight="1">
      <c r="A82" s="859"/>
      <c r="B82" s="636" t="str">
        <v>11</v>
      </c>
      <c r="C82" s="261" t="s">
        <v>74</v>
      </c>
      <c r="D82" s="7" t="str">
        <f>'Tab.G2.1-3'!$D$72</f>
        <v>[km]</v>
      </c>
      <c r="E82" s="150"/>
      <c r="F82" s="851"/>
      <c r="G82" s="851"/>
      <c r="H82" s="844"/>
      <c r="I82" s="852"/>
      <c r="J82" s="853"/>
      <c r="K82" s="853"/>
    </row>
    <row r="83" spans="1:15" ht="18.95" customHeight="1">
      <c r="A83" s="872"/>
      <c r="B83" s="636" t="str">
        <v>12</v>
      </c>
      <c r="C83" s="261" t="s">
        <v>75</v>
      </c>
      <c r="D83" s="7" t="str">
        <f>'Tab.G2.1-3'!$D$72</f>
        <v>[km]</v>
      </c>
      <c r="E83" s="150"/>
      <c r="F83" s="851"/>
      <c r="G83" s="851"/>
      <c r="H83" s="844"/>
      <c r="I83" s="852"/>
      <c r="J83" s="853"/>
      <c r="K83" s="853"/>
    </row>
    <row r="84" spans="1:15" ht="18.95" customHeight="1" thickBot="1">
      <c r="A84" s="872"/>
      <c r="B84" s="639" t="str">
        <v>13</v>
      </c>
      <c r="C84" s="265" t="s">
        <v>76</v>
      </c>
      <c r="D84" s="10" t="str">
        <f>'Tab.G2.1-3'!$D$72</f>
        <v>[km]</v>
      </c>
      <c r="E84" s="153"/>
      <c r="F84" s="850"/>
      <c r="G84" s="850"/>
      <c r="H84" s="845"/>
      <c r="I84" s="845"/>
      <c r="J84" s="853"/>
      <c r="K84" s="853"/>
    </row>
    <row r="85" spans="1:15" ht="18.95" customHeight="1" thickBot="1">
      <c r="A85" s="872"/>
      <c r="B85" s="633" t="str">
        <v>14</v>
      </c>
      <c r="C85" s="11" t="s">
        <v>121</v>
      </c>
      <c r="D85" s="4" t="str">
        <f>'Tab.G2.1-3'!$D$72</f>
        <v>[km]</v>
      </c>
      <c r="E85" s="147">
        <f>SUM(E86,E91,E96)</f>
        <v>0</v>
      </c>
      <c r="F85" s="854"/>
      <c r="G85" s="854"/>
      <c r="H85" s="845"/>
      <c r="I85" s="845"/>
      <c r="J85" s="853"/>
      <c r="K85" s="853"/>
    </row>
    <row r="86" spans="1:15" ht="18.95" customHeight="1">
      <c r="A86" s="872"/>
      <c r="B86" s="634" t="str">
        <v>15</v>
      </c>
      <c r="C86" s="258" t="s">
        <v>72</v>
      </c>
      <c r="D86" s="5" t="str">
        <f>'Tab.G2.1-3'!$D$72</f>
        <v>[km]</v>
      </c>
      <c r="E86" s="148">
        <f>SUM(E87:E90)</f>
        <v>0</v>
      </c>
      <c r="F86" s="854"/>
      <c r="G86" s="854"/>
      <c r="H86" s="846"/>
      <c r="I86" s="846"/>
      <c r="J86" s="853"/>
      <c r="K86" s="853"/>
    </row>
    <row r="87" spans="1:15" ht="18.95" customHeight="1">
      <c r="A87" s="872"/>
      <c r="B87" s="635" t="str">
        <v>16</v>
      </c>
      <c r="C87" s="260" t="s">
        <v>78</v>
      </c>
      <c r="D87" s="6" t="str">
        <f>'Tab.G2.1-3'!$D$72</f>
        <v>[km]</v>
      </c>
      <c r="E87" s="149"/>
      <c r="F87" s="854"/>
      <c r="G87" s="854"/>
      <c r="H87" s="847"/>
      <c r="I87" s="847"/>
      <c r="J87" s="853"/>
      <c r="K87" s="853"/>
    </row>
    <row r="88" spans="1:15" ht="18.95" customHeight="1">
      <c r="A88" s="872"/>
      <c r="B88" s="636" t="str">
        <v>17</v>
      </c>
      <c r="C88" s="261" t="s">
        <v>75</v>
      </c>
      <c r="D88" s="7" t="str">
        <f>'Tab.G2.1-3'!$D$72</f>
        <v>[km]</v>
      </c>
      <c r="E88" s="150"/>
      <c r="F88" s="850"/>
      <c r="G88" s="850"/>
      <c r="H88" s="848"/>
      <c r="I88" s="848"/>
      <c r="J88" s="853"/>
      <c r="K88" s="853"/>
    </row>
    <row r="89" spans="1:15" ht="18.95" customHeight="1">
      <c r="A89" s="872"/>
      <c r="B89" s="636" t="str">
        <v>18</v>
      </c>
      <c r="C89" s="262" t="s">
        <v>79</v>
      </c>
      <c r="D89" s="7" t="str">
        <f>'Tab.G2.1-3'!$D$72</f>
        <v>[km]</v>
      </c>
      <c r="E89" s="150"/>
      <c r="F89" s="854"/>
      <c r="G89" s="854"/>
      <c r="H89" s="849"/>
      <c r="I89" s="849"/>
      <c r="J89" s="853"/>
      <c r="K89" s="853"/>
    </row>
    <row r="90" spans="1:15" ht="18.95" customHeight="1">
      <c r="A90" s="872"/>
      <c r="B90" s="637" t="str">
        <v>19</v>
      </c>
      <c r="C90" s="264" t="s">
        <v>80</v>
      </c>
      <c r="D90" s="8" t="str">
        <f>'Tab.G2.1-3'!$D$72</f>
        <v>[km]</v>
      </c>
      <c r="E90" s="151"/>
      <c r="F90" s="854"/>
      <c r="G90" s="854"/>
      <c r="H90" s="850"/>
      <c r="I90" s="850"/>
      <c r="J90" s="853"/>
      <c r="K90" s="853"/>
    </row>
    <row r="91" spans="1:15" ht="18.95" customHeight="1">
      <c r="A91" s="872"/>
      <c r="B91" s="638" t="str">
        <v>20</v>
      </c>
      <c r="C91" s="259" t="s">
        <v>77</v>
      </c>
      <c r="D91" s="9" t="str">
        <f>'Tab.G2.1-3'!$D$72</f>
        <v>[km]</v>
      </c>
      <c r="E91" s="152">
        <f>SUM(E92:E95)</f>
        <v>0</v>
      </c>
      <c r="F91" s="850"/>
      <c r="G91" s="850"/>
      <c r="H91" s="851"/>
      <c r="I91" s="851"/>
      <c r="J91" s="853"/>
      <c r="K91" s="853"/>
    </row>
    <row r="92" spans="1:15" ht="18.95" customHeight="1">
      <c r="A92" s="872"/>
      <c r="B92" s="635" t="str">
        <v>21</v>
      </c>
      <c r="C92" s="260" t="s">
        <v>78</v>
      </c>
      <c r="D92" s="6" t="str">
        <f>'Tab.G2.1-3'!$D$72</f>
        <v>[km]</v>
      </c>
      <c r="E92" s="149"/>
      <c r="F92" s="850"/>
      <c r="G92" s="850"/>
      <c r="H92" s="851"/>
      <c r="I92" s="851"/>
      <c r="J92" s="853"/>
      <c r="K92" s="853"/>
    </row>
    <row r="93" spans="1:15" ht="18.95" customHeight="1">
      <c r="A93" s="872"/>
      <c r="B93" s="636" t="str">
        <v>22</v>
      </c>
      <c r="C93" s="261" t="s">
        <v>75</v>
      </c>
      <c r="D93" s="7" t="str">
        <f>'Tab.G2.1-3'!$D$72</f>
        <v>[km]</v>
      </c>
      <c r="E93" s="150"/>
      <c r="F93" s="855"/>
      <c r="G93" s="855"/>
      <c r="H93" s="850"/>
      <c r="I93" s="850"/>
      <c r="J93" s="853"/>
      <c r="K93" s="853"/>
    </row>
    <row r="94" spans="1:15" ht="18.95" customHeight="1">
      <c r="A94" s="872"/>
      <c r="B94" s="636" t="str">
        <v>23</v>
      </c>
      <c r="C94" s="262" t="s">
        <v>79</v>
      </c>
      <c r="D94" s="7" t="str">
        <f>'Tab.G2.1-3'!$D$72</f>
        <v>[km]</v>
      </c>
      <c r="E94" s="150"/>
      <c r="F94" s="855"/>
      <c r="G94" s="855"/>
      <c r="H94" s="851"/>
      <c r="I94" s="851"/>
      <c r="J94" s="853"/>
      <c r="K94" s="853"/>
    </row>
    <row r="95" spans="1:15" ht="18.95" customHeight="1">
      <c r="A95" s="872"/>
      <c r="B95" s="640" t="str">
        <v>24</v>
      </c>
      <c r="C95" s="335" t="s">
        <v>80</v>
      </c>
      <c r="D95" s="267" t="str">
        <f>'Tab.G2.1-3'!$D$72</f>
        <v>[km]</v>
      </c>
      <c r="E95" s="268"/>
      <c r="F95" s="854"/>
      <c r="G95" s="854"/>
      <c r="H95" s="851"/>
      <c r="I95" s="851"/>
      <c r="J95" s="853"/>
      <c r="K95" s="853"/>
    </row>
    <row r="96" spans="1:15" ht="18.95" customHeight="1">
      <c r="A96" s="872"/>
      <c r="B96" s="638" t="str">
        <v>25</v>
      </c>
      <c r="C96" s="259" t="s">
        <v>167</v>
      </c>
      <c r="D96" s="9" t="str">
        <f>'Tab.G2.1-3'!$D$72</f>
        <v>[km]</v>
      </c>
      <c r="E96" s="152">
        <f>SUM(E97:E100)</f>
        <v>0</v>
      </c>
      <c r="F96" s="856"/>
      <c r="G96" s="856"/>
      <c r="H96" s="850"/>
      <c r="I96" s="850"/>
      <c r="J96" s="853"/>
      <c r="K96" s="853"/>
    </row>
    <row r="97" spans="1:11" ht="18.95" customHeight="1">
      <c r="A97" s="872"/>
      <c r="B97" s="635" t="str">
        <v>26</v>
      </c>
      <c r="C97" s="260" t="s">
        <v>78</v>
      </c>
      <c r="D97" s="6" t="str">
        <f>'Tab.G2.1-3'!$D$72</f>
        <v>[km]</v>
      </c>
      <c r="E97" s="149"/>
      <c r="F97" s="857"/>
      <c r="G97" s="857"/>
      <c r="H97" s="851"/>
      <c r="I97" s="851"/>
      <c r="J97" s="853"/>
      <c r="K97" s="853"/>
    </row>
    <row r="98" spans="1:11" ht="18.95" customHeight="1">
      <c r="A98" s="872"/>
      <c r="B98" s="636" t="str">
        <v>27</v>
      </c>
      <c r="C98" s="261" t="s">
        <v>75</v>
      </c>
      <c r="D98" s="7" t="str">
        <f>'Tab.G2.1-3'!$D$72</f>
        <v>[km]</v>
      </c>
      <c r="E98" s="150"/>
      <c r="F98" s="858"/>
      <c r="G98" s="858"/>
      <c r="H98" s="851"/>
      <c r="I98" s="851"/>
      <c r="J98" s="853"/>
      <c r="K98" s="853"/>
    </row>
    <row r="99" spans="1:11" ht="18.95" customHeight="1">
      <c r="A99" s="872"/>
      <c r="B99" s="636" t="str">
        <v>28</v>
      </c>
      <c r="C99" s="262" t="s">
        <v>79</v>
      </c>
      <c r="D99" s="7" t="str">
        <f>'Tab.G2.1-3'!$D$72</f>
        <v>[km]</v>
      </c>
      <c r="E99" s="150"/>
      <c r="F99" s="858"/>
      <c r="G99" s="858"/>
      <c r="H99" s="850"/>
      <c r="I99" s="850"/>
      <c r="J99" s="853"/>
      <c r="K99" s="853"/>
    </row>
    <row r="100" spans="1:11" ht="18.95" customHeight="1" thickBot="1">
      <c r="A100" s="872"/>
      <c r="B100" s="637" t="str">
        <v>29</v>
      </c>
      <c r="C100" s="264" t="s">
        <v>80</v>
      </c>
      <c r="D100" s="8" t="str">
        <f>'Tab.G2.1-3'!$D$72</f>
        <v>[km]</v>
      </c>
      <c r="E100" s="151"/>
      <c r="F100" s="859"/>
      <c r="G100" s="859"/>
      <c r="H100" s="854"/>
      <c r="I100" s="854"/>
      <c r="J100" s="853"/>
      <c r="K100" s="853"/>
    </row>
    <row r="101" spans="1:11" ht="18.95" customHeight="1" thickBot="1">
      <c r="A101" s="872"/>
      <c r="B101" s="633" t="str">
        <v>30</v>
      </c>
      <c r="C101" s="11" t="s">
        <v>168</v>
      </c>
      <c r="D101" s="4" t="str">
        <f>'Tab.G2.1-3'!$D$72</f>
        <v>[km]</v>
      </c>
      <c r="E101" s="147"/>
      <c r="F101" s="859"/>
      <c r="G101" s="859"/>
      <c r="H101" s="854"/>
      <c r="I101" s="854"/>
      <c r="J101" s="853"/>
      <c r="K101" s="853"/>
    </row>
    <row r="102" spans="1:11" ht="18.95" customHeight="1" thickBot="1">
      <c r="A102" s="872"/>
      <c r="B102" s="641" t="str">
        <v>31</v>
      </c>
      <c r="C102" s="1" t="s">
        <v>113</v>
      </c>
      <c r="D102" s="2" t="str">
        <f>'Tab.G2.1-3'!$D$106</f>
        <v>[szt.]</v>
      </c>
      <c r="E102" s="146">
        <f>SUM(E103,E107,E111,E115:E116)</f>
        <v>0</v>
      </c>
      <c r="F102" s="860"/>
      <c r="G102" s="860"/>
      <c r="H102" s="854"/>
      <c r="I102" s="854"/>
      <c r="J102" s="853"/>
      <c r="K102" s="853"/>
    </row>
    <row r="103" spans="1:11" ht="18.95" customHeight="1">
      <c r="A103" s="872"/>
      <c r="B103" s="634" t="str">
        <v>32</v>
      </c>
      <c r="C103" s="12" t="s">
        <v>115</v>
      </c>
      <c r="D103" s="5" t="str">
        <f>'Tab.G2.1-3'!$D$106</f>
        <v>[szt.]</v>
      </c>
      <c r="E103" s="148">
        <f>SUM(E104:E106)</f>
        <v>0</v>
      </c>
      <c r="F103" s="860"/>
      <c r="G103" s="860"/>
      <c r="H103" s="850"/>
      <c r="I103" s="850"/>
      <c r="J103" s="853"/>
      <c r="K103" s="853"/>
    </row>
    <row r="104" spans="1:11" ht="18.95" customHeight="1">
      <c r="A104" s="872"/>
      <c r="B104" s="635" t="str">
        <v>33</v>
      </c>
      <c r="C104" s="260" t="s">
        <v>85</v>
      </c>
      <c r="D104" s="6" t="str">
        <f>'Tab.G2.1-3'!$D$106</f>
        <v>[szt.]</v>
      </c>
      <c r="E104" s="149"/>
      <c r="F104" s="860"/>
      <c r="G104" s="860"/>
      <c r="H104" s="854"/>
      <c r="I104" s="854"/>
      <c r="J104" s="853"/>
      <c r="K104" s="853"/>
    </row>
    <row r="105" spans="1:11" ht="18.95" customHeight="1">
      <c r="A105" s="872"/>
      <c r="B105" s="636" t="str">
        <v>34</v>
      </c>
      <c r="C105" s="261" t="s">
        <v>86</v>
      </c>
      <c r="D105" s="7" t="str">
        <f>'Tab.G2.1-3'!$D$106</f>
        <v>[szt.]</v>
      </c>
      <c r="E105" s="150"/>
      <c r="F105" s="860"/>
      <c r="G105" s="860"/>
      <c r="H105" s="854"/>
      <c r="I105" s="854"/>
      <c r="J105" s="853"/>
      <c r="K105" s="853"/>
    </row>
    <row r="106" spans="1:11" ht="18.95" customHeight="1">
      <c r="A106" s="872"/>
      <c r="B106" s="637" t="str">
        <v>35</v>
      </c>
      <c r="C106" s="269" t="s">
        <v>87</v>
      </c>
      <c r="D106" s="8" t="str">
        <f>'Tab.G2.1-3'!$D$106</f>
        <v>[szt.]</v>
      </c>
      <c r="E106" s="151"/>
      <c r="F106" s="860"/>
      <c r="G106" s="860"/>
      <c r="H106" s="850"/>
      <c r="I106" s="850"/>
      <c r="J106" s="853"/>
      <c r="K106" s="853"/>
    </row>
    <row r="107" spans="1:11" ht="18.95" customHeight="1">
      <c r="A107" s="856"/>
      <c r="B107" s="638" t="str">
        <v>36</v>
      </c>
      <c r="C107" s="13" t="s">
        <v>116</v>
      </c>
      <c r="D107" s="9" t="str">
        <f>'Tab.G2.1-3'!$D$106</f>
        <v>[szt.]</v>
      </c>
      <c r="E107" s="152">
        <f>SUM(E108:E110)</f>
        <v>0</v>
      </c>
      <c r="F107" s="860"/>
      <c r="G107" s="860"/>
      <c r="H107" s="850"/>
      <c r="I107" s="850"/>
      <c r="J107" s="853"/>
      <c r="K107" s="853"/>
    </row>
    <row r="108" spans="1:11" ht="18.95" customHeight="1">
      <c r="A108" s="872"/>
      <c r="B108" s="635" t="str">
        <v>37</v>
      </c>
      <c r="C108" s="260" t="s">
        <v>88</v>
      </c>
      <c r="D108" s="6" t="str">
        <f>'Tab.G2.1-3'!$D$106</f>
        <v>[szt.]</v>
      </c>
      <c r="E108" s="149"/>
      <c r="F108" s="860"/>
      <c r="G108" s="860"/>
      <c r="H108" s="855"/>
      <c r="I108" s="855"/>
      <c r="J108" s="853"/>
      <c r="K108" s="853"/>
    </row>
    <row r="109" spans="1:11" ht="18.95" customHeight="1">
      <c r="A109" s="872"/>
      <c r="B109" s="636" t="str">
        <v>38</v>
      </c>
      <c r="C109" s="262" t="s">
        <v>89</v>
      </c>
      <c r="D109" s="7" t="str">
        <f>'Tab.G2.1-3'!$D$106</f>
        <v>[szt.]</v>
      </c>
      <c r="E109" s="150"/>
      <c r="F109" s="860"/>
      <c r="G109" s="860"/>
      <c r="H109" s="855"/>
      <c r="I109" s="855"/>
      <c r="J109" s="853"/>
      <c r="K109" s="853"/>
    </row>
    <row r="110" spans="1:11" ht="18.95" customHeight="1">
      <c r="A110" s="872"/>
      <c r="B110" s="637" t="str">
        <v>39</v>
      </c>
      <c r="C110" s="269" t="s">
        <v>90</v>
      </c>
      <c r="D110" s="8" t="str">
        <f>'Tab.G2.1-3'!$D$106</f>
        <v>[szt.]</v>
      </c>
      <c r="E110" s="151"/>
      <c r="F110" s="860"/>
      <c r="G110" s="860"/>
      <c r="H110" s="854"/>
      <c r="I110" s="854"/>
      <c r="J110" s="853"/>
      <c r="K110" s="853"/>
    </row>
    <row r="111" spans="1:11" ht="18.95" customHeight="1">
      <c r="A111" s="872"/>
      <c r="B111" s="638" t="str">
        <v>40</v>
      </c>
      <c r="C111" s="13" t="s">
        <v>117</v>
      </c>
      <c r="D111" s="9" t="str">
        <f>'Tab.G2.1-3'!$D$106</f>
        <v>[szt.]</v>
      </c>
      <c r="E111" s="152">
        <f>SUM(E112:E114)</f>
        <v>0</v>
      </c>
      <c r="F111" s="860"/>
      <c r="G111" s="860"/>
      <c r="H111" s="856"/>
      <c r="I111" s="856"/>
      <c r="J111" s="853"/>
      <c r="K111" s="853"/>
    </row>
    <row r="112" spans="1:11" ht="18.95" customHeight="1">
      <c r="A112" s="872"/>
      <c r="B112" s="635" t="str">
        <v>41</v>
      </c>
      <c r="C112" s="260" t="s">
        <v>88</v>
      </c>
      <c r="D112" s="6" t="str">
        <f>'Tab.G2.1-3'!$D$106</f>
        <v>[szt.]</v>
      </c>
      <c r="E112" s="149"/>
      <c r="F112" s="860"/>
      <c r="G112" s="860"/>
      <c r="H112" s="857"/>
      <c r="I112" s="857"/>
      <c r="J112" s="853"/>
      <c r="K112" s="853"/>
    </row>
    <row r="113" spans="1:11" ht="18.95" customHeight="1">
      <c r="A113" s="858"/>
      <c r="B113" s="636" t="str">
        <v>42</v>
      </c>
      <c r="C113" s="262" t="s">
        <v>89</v>
      </c>
      <c r="D113" s="7" t="str">
        <f>'Tab.G2.1-3'!$D$106</f>
        <v>[szt.]</v>
      </c>
      <c r="E113" s="150"/>
      <c r="F113" s="860"/>
      <c r="G113" s="860"/>
      <c r="H113" s="858"/>
      <c r="I113" s="858"/>
      <c r="J113" s="853"/>
      <c r="K113" s="853"/>
    </row>
    <row r="114" spans="1:11" ht="18.95" customHeight="1">
      <c r="A114" s="861"/>
      <c r="B114" s="637" t="str">
        <v>43</v>
      </c>
      <c r="C114" s="269" t="s">
        <v>90</v>
      </c>
      <c r="D114" s="8" t="str">
        <f>'Tab.G2.1-3'!$D$106</f>
        <v>[szt.]</v>
      </c>
      <c r="E114" s="151"/>
      <c r="F114" s="860"/>
      <c r="G114" s="860"/>
      <c r="H114" s="861"/>
      <c r="I114" s="858"/>
      <c r="J114" s="853"/>
      <c r="K114" s="853"/>
    </row>
    <row r="115" spans="1:11" ht="18.95" customHeight="1">
      <c r="A115" s="862"/>
      <c r="B115" s="642" t="str">
        <v>44</v>
      </c>
      <c r="C115" s="14" t="s">
        <v>118</v>
      </c>
      <c r="D115" s="15" t="str">
        <f>'Tab.G2.1-3'!$D$106</f>
        <v>[szt.]</v>
      </c>
      <c r="E115" s="152"/>
      <c r="F115" s="860"/>
      <c r="G115" s="860"/>
      <c r="H115" s="862"/>
      <c r="I115" s="859"/>
      <c r="J115" s="853"/>
      <c r="K115" s="853"/>
    </row>
    <row r="116" spans="1:11" ht="18.95" customHeight="1" thickBot="1">
      <c r="A116" s="862"/>
      <c r="B116" s="643" t="str">
        <v>45</v>
      </c>
      <c r="C116" s="16" t="s">
        <v>119</v>
      </c>
      <c r="D116" s="17" t="str">
        <f>'Tab.G2.1-3'!$D$106</f>
        <v>[szt.]</v>
      </c>
      <c r="E116" s="154"/>
      <c r="F116" s="860"/>
      <c r="G116" s="860"/>
      <c r="H116" s="862"/>
      <c r="I116" s="859"/>
      <c r="J116" s="853"/>
      <c r="K116" s="853"/>
    </row>
    <row r="117" spans="1:11" ht="18.95" customHeight="1" thickBot="1">
      <c r="A117" s="862"/>
      <c r="B117" s="641" t="str">
        <v>46</v>
      </c>
      <c r="C117" s="1" t="s">
        <v>126</v>
      </c>
      <c r="D117" s="2" t="str">
        <f>'Tab.G2.1-3'!$D$106</f>
        <v>[szt.]</v>
      </c>
      <c r="E117" s="146">
        <f>SUM(E118,E123,E126,E129)</f>
        <v>0</v>
      </c>
      <c r="F117" s="860"/>
      <c r="G117" s="860"/>
      <c r="H117" s="862"/>
      <c r="I117" s="860"/>
      <c r="J117" s="853"/>
      <c r="K117" s="853"/>
    </row>
    <row r="118" spans="1:11" ht="18.95" customHeight="1">
      <c r="A118" s="862"/>
      <c r="B118" s="634" t="str">
        <v>47</v>
      </c>
      <c r="C118" s="12" t="s">
        <v>127</v>
      </c>
      <c r="D118" s="5" t="str">
        <f>'Tab.G2.1-3'!$D$106</f>
        <v>[szt.]</v>
      </c>
      <c r="E118" s="148">
        <f>SUM(E119:E122)</f>
        <v>0</v>
      </c>
      <c r="F118" s="860"/>
      <c r="G118" s="860"/>
      <c r="H118" s="862"/>
      <c r="I118" s="860"/>
      <c r="J118" s="853"/>
      <c r="K118" s="853"/>
    </row>
    <row r="119" spans="1:11" ht="18.95" customHeight="1">
      <c r="A119" s="862"/>
      <c r="B119" s="635" t="str">
        <v>48</v>
      </c>
      <c r="C119" s="263" t="s">
        <v>128</v>
      </c>
      <c r="D119" s="6" t="str">
        <f>'Tab.G2.1-3'!$D$106</f>
        <v>[szt.]</v>
      </c>
      <c r="E119" s="149"/>
      <c r="F119" s="860"/>
      <c r="G119" s="860"/>
      <c r="H119" s="862"/>
      <c r="I119" s="860"/>
      <c r="J119" s="853"/>
      <c r="K119" s="853"/>
    </row>
    <row r="120" spans="1:11" ht="18.95" customHeight="1">
      <c r="A120" s="862"/>
      <c r="B120" s="636" t="str">
        <v>49</v>
      </c>
      <c r="C120" s="262" t="s">
        <v>169</v>
      </c>
      <c r="D120" s="7" t="str">
        <f>'Tab.G2.1-3'!$D$106</f>
        <v>[szt.]</v>
      </c>
      <c r="E120" s="150"/>
      <c r="F120" s="860"/>
      <c r="G120" s="860"/>
      <c r="H120" s="862"/>
      <c r="I120" s="860"/>
      <c r="J120" s="853"/>
      <c r="K120" s="853"/>
    </row>
    <row r="121" spans="1:11" ht="18.95" customHeight="1">
      <c r="A121" s="862"/>
      <c r="B121" s="636" t="str">
        <v>50</v>
      </c>
      <c r="C121" s="262" t="s">
        <v>129</v>
      </c>
      <c r="D121" s="7" t="str">
        <f>'Tab.G2.1-3'!$D$106</f>
        <v>[szt.]</v>
      </c>
      <c r="E121" s="150"/>
      <c r="F121" s="860"/>
      <c r="G121" s="860"/>
      <c r="H121" s="862"/>
      <c r="I121" s="860"/>
      <c r="J121" s="853"/>
      <c r="K121" s="853"/>
    </row>
    <row r="122" spans="1:11" ht="18.95" customHeight="1">
      <c r="A122" s="862"/>
      <c r="B122" s="637" t="str">
        <v>51</v>
      </c>
      <c r="C122" s="336" t="s">
        <v>170</v>
      </c>
      <c r="D122" s="8" t="str">
        <f>'Tab.G2.1-3'!$D$106</f>
        <v>[szt.]</v>
      </c>
      <c r="E122" s="151"/>
      <c r="F122" s="860"/>
      <c r="G122" s="860"/>
      <c r="H122" s="862"/>
      <c r="I122" s="860"/>
      <c r="J122" s="853"/>
      <c r="K122" s="853"/>
    </row>
    <row r="123" spans="1:11" ht="18.95" customHeight="1">
      <c r="A123" s="862"/>
      <c r="B123" s="638" t="str">
        <v>52</v>
      </c>
      <c r="C123" s="13" t="s">
        <v>130</v>
      </c>
      <c r="D123" s="9" t="str">
        <f>'Tab.G2.1-3'!$D$106</f>
        <v>[szt.]</v>
      </c>
      <c r="E123" s="152">
        <f>SUM(E124:E125)</f>
        <v>0</v>
      </c>
      <c r="F123" s="860"/>
      <c r="G123" s="860"/>
      <c r="H123" s="862"/>
      <c r="I123" s="860"/>
      <c r="J123" s="853"/>
      <c r="K123" s="853"/>
    </row>
    <row r="124" spans="1:11" ht="18.95" customHeight="1">
      <c r="A124" s="862"/>
      <c r="B124" s="635" t="str">
        <v>53</v>
      </c>
      <c r="C124" s="263" t="s">
        <v>33</v>
      </c>
      <c r="D124" s="6" t="str">
        <f>'Tab.G2.1-3'!$D$106</f>
        <v>[szt.]</v>
      </c>
      <c r="E124" s="149"/>
      <c r="F124" s="860"/>
      <c r="G124" s="860"/>
      <c r="H124" s="862"/>
      <c r="I124" s="860"/>
      <c r="J124" s="853"/>
      <c r="K124" s="853"/>
    </row>
    <row r="125" spans="1:11" ht="18.95" customHeight="1">
      <c r="A125" s="862"/>
      <c r="B125" s="640" t="str">
        <v>54</v>
      </c>
      <c r="C125" s="266" t="s">
        <v>31</v>
      </c>
      <c r="D125" s="267" t="str">
        <f>'Tab.G2.1-3'!$D$106</f>
        <v>[szt.]</v>
      </c>
      <c r="E125" s="268"/>
      <c r="F125" s="860"/>
      <c r="G125" s="860"/>
      <c r="H125" s="862"/>
      <c r="I125" s="860"/>
      <c r="J125" s="853"/>
      <c r="K125" s="853"/>
    </row>
    <row r="126" spans="1:11" ht="18.95" customHeight="1">
      <c r="A126" s="862"/>
      <c r="B126" s="638" t="str">
        <v>55</v>
      </c>
      <c r="C126" s="13" t="s">
        <v>131</v>
      </c>
      <c r="D126" s="9" t="str">
        <f>'Tab.G2.1-3'!$D$106</f>
        <v>[szt.]</v>
      </c>
      <c r="E126" s="152">
        <f>SUM(E127:E128)</f>
        <v>0</v>
      </c>
      <c r="F126" s="860"/>
      <c r="G126" s="860"/>
      <c r="H126" s="862"/>
      <c r="I126" s="860"/>
      <c r="J126" s="853"/>
      <c r="K126" s="853"/>
    </row>
    <row r="127" spans="1:11" ht="18.95" customHeight="1">
      <c r="A127" s="862"/>
      <c r="B127" s="635" t="str">
        <v>56</v>
      </c>
      <c r="C127" s="263" t="s">
        <v>33</v>
      </c>
      <c r="D127" s="6" t="str">
        <f>'Tab.G2.1-3'!$D$106</f>
        <v>[szt.]</v>
      </c>
      <c r="E127" s="149"/>
      <c r="F127" s="860"/>
      <c r="G127" s="860"/>
      <c r="H127" s="862"/>
      <c r="I127" s="860"/>
      <c r="J127" s="853"/>
      <c r="K127" s="853"/>
    </row>
    <row r="128" spans="1:11" ht="18.95" customHeight="1">
      <c r="A128" s="862"/>
      <c r="B128" s="640" t="str">
        <v>57</v>
      </c>
      <c r="C128" s="266" t="s">
        <v>31</v>
      </c>
      <c r="D128" s="267" t="str">
        <f>'Tab.G2.1-3'!$D$106</f>
        <v>[szt.]</v>
      </c>
      <c r="E128" s="268"/>
      <c r="F128" s="860"/>
      <c r="G128" s="860"/>
      <c r="H128" s="862"/>
      <c r="I128" s="860"/>
      <c r="J128" s="853"/>
      <c r="K128" s="853"/>
    </row>
    <row r="129" spans="1:11" ht="18.95" customHeight="1" thickBot="1">
      <c r="A129" s="862"/>
      <c r="B129" s="643" t="str">
        <v>58</v>
      </c>
      <c r="C129" s="16" t="s">
        <v>132</v>
      </c>
      <c r="D129" s="17" t="str">
        <f>'Tab.G2.1-3'!$D$106</f>
        <v>[szt.]</v>
      </c>
      <c r="E129" s="154"/>
      <c r="F129" s="860"/>
      <c r="G129" s="860"/>
      <c r="H129" s="862"/>
      <c r="I129" s="860"/>
      <c r="J129" s="853"/>
      <c r="K129" s="853"/>
    </row>
    <row r="130" spans="1:11" ht="18.95" customHeight="1">
      <c r="A130" s="862"/>
      <c r="B130" s="862"/>
      <c r="C130" s="861"/>
      <c r="D130" s="871"/>
      <c r="E130" s="860"/>
      <c r="F130" s="860"/>
      <c r="G130" s="860"/>
      <c r="H130" s="862"/>
      <c r="I130" s="860"/>
      <c r="J130" s="853"/>
      <c r="K130" s="853"/>
    </row>
    <row r="131" spans="1:11" ht="18.95" customHeight="1">
      <c r="A131" s="862"/>
      <c r="B131" s="862"/>
      <c r="C131" s="861"/>
      <c r="D131" s="871"/>
      <c r="E131" s="860"/>
      <c r="F131" s="860"/>
      <c r="G131" s="860"/>
      <c r="H131" s="862"/>
      <c r="I131" s="860"/>
      <c r="J131" s="853"/>
      <c r="K131" s="853"/>
    </row>
    <row r="132" spans="1:11" ht="30" customHeight="1" thickBot="1">
      <c r="A132" s="862"/>
      <c r="B132" s="695" t="s">
        <v>172</v>
      </c>
      <c r="C132" s="861"/>
      <c r="D132" s="871"/>
      <c r="E132" s="860"/>
      <c r="F132" s="860"/>
      <c r="G132" s="860"/>
      <c r="H132" s="862"/>
      <c r="I132" s="860"/>
      <c r="J132" s="853"/>
      <c r="K132" s="853"/>
    </row>
    <row r="133" spans="1:11" ht="18.95" customHeight="1">
      <c r="A133" s="862"/>
      <c r="B133" s="1035" t="str">
        <f>'Tab.G1.1-4'!$B$8</f>
        <v>LP</v>
      </c>
      <c r="C133" s="1037" t="str">
        <f>'Tab.G1.1-4'!$C$8</f>
        <v>Wyszczególnienie</v>
      </c>
      <c r="D133" s="1038"/>
      <c r="E133" s="627" t="str">
        <f>'Tab.G1.1-4'!$E$8</f>
        <v>Wykonanie</v>
      </c>
      <c r="F133" s="860"/>
      <c r="G133" s="860"/>
      <c r="H133" s="862"/>
      <c r="I133" s="860"/>
      <c r="J133" s="853"/>
      <c r="K133" s="853"/>
    </row>
    <row r="134" spans="1:11" ht="18.95" customHeight="1">
      <c r="A134" s="862"/>
      <c r="B134" s="1036"/>
      <c r="C134" s="1039"/>
      <c r="D134" s="1040"/>
      <c r="E134" s="628">
        <f>Rok_ZPR</f>
        <v>2023</v>
      </c>
      <c r="F134" s="860"/>
      <c r="G134" s="860"/>
      <c r="H134" s="862"/>
      <c r="I134" s="860"/>
      <c r="J134" s="853"/>
      <c r="K134" s="853"/>
    </row>
    <row r="135" spans="1:11" ht="14.1" customHeight="1" thickBot="1">
      <c r="A135" s="862"/>
      <c r="B135" s="644" t="str">
        <f t="array" ref="B135:B192">Tab.G17!$B$10:$B$67</f>
        <v>01</v>
      </c>
      <c r="C135" s="1044" t="str">
        <f>Tab.G17!$B$11</f>
        <v>02</v>
      </c>
      <c r="D135" s="1034"/>
      <c r="E135" s="645" t="str">
        <f>Tab.G17!$B$12</f>
        <v>03</v>
      </c>
      <c r="F135" s="860"/>
      <c r="G135" s="860"/>
      <c r="H135" s="862"/>
      <c r="I135" s="860"/>
      <c r="J135" s="853"/>
      <c r="K135" s="853"/>
    </row>
    <row r="136" spans="1:11" ht="18.95" customHeight="1" thickBot="1">
      <c r="A136" s="862"/>
      <c r="B136" s="641" t="str">
        <v>02</v>
      </c>
      <c r="C136" s="1" t="s">
        <v>112</v>
      </c>
      <c r="D136" s="2" t="str">
        <f>'Tab.G2.1-3'!$D$134</f>
        <v>[tys. zł/km]</v>
      </c>
      <c r="E136" s="146" t="str">
        <f t="array" ref="E136:E192">IFERROR($E$10:$E$66/$E$73:$E$129,"")</f>
        <v/>
      </c>
      <c r="F136" s="860"/>
      <c r="G136" s="860"/>
      <c r="H136" s="862"/>
      <c r="I136" s="860"/>
      <c r="J136" s="853"/>
      <c r="K136" s="853"/>
    </row>
    <row r="137" spans="1:11" ht="18.95" customHeight="1" thickBot="1">
      <c r="A137" s="862"/>
      <c r="B137" s="633" t="str">
        <v>03</v>
      </c>
      <c r="C137" s="3" t="s">
        <v>120</v>
      </c>
      <c r="D137" s="4" t="str">
        <f>'Tab.G2.1-3'!$D$134</f>
        <v>[tys. zł/km]</v>
      </c>
      <c r="E137" s="147" t="str">
        <v/>
      </c>
      <c r="F137" s="860"/>
      <c r="G137" s="860"/>
      <c r="H137" s="862"/>
      <c r="I137" s="860"/>
      <c r="J137" s="853"/>
      <c r="K137" s="853"/>
    </row>
    <row r="138" spans="1:11" ht="18.95" customHeight="1">
      <c r="A138" s="862"/>
      <c r="B138" s="634" t="str">
        <v>04</v>
      </c>
      <c r="C138" s="258" t="s">
        <v>72</v>
      </c>
      <c r="D138" s="5" t="str">
        <f>'Tab.G2.1-3'!$D$134</f>
        <v>[tys. zł/km]</v>
      </c>
      <c r="E138" s="148" t="str">
        <v/>
      </c>
      <c r="F138" s="860"/>
      <c r="G138" s="860"/>
      <c r="H138" s="862"/>
      <c r="I138" s="860"/>
      <c r="J138" s="853"/>
      <c r="K138" s="853"/>
    </row>
    <row r="139" spans="1:11" ht="18.95" customHeight="1">
      <c r="A139" s="862"/>
      <c r="B139" s="635" t="str">
        <v>05</v>
      </c>
      <c r="C139" s="260" t="s">
        <v>73</v>
      </c>
      <c r="D139" s="6" t="str">
        <f>'Tab.G2.1-3'!$D$134</f>
        <v>[tys. zł/km]</v>
      </c>
      <c r="E139" s="149" t="str">
        <v/>
      </c>
      <c r="F139" s="860"/>
      <c r="G139" s="860"/>
      <c r="H139" s="862"/>
      <c r="I139" s="860"/>
      <c r="J139" s="853"/>
      <c r="K139" s="853"/>
    </row>
    <row r="140" spans="1:11" ht="18.95" customHeight="1">
      <c r="A140" s="862"/>
      <c r="B140" s="636" t="str">
        <v>06</v>
      </c>
      <c r="C140" s="261" t="s">
        <v>74</v>
      </c>
      <c r="D140" s="7" t="str">
        <f>'Tab.G2.1-3'!$D$134</f>
        <v>[tys. zł/km]</v>
      </c>
      <c r="E140" s="150" t="str">
        <v/>
      </c>
      <c r="F140" s="860"/>
      <c r="G140" s="860"/>
      <c r="H140" s="862"/>
      <c r="I140" s="860"/>
      <c r="J140" s="853"/>
      <c r="K140" s="853"/>
    </row>
    <row r="141" spans="1:11" ht="18.95" customHeight="1">
      <c r="A141" s="862"/>
      <c r="B141" s="636" t="str">
        <v>07</v>
      </c>
      <c r="C141" s="261" t="s">
        <v>75</v>
      </c>
      <c r="D141" s="7" t="str">
        <f>'Tab.G2.1-3'!$D$134</f>
        <v>[tys. zł/km]</v>
      </c>
      <c r="E141" s="150" t="str">
        <v/>
      </c>
      <c r="F141" s="860"/>
      <c r="G141" s="860"/>
      <c r="H141" s="862"/>
      <c r="I141" s="860"/>
      <c r="J141" s="853"/>
      <c r="K141" s="853"/>
    </row>
    <row r="142" spans="1:11" ht="18.95" customHeight="1">
      <c r="A142" s="862"/>
      <c r="B142" s="637" t="str">
        <v>08</v>
      </c>
      <c r="C142" s="264" t="s">
        <v>76</v>
      </c>
      <c r="D142" s="8" t="str">
        <f>'Tab.G2.1-3'!$D$134</f>
        <v>[tys. zł/km]</v>
      </c>
      <c r="E142" s="151" t="str">
        <v/>
      </c>
      <c r="F142" s="860"/>
      <c r="G142" s="860"/>
      <c r="H142" s="862"/>
      <c r="I142" s="860"/>
      <c r="J142" s="853"/>
      <c r="K142" s="853"/>
    </row>
    <row r="143" spans="1:11" ht="18.95" customHeight="1">
      <c r="A143" s="862"/>
      <c r="B143" s="638" t="str">
        <v>09</v>
      </c>
      <c r="C143" s="259" t="s">
        <v>77</v>
      </c>
      <c r="D143" s="9" t="str">
        <f>'Tab.G2.1-3'!$D$134</f>
        <v>[tys. zł/km]</v>
      </c>
      <c r="E143" s="152" t="str">
        <v/>
      </c>
      <c r="F143" s="860"/>
      <c r="G143" s="860"/>
      <c r="H143" s="862"/>
      <c r="I143" s="860"/>
      <c r="J143" s="853"/>
      <c r="K143" s="853"/>
    </row>
    <row r="144" spans="1:11" ht="18.95" customHeight="1">
      <c r="A144" s="862"/>
      <c r="B144" s="635" t="str">
        <v>10</v>
      </c>
      <c r="C144" s="260" t="s">
        <v>73</v>
      </c>
      <c r="D144" s="6" t="str">
        <f>'Tab.G2.1-3'!$D$134</f>
        <v>[tys. zł/km]</v>
      </c>
      <c r="E144" s="149" t="str">
        <v/>
      </c>
      <c r="F144" s="860"/>
      <c r="G144" s="860"/>
      <c r="H144" s="862"/>
      <c r="I144" s="860"/>
      <c r="J144" s="853"/>
      <c r="K144" s="853"/>
    </row>
    <row r="145" spans="1:11" ht="18.95" customHeight="1">
      <c r="A145" s="862"/>
      <c r="B145" s="636" t="str">
        <v>11</v>
      </c>
      <c r="C145" s="261" t="s">
        <v>74</v>
      </c>
      <c r="D145" s="7" t="str">
        <f>'Tab.G2.1-3'!$D$134</f>
        <v>[tys. zł/km]</v>
      </c>
      <c r="E145" s="150" t="str">
        <v/>
      </c>
      <c r="F145" s="860"/>
      <c r="G145" s="860"/>
      <c r="H145" s="862"/>
      <c r="I145" s="860"/>
      <c r="J145" s="853"/>
      <c r="K145" s="853"/>
    </row>
    <row r="146" spans="1:11" ht="18.95" customHeight="1">
      <c r="A146" s="862"/>
      <c r="B146" s="636" t="str">
        <v>12</v>
      </c>
      <c r="C146" s="261" t="s">
        <v>75</v>
      </c>
      <c r="D146" s="7" t="str">
        <f>'Tab.G2.1-3'!$D$134</f>
        <v>[tys. zł/km]</v>
      </c>
      <c r="E146" s="150" t="str">
        <v/>
      </c>
      <c r="F146" s="860"/>
      <c r="G146" s="860"/>
      <c r="H146" s="862"/>
      <c r="I146" s="860"/>
      <c r="J146" s="853"/>
      <c r="K146" s="853"/>
    </row>
    <row r="147" spans="1:11" ht="18.95" customHeight="1" thickBot="1">
      <c r="A147" s="862"/>
      <c r="B147" s="639" t="str">
        <v>13</v>
      </c>
      <c r="C147" s="265" t="s">
        <v>76</v>
      </c>
      <c r="D147" s="10" t="str">
        <f>'Tab.G2.1-3'!$D$134</f>
        <v>[tys. zł/km]</v>
      </c>
      <c r="E147" s="153" t="str">
        <v/>
      </c>
      <c r="F147" s="860"/>
      <c r="G147" s="860"/>
      <c r="H147" s="862"/>
      <c r="I147" s="860"/>
      <c r="J147" s="853"/>
      <c r="K147" s="853"/>
    </row>
    <row r="148" spans="1:11" ht="18.95" customHeight="1" thickBot="1">
      <c r="A148" s="862"/>
      <c r="B148" s="633" t="str">
        <v>14</v>
      </c>
      <c r="C148" s="11" t="s">
        <v>121</v>
      </c>
      <c r="D148" s="4" t="str">
        <f>'Tab.G2.1-3'!$D$134</f>
        <v>[tys. zł/km]</v>
      </c>
      <c r="E148" s="147" t="str">
        <v/>
      </c>
      <c r="F148" s="860"/>
      <c r="G148" s="860"/>
      <c r="H148" s="862"/>
      <c r="I148" s="860"/>
      <c r="J148" s="853"/>
      <c r="K148" s="853"/>
    </row>
    <row r="149" spans="1:11" ht="18.95" customHeight="1">
      <c r="A149" s="862"/>
      <c r="B149" s="634" t="str">
        <v>15</v>
      </c>
      <c r="C149" s="258" t="s">
        <v>72</v>
      </c>
      <c r="D149" s="5" t="str">
        <f>'Tab.G2.1-3'!$D$134</f>
        <v>[tys. zł/km]</v>
      </c>
      <c r="E149" s="148" t="str">
        <v/>
      </c>
      <c r="F149" s="860"/>
      <c r="G149" s="860"/>
      <c r="H149" s="862"/>
      <c r="I149" s="860"/>
      <c r="J149" s="853"/>
      <c r="K149" s="853"/>
    </row>
    <row r="150" spans="1:11" ht="18.95" customHeight="1">
      <c r="A150" s="862"/>
      <c r="B150" s="635" t="str">
        <v>16</v>
      </c>
      <c r="C150" s="260" t="s">
        <v>78</v>
      </c>
      <c r="D150" s="6" t="str">
        <f>'Tab.G2.1-3'!$D$134</f>
        <v>[tys. zł/km]</v>
      </c>
      <c r="E150" s="149" t="str">
        <v/>
      </c>
      <c r="F150" s="860"/>
      <c r="G150" s="860"/>
      <c r="H150" s="862"/>
      <c r="I150" s="860"/>
      <c r="J150" s="853"/>
      <c r="K150" s="853"/>
    </row>
    <row r="151" spans="1:11" ht="18.95" customHeight="1">
      <c r="A151" s="862"/>
      <c r="B151" s="636" t="str">
        <v>17</v>
      </c>
      <c r="C151" s="261" t="s">
        <v>75</v>
      </c>
      <c r="D151" s="7" t="str">
        <f>'Tab.G2.1-3'!$D$134</f>
        <v>[tys. zł/km]</v>
      </c>
      <c r="E151" s="150" t="str">
        <v/>
      </c>
      <c r="F151" s="860"/>
      <c r="G151" s="860"/>
      <c r="H151" s="862"/>
      <c r="I151" s="860"/>
      <c r="J151" s="853"/>
      <c r="K151" s="853"/>
    </row>
    <row r="152" spans="1:11" ht="18.95" customHeight="1">
      <c r="A152" s="862"/>
      <c r="B152" s="636" t="str">
        <v>18</v>
      </c>
      <c r="C152" s="262" t="s">
        <v>79</v>
      </c>
      <c r="D152" s="7" t="str">
        <f>'Tab.G2.1-3'!$D$134</f>
        <v>[tys. zł/km]</v>
      </c>
      <c r="E152" s="150" t="str">
        <v/>
      </c>
      <c r="F152" s="860"/>
      <c r="G152" s="860"/>
      <c r="H152" s="862"/>
      <c r="I152" s="860"/>
      <c r="J152" s="853"/>
      <c r="K152" s="853"/>
    </row>
    <row r="153" spans="1:11" ht="18.95" customHeight="1">
      <c r="A153" s="862"/>
      <c r="B153" s="637" t="str">
        <v>19</v>
      </c>
      <c r="C153" s="264" t="s">
        <v>80</v>
      </c>
      <c r="D153" s="8" t="str">
        <f>'Tab.G2.1-3'!$D$134</f>
        <v>[tys. zł/km]</v>
      </c>
      <c r="E153" s="151" t="str">
        <v/>
      </c>
      <c r="F153" s="860"/>
      <c r="G153" s="860"/>
      <c r="H153" s="862"/>
      <c r="I153" s="860"/>
      <c r="J153" s="853"/>
      <c r="K153" s="853"/>
    </row>
    <row r="154" spans="1:11" ht="18.95" customHeight="1">
      <c r="A154" s="862"/>
      <c r="B154" s="638" t="str">
        <v>20</v>
      </c>
      <c r="C154" s="259" t="s">
        <v>77</v>
      </c>
      <c r="D154" s="9" t="str">
        <f>'Tab.G2.1-3'!$D$134</f>
        <v>[tys. zł/km]</v>
      </c>
      <c r="E154" s="152" t="str">
        <v/>
      </c>
      <c r="F154" s="860"/>
      <c r="G154" s="860"/>
      <c r="H154" s="862"/>
      <c r="I154" s="860"/>
      <c r="J154" s="853"/>
      <c r="K154" s="853"/>
    </row>
    <row r="155" spans="1:11" ht="18.95" customHeight="1">
      <c r="A155" s="862"/>
      <c r="B155" s="635" t="str">
        <v>21</v>
      </c>
      <c r="C155" s="260" t="s">
        <v>78</v>
      </c>
      <c r="D155" s="6" t="str">
        <f>'Tab.G2.1-3'!$D$134</f>
        <v>[tys. zł/km]</v>
      </c>
      <c r="E155" s="149" t="str">
        <v/>
      </c>
      <c r="F155" s="860"/>
      <c r="G155" s="860"/>
      <c r="H155" s="862"/>
      <c r="I155" s="860"/>
      <c r="J155" s="853"/>
      <c r="K155" s="853"/>
    </row>
    <row r="156" spans="1:11" ht="18.95" customHeight="1">
      <c r="A156" s="862"/>
      <c r="B156" s="636" t="str">
        <v>22</v>
      </c>
      <c r="C156" s="261" t="s">
        <v>75</v>
      </c>
      <c r="D156" s="7" t="str">
        <f>'Tab.G2.1-3'!$D$134</f>
        <v>[tys. zł/km]</v>
      </c>
      <c r="E156" s="150" t="str">
        <v/>
      </c>
      <c r="F156" s="860"/>
      <c r="G156" s="860"/>
      <c r="H156" s="862"/>
      <c r="I156" s="860"/>
      <c r="J156" s="853"/>
      <c r="K156" s="853"/>
    </row>
    <row r="157" spans="1:11" ht="18.95" customHeight="1">
      <c r="A157" s="862"/>
      <c r="B157" s="636" t="str">
        <v>23</v>
      </c>
      <c r="C157" s="262" t="s">
        <v>79</v>
      </c>
      <c r="D157" s="7" t="str">
        <f>'Tab.G2.1-3'!$D$134</f>
        <v>[tys. zł/km]</v>
      </c>
      <c r="E157" s="150" t="str">
        <v/>
      </c>
      <c r="F157" s="860"/>
      <c r="G157" s="860"/>
      <c r="H157" s="862"/>
      <c r="I157" s="860"/>
      <c r="J157" s="853"/>
      <c r="K157" s="853"/>
    </row>
    <row r="158" spans="1:11" ht="18.95" customHeight="1">
      <c r="A158" s="862"/>
      <c r="B158" s="640" t="str">
        <v>24</v>
      </c>
      <c r="C158" s="335" t="s">
        <v>80</v>
      </c>
      <c r="D158" s="267" t="str">
        <f>'Tab.G2.1-3'!$D$134</f>
        <v>[tys. zł/km]</v>
      </c>
      <c r="E158" s="268" t="str">
        <v/>
      </c>
      <c r="F158" s="860"/>
      <c r="G158" s="860"/>
      <c r="H158" s="862"/>
      <c r="I158" s="860"/>
      <c r="J158" s="853"/>
      <c r="K158" s="853"/>
    </row>
    <row r="159" spans="1:11" ht="18.95" customHeight="1">
      <c r="A159" s="862"/>
      <c r="B159" s="638" t="str">
        <v>25</v>
      </c>
      <c r="C159" s="259" t="s">
        <v>167</v>
      </c>
      <c r="D159" s="9" t="str">
        <f>'Tab.G2.1-3'!$D$134</f>
        <v>[tys. zł/km]</v>
      </c>
      <c r="E159" s="152" t="str">
        <v/>
      </c>
      <c r="F159" s="860"/>
      <c r="G159" s="860"/>
      <c r="H159" s="862"/>
      <c r="I159" s="860"/>
      <c r="J159" s="853"/>
      <c r="K159" s="853"/>
    </row>
    <row r="160" spans="1:11" ht="18.95" customHeight="1">
      <c r="A160" s="862"/>
      <c r="B160" s="635" t="str">
        <v>26</v>
      </c>
      <c r="C160" s="260" t="s">
        <v>78</v>
      </c>
      <c r="D160" s="6" t="str">
        <f>'Tab.G2.1-3'!$D$134</f>
        <v>[tys. zł/km]</v>
      </c>
      <c r="E160" s="149" t="str">
        <v/>
      </c>
      <c r="F160" s="860"/>
      <c r="G160" s="860"/>
      <c r="H160" s="862"/>
      <c r="I160" s="860"/>
      <c r="J160" s="853"/>
      <c r="K160" s="853"/>
    </row>
    <row r="161" spans="1:11" ht="18.95" customHeight="1">
      <c r="A161" s="862"/>
      <c r="B161" s="636" t="str">
        <v>27</v>
      </c>
      <c r="C161" s="261" t="s">
        <v>75</v>
      </c>
      <c r="D161" s="7" t="str">
        <f>'Tab.G2.1-3'!$D$134</f>
        <v>[tys. zł/km]</v>
      </c>
      <c r="E161" s="150" t="str">
        <v/>
      </c>
      <c r="F161" s="860"/>
      <c r="G161" s="860"/>
      <c r="H161" s="862"/>
      <c r="I161" s="860"/>
      <c r="J161" s="853"/>
      <c r="K161" s="853"/>
    </row>
    <row r="162" spans="1:11" ht="18.95" customHeight="1">
      <c r="A162" s="862"/>
      <c r="B162" s="636" t="str">
        <v>28</v>
      </c>
      <c r="C162" s="262" t="s">
        <v>79</v>
      </c>
      <c r="D162" s="7" t="str">
        <f>'Tab.G2.1-3'!$D$134</f>
        <v>[tys. zł/km]</v>
      </c>
      <c r="E162" s="150" t="str">
        <v/>
      </c>
      <c r="F162" s="860"/>
      <c r="G162" s="860"/>
      <c r="H162" s="862"/>
      <c r="I162" s="860"/>
      <c r="J162" s="853"/>
      <c r="K162" s="853"/>
    </row>
    <row r="163" spans="1:11" ht="18.95" customHeight="1" thickBot="1">
      <c r="A163" s="862"/>
      <c r="B163" s="637" t="str">
        <v>29</v>
      </c>
      <c r="C163" s="264" t="s">
        <v>80</v>
      </c>
      <c r="D163" s="8" t="str">
        <f>'Tab.G2.1-3'!$D$134</f>
        <v>[tys. zł/km]</v>
      </c>
      <c r="E163" s="151" t="str">
        <v/>
      </c>
      <c r="F163" s="860"/>
      <c r="G163" s="860"/>
      <c r="H163" s="862"/>
      <c r="I163" s="860"/>
      <c r="J163" s="853"/>
      <c r="K163" s="853"/>
    </row>
    <row r="164" spans="1:11" ht="18.95" customHeight="1" thickBot="1">
      <c r="A164" s="862"/>
      <c r="B164" s="633" t="str">
        <v>30</v>
      </c>
      <c r="C164" s="11" t="s">
        <v>168</v>
      </c>
      <c r="D164" s="4" t="str">
        <f>'Tab.G2.1-3'!$D$134</f>
        <v>[tys. zł/km]</v>
      </c>
      <c r="E164" s="147" t="str">
        <v/>
      </c>
      <c r="F164" s="860"/>
      <c r="G164" s="860"/>
      <c r="H164" s="862"/>
      <c r="I164" s="860"/>
      <c r="J164" s="853"/>
      <c r="K164" s="853"/>
    </row>
    <row r="165" spans="1:11" ht="18.95" customHeight="1" thickBot="1">
      <c r="A165" s="862"/>
      <c r="B165" s="641" t="str">
        <v>31</v>
      </c>
      <c r="C165" s="1" t="s">
        <v>113</v>
      </c>
      <c r="D165" s="2" t="str">
        <f>'Tab.G2.1-3'!$D$168</f>
        <v>[tys. zł/szt.]</v>
      </c>
      <c r="E165" s="146" t="str">
        <v/>
      </c>
      <c r="F165" s="860"/>
      <c r="G165" s="860"/>
      <c r="H165" s="862"/>
      <c r="I165" s="860"/>
      <c r="J165" s="853"/>
      <c r="K165" s="853"/>
    </row>
    <row r="166" spans="1:11" ht="18.95" customHeight="1">
      <c r="A166" s="862"/>
      <c r="B166" s="634" t="str">
        <v>32</v>
      </c>
      <c r="C166" s="12" t="s">
        <v>115</v>
      </c>
      <c r="D166" s="5" t="str">
        <f>'Tab.G2.1-3'!$D$168</f>
        <v>[tys. zł/szt.]</v>
      </c>
      <c r="E166" s="148" t="str">
        <v/>
      </c>
      <c r="F166" s="860"/>
      <c r="G166" s="860"/>
      <c r="H166" s="862"/>
      <c r="I166" s="860"/>
      <c r="J166" s="853"/>
      <c r="K166" s="853"/>
    </row>
    <row r="167" spans="1:11" ht="18.95" customHeight="1">
      <c r="A167" s="862"/>
      <c r="B167" s="635" t="str">
        <v>33</v>
      </c>
      <c r="C167" s="260" t="s">
        <v>85</v>
      </c>
      <c r="D167" s="6" t="str">
        <f>'Tab.G2.1-3'!$D$168</f>
        <v>[tys. zł/szt.]</v>
      </c>
      <c r="E167" s="149" t="str">
        <v/>
      </c>
      <c r="F167" s="860"/>
      <c r="G167" s="860"/>
      <c r="H167" s="862"/>
      <c r="I167" s="860"/>
      <c r="J167" s="853"/>
      <c r="K167" s="853"/>
    </row>
    <row r="168" spans="1:11" ht="18.95" customHeight="1">
      <c r="A168" s="862"/>
      <c r="B168" s="636" t="str">
        <v>34</v>
      </c>
      <c r="C168" s="261" t="s">
        <v>86</v>
      </c>
      <c r="D168" s="7" t="str">
        <f>'Tab.G2.1-3'!$D$168</f>
        <v>[tys. zł/szt.]</v>
      </c>
      <c r="E168" s="150" t="str">
        <v/>
      </c>
      <c r="F168" s="860"/>
      <c r="G168" s="860"/>
      <c r="H168" s="862"/>
      <c r="I168" s="860"/>
      <c r="J168" s="853"/>
      <c r="K168" s="853"/>
    </row>
    <row r="169" spans="1:11" ht="18.95" customHeight="1">
      <c r="A169" s="862"/>
      <c r="B169" s="637" t="str">
        <v>35</v>
      </c>
      <c r="C169" s="269" t="s">
        <v>87</v>
      </c>
      <c r="D169" s="8" t="str">
        <f>'Tab.G2.1-3'!$D$168</f>
        <v>[tys. zł/szt.]</v>
      </c>
      <c r="E169" s="151" t="str">
        <v/>
      </c>
      <c r="F169" s="860"/>
      <c r="G169" s="860"/>
      <c r="H169" s="862"/>
      <c r="I169" s="860"/>
      <c r="J169" s="853"/>
      <c r="K169" s="853"/>
    </row>
    <row r="170" spans="1:11" ht="18.95" customHeight="1">
      <c r="A170" s="862"/>
      <c r="B170" s="638" t="str">
        <v>36</v>
      </c>
      <c r="C170" s="13" t="s">
        <v>116</v>
      </c>
      <c r="D170" s="9" t="str">
        <f>'Tab.G2.1-3'!$D$168</f>
        <v>[tys. zł/szt.]</v>
      </c>
      <c r="E170" s="152" t="str">
        <v/>
      </c>
      <c r="F170" s="860"/>
      <c r="G170" s="860"/>
      <c r="H170" s="862"/>
      <c r="I170" s="860"/>
      <c r="J170" s="853"/>
      <c r="K170" s="853"/>
    </row>
    <row r="171" spans="1:11" ht="18.95" customHeight="1">
      <c r="A171" s="862"/>
      <c r="B171" s="635" t="str">
        <v>37</v>
      </c>
      <c r="C171" s="260" t="s">
        <v>88</v>
      </c>
      <c r="D171" s="6" t="str">
        <f>'Tab.G2.1-3'!$D$168</f>
        <v>[tys. zł/szt.]</v>
      </c>
      <c r="E171" s="149" t="str">
        <v/>
      </c>
      <c r="F171" s="860"/>
      <c r="G171" s="860"/>
      <c r="H171" s="862"/>
      <c r="I171" s="860"/>
      <c r="J171" s="853"/>
      <c r="K171" s="853"/>
    </row>
    <row r="172" spans="1:11" ht="18.95" customHeight="1">
      <c r="A172" s="862"/>
      <c r="B172" s="636" t="str">
        <v>38</v>
      </c>
      <c r="C172" s="262" t="s">
        <v>89</v>
      </c>
      <c r="D172" s="7" t="str">
        <f>'Tab.G2.1-3'!$D$168</f>
        <v>[tys. zł/szt.]</v>
      </c>
      <c r="E172" s="150" t="str">
        <v/>
      </c>
      <c r="F172" s="860"/>
      <c r="G172" s="860"/>
      <c r="H172" s="862"/>
      <c r="I172" s="860"/>
      <c r="J172" s="853"/>
      <c r="K172" s="853"/>
    </row>
    <row r="173" spans="1:11" ht="18.95" customHeight="1">
      <c r="A173" s="862"/>
      <c r="B173" s="637" t="str">
        <v>39</v>
      </c>
      <c r="C173" s="269" t="s">
        <v>90</v>
      </c>
      <c r="D173" s="8" t="str">
        <f>'Tab.G2.1-3'!$D$168</f>
        <v>[tys. zł/szt.]</v>
      </c>
      <c r="E173" s="151" t="str">
        <v/>
      </c>
      <c r="F173" s="860"/>
      <c r="G173" s="860"/>
      <c r="H173" s="862"/>
      <c r="I173" s="860"/>
      <c r="J173" s="853"/>
      <c r="K173" s="853"/>
    </row>
    <row r="174" spans="1:11" ht="18.95" customHeight="1">
      <c r="A174" s="862"/>
      <c r="B174" s="638" t="str">
        <v>40</v>
      </c>
      <c r="C174" s="13" t="s">
        <v>117</v>
      </c>
      <c r="D174" s="9" t="str">
        <f>'Tab.G2.1-3'!$D$168</f>
        <v>[tys. zł/szt.]</v>
      </c>
      <c r="E174" s="152" t="str">
        <v/>
      </c>
      <c r="F174" s="860"/>
      <c r="G174" s="860"/>
      <c r="H174" s="862"/>
      <c r="I174" s="860"/>
      <c r="J174" s="853"/>
      <c r="K174" s="853"/>
    </row>
    <row r="175" spans="1:11" ht="18.95" customHeight="1">
      <c r="A175" s="862"/>
      <c r="B175" s="635" t="str">
        <v>41</v>
      </c>
      <c r="C175" s="260" t="s">
        <v>88</v>
      </c>
      <c r="D175" s="6" t="str">
        <f>'Tab.G2.1-3'!$D$168</f>
        <v>[tys. zł/szt.]</v>
      </c>
      <c r="E175" s="149" t="str">
        <v/>
      </c>
      <c r="F175" s="860"/>
      <c r="G175" s="860"/>
      <c r="H175" s="862"/>
      <c r="I175" s="860"/>
      <c r="J175" s="853"/>
      <c r="K175" s="853"/>
    </row>
    <row r="176" spans="1:11" ht="18.95" customHeight="1">
      <c r="A176" s="862"/>
      <c r="B176" s="636" t="str">
        <v>42</v>
      </c>
      <c r="C176" s="262" t="s">
        <v>89</v>
      </c>
      <c r="D176" s="7" t="str">
        <f>'Tab.G2.1-3'!$D$168</f>
        <v>[tys. zł/szt.]</v>
      </c>
      <c r="E176" s="150" t="str">
        <v/>
      </c>
      <c r="F176" s="860"/>
      <c r="G176" s="860"/>
      <c r="H176" s="862"/>
      <c r="I176" s="860"/>
      <c r="J176" s="853"/>
      <c r="K176" s="853"/>
    </row>
    <row r="177" spans="1:11" ht="18.95" customHeight="1">
      <c r="A177" s="862"/>
      <c r="B177" s="637" t="str">
        <v>43</v>
      </c>
      <c r="C177" s="269" t="s">
        <v>90</v>
      </c>
      <c r="D177" s="8" t="str">
        <f>'Tab.G2.1-3'!$D$168</f>
        <v>[tys. zł/szt.]</v>
      </c>
      <c r="E177" s="151" t="str">
        <v/>
      </c>
      <c r="F177" s="860"/>
      <c r="G177" s="860"/>
      <c r="H177" s="862"/>
      <c r="I177" s="860"/>
      <c r="J177" s="853"/>
      <c r="K177" s="853"/>
    </row>
    <row r="178" spans="1:11" ht="18.95" customHeight="1">
      <c r="A178" s="862"/>
      <c r="B178" s="642" t="str">
        <v>44</v>
      </c>
      <c r="C178" s="14" t="s">
        <v>118</v>
      </c>
      <c r="D178" s="15" t="str">
        <f>'Tab.G2.1-3'!$D$168</f>
        <v>[tys. zł/szt.]</v>
      </c>
      <c r="E178" s="152" t="str">
        <v/>
      </c>
      <c r="F178" s="860"/>
      <c r="G178" s="860"/>
      <c r="H178" s="862"/>
      <c r="I178" s="860"/>
      <c r="J178" s="853"/>
      <c r="K178" s="853"/>
    </row>
    <row r="179" spans="1:11" ht="18.95" customHeight="1" thickBot="1">
      <c r="A179" s="862"/>
      <c r="B179" s="643" t="str">
        <v>45</v>
      </c>
      <c r="C179" s="16" t="s">
        <v>119</v>
      </c>
      <c r="D179" s="17" t="str">
        <f>'Tab.G2.1-3'!$D$168</f>
        <v>[tys. zł/szt.]</v>
      </c>
      <c r="E179" s="154" t="str">
        <v/>
      </c>
      <c r="F179" s="860"/>
      <c r="G179" s="860"/>
      <c r="H179" s="862"/>
      <c r="I179" s="860"/>
      <c r="J179" s="853"/>
      <c r="K179" s="853"/>
    </row>
    <row r="180" spans="1:11" ht="18.95" customHeight="1" thickBot="1">
      <c r="A180" s="862"/>
      <c r="B180" s="641" t="str">
        <v>46</v>
      </c>
      <c r="C180" s="1" t="s">
        <v>126</v>
      </c>
      <c r="D180" s="2" t="str">
        <f>'Tab.G2.1-3'!$D$168</f>
        <v>[tys. zł/szt.]</v>
      </c>
      <c r="E180" s="146" t="str">
        <v/>
      </c>
      <c r="F180" s="860"/>
      <c r="G180" s="860"/>
      <c r="H180" s="862"/>
      <c r="I180" s="860"/>
      <c r="J180" s="853"/>
      <c r="K180" s="853"/>
    </row>
    <row r="181" spans="1:11" ht="18.95" customHeight="1">
      <c r="A181" s="862"/>
      <c r="B181" s="634" t="str">
        <v>47</v>
      </c>
      <c r="C181" s="12" t="s">
        <v>127</v>
      </c>
      <c r="D181" s="5" t="str">
        <f>'Tab.G2.1-3'!$D$168</f>
        <v>[tys. zł/szt.]</v>
      </c>
      <c r="E181" s="148" t="str">
        <v/>
      </c>
      <c r="F181" s="860"/>
      <c r="G181" s="860"/>
      <c r="H181" s="862"/>
      <c r="I181" s="860"/>
      <c r="J181" s="853"/>
      <c r="K181" s="853"/>
    </row>
    <row r="182" spans="1:11" ht="18.95" customHeight="1">
      <c r="A182" s="862"/>
      <c r="B182" s="635" t="str">
        <v>48</v>
      </c>
      <c r="C182" s="263" t="s">
        <v>128</v>
      </c>
      <c r="D182" s="6" t="str">
        <f>'Tab.G2.1-3'!$D$168</f>
        <v>[tys. zł/szt.]</v>
      </c>
      <c r="E182" s="149" t="str">
        <v/>
      </c>
      <c r="F182" s="860"/>
      <c r="G182" s="860"/>
      <c r="H182" s="862"/>
      <c r="I182" s="860"/>
      <c r="J182" s="853"/>
      <c r="K182" s="853"/>
    </row>
    <row r="183" spans="1:11" ht="18.95" customHeight="1">
      <c r="A183" s="862"/>
      <c r="B183" s="636" t="str">
        <v>49</v>
      </c>
      <c r="C183" s="262" t="s">
        <v>169</v>
      </c>
      <c r="D183" s="7" t="str">
        <f>'Tab.G2.1-3'!$D$168</f>
        <v>[tys. zł/szt.]</v>
      </c>
      <c r="E183" s="150" t="str">
        <v/>
      </c>
      <c r="F183" s="860"/>
      <c r="G183" s="860"/>
      <c r="H183" s="862"/>
      <c r="I183" s="860"/>
      <c r="J183" s="853"/>
      <c r="K183" s="853"/>
    </row>
    <row r="184" spans="1:11" ht="18.95" customHeight="1">
      <c r="A184" s="862"/>
      <c r="B184" s="636" t="str">
        <v>50</v>
      </c>
      <c r="C184" s="262" t="s">
        <v>129</v>
      </c>
      <c r="D184" s="7" t="str">
        <f>'Tab.G2.1-3'!$D$168</f>
        <v>[tys. zł/szt.]</v>
      </c>
      <c r="E184" s="150" t="str">
        <v/>
      </c>
      <c r="F184" s="860"/>
      <c r="G184" s="860"/>
      <c r="H184" s="862"/>
      <c r="I184" s="860"/>
      <c r="J184" s="853"/>
      <c r="K184" s="853"/>
    </row>
    <row r="185" spans="1:11" ht="18.95" customHeight="1">
      <c r="A185" s="862"/>
      <c r="B185" s="637" t="str">
        <v>51</v>
      </c>
      <c r="C185" s="336" t="s">
        <v>170</v>
      </c>
      <c r="D185" s="8" t="str">
        <f>'Tab.G2.1-3'!$D$168</f>
        <v>[tys. zł/szt.]</v>
      </c>
      <c r="E185" s="151" t="str">
        <v/>
      </c>
      <c r="F185" s="860"/>
      <c r="G185" s="860"/>
      <c r="H185" s="862"/>
      <c r="I185" s="860"/>
      <c r="J185" s="853"/>
      <c r="K185" s="853"/>
    </row>
    <row r="186" spans="1:11" ht="18.95" customHeight="1">
      <c r="A186" s="862"/>
      <c r="B186" s="638" t="str">
        <v>52</v>
      </c>
      <c r="C186" s="13" t="s">
        <v>130</v>
      </c>
      <c r="D186" s="9" t="str">
        <f>'Tab.G2.1-3'!$D$168</f>
        <v>[tys. zł/szt.]</v>
      </c>
      <c r="E186" s="152" t="str">
        <v/>
      </c>
      <c r="F186" s="860"/>
      <c r="G186" s="860"/>
      <c r="H186" s="862"/>
      <c r="I186" s="860"/>
      <c r="J186" s="853"/>
      <c r="K186" s="853"/>
    </row>
    <row r="187" spans="1:11" ht="18.95" customHeight="1">
      <c r="A187" s="862"/>
      <c r="B187" s="635" t="str">
        <v>53</v>
      </c>
      <c r="C187" s="263" t="s">
        <v>33</v>
      </c>
      <c r="D187" s="6" t="str">
        <f>'Tab.G2.1-3'!$D$168</f>
        <v>[tys. zł/szt.]</v>
      </c>
      <c r="E187" s="149" t="str">
        <v/>
      </c>
      <c r="F187" s="860"/>
      <c r="G187" s="860"/>
      <c r="H187" s="862"/>
      <c r="I187" s="860"/>
      <c r="J187" s="853"/>
      <c r="K187" s="853"/>
    </row>
    <row r="188" spans="1:11" ht="18.95" customHeight="1">
      <c r="A188" s="862"/>
      <c r="B188" s="640" t="str">
        <v>54</v>
      </c>
      <c r="C188" s="266" t="s">
        <v>31</v>
      </c>
      <c r="D188" s="267" t="str">
        <f>'Tab.G2.1-3'!$D$168</f>
        <v>[tys. zł/szt.]</v>
      </c>
      <c r="E188" s="268" t="str">
        <v/>
      </c>
      <c r="F188" s="860"/>
      <c r="G188" s="860"/>
      <c r="H188" s="862"/>
      <c r="I188" s="860"/>
      <c r="J188" s="853"/>
      <c r="K188" s="853"/>
    </row>
    <row r="189" spans="1:11" ht="18.95" customHeight="1">
      <c r="A189" s="862"/>
      <c r="B189" s="638" t="str">
        <v>55</v>
      </c>
      <c r="C189" s="13" t="s">
        <v>131</v>
      </c>
      <c r="D189" s="9" t="str">
        <f>'Tab.G2.1-3'!$D$168</f>
        <v>[tys. zł/szt.]</v>
      </c>
      <c r="E189" s="152" t="str">
        <v/>
      </c>
      <c r="F189" s="860"/>
      <c r="G189" s="860"/>
      <c r="H189" s="862"/>
      <c r="I189" s="860"/>
      <c r="J189" s="853"/>
      <c r="K189" s="853"/>
    </row>
    <row r="190" spans="1:11" ht="18.95" customHeight="1">
      <c r="A190" s="862"/>
      <c r="B190" s="635" t="str">
        <v>56</v>
      </c>
      <c r="C190" s="263" t="s">
        <v>33</v>
      </c>
      <c r="D190" s="6" t="str">
        <f>'Tab.G2.1-3'!$D$168</f>
        <v>[tys. zł/szt.]</v>
      </c>
      <c r="E190" s="149" t="str">
        <v/>
      </c>
      <c r="F190" s="860"/>
      <c r="G190" s="860"/>
      <c r="H190" s="862"/>
      <c r="I190" s="860"/>
      <c r="J190" s="853"/>
      <c r="K190" s="853"/>
    </row>
    <row r="191" spans="1:11" ht="18.95" customHeight="1">
      <c r="A191" s="862"/>
      <c r="B191" s="640" t="str">
        <v>57</v>
      </c>
      <c r="C191" s="266" t="s">
        <v>31</v>
      </c>
      <c r="D191" s="267" t="str">
        <f>'Tab.G2.1-3'!$D$168</f>
        <v>[tys. zł/szt.]</v>
      </c>
      <c r="E191" s="268" t="str">
        <v/>
      </c>
      <c r="F191" s="860"/>
      <c r="G191" s="860"/>
      <c r="H191" s="862"/>
      <c r="I191" s="860"/>
      <c r="J191" s="853"/>
      <c r="K191" s="853"/>
    </row>
    <row r="192" spans="1:11" ht="18.95" customHeight="1" thickBot="1">
      <c r="A192" s="862"/>
      <c r="B192" s="643" t="str">
        <v>58</v>
      </c>
      <c r="C192" s="16" t="s">
        <v>132</v>
      </c>
      <c r="D192" s="17" t="str">
        <f>'Tab.G2.1-3'!$D$168</f>
        <v>[tys. zł/szt.]</v>
      </c>
      <c r="E192" s="154" t="str">
        <v/>
      </c>
      <c r="F192" s="860"/>
      <c r="G192" s="860"/>
      <c r="H192" s="862"/>
      <c r="I192" s="860"/>
      <c r="J192" s="853"/>
      <c r="K192" s="853"/>
    </row>
    <row r="193" spans="1:11" ht="15.75">
      <c r="A193" s="859"/>
      <c r="B193" s="862"/>
      <c r="C193" s="861"/>
      <c r="D193" s="871"/>
      <c r="E193" s="860"/>
      <c r="F193" s="860"/>
      <c r="G193" s="860"/>
      <c r="H193" s="862"/>
      <c r="I193" s="860"/>
      <c r="J193" s="853"/>
      <c r="K193" s="853"/>
    </row>
    <row r="194" spans="1:11" ht="15.75">
      <c r="A194" s="859"/>
      <c r="B194" s="862"/>
      <c r="C194" s="861"/>
      <c r="D194" s="871"/>
      <c r="E194" s="860"/>
      <c r="F194" s="860"/>
      <c r="G194" s="860"/>
      <c r="H194" s="862"/>
      <c r="I194" s="860"/>
      <c r="J194" s="853"/>
      <c r="K194" s="853"/>
    </row>
    <row r="195" spans="1:11" ht="15.75">
      <c r="A195" s="859"/>
      <c r="B195" s="862"/>
      <c r="C195" s="861"/>
      <c r="D195" s="871"/>
      <c r="E195" s="860"/>
      <c r="F195" s="860"/>
      <c r="G195" s="860"/>
      <c r="H195" s="862"/>
      <c r="I195" s="860"/>
      <c r="J195" s="853"/>
      <c r="K195" s="853"/>
    </row>
    <row r="196" spans="1:11" ht="15.75">
      <c r="A196" s="31"/>
      <c r="B196" s="139"/>
      <c r="C196" s="138"/>
      <c r="D196" s="140"/>
      <c r="E196" s="84"/>
      <c r="F196" s="84"/>
      <c r="G196" s="84"/>
      <c r="H196" s="139"/>
      <c r="I196" s="84"/>
    </row>
    <row r="197" spans="1:11" ht="15.75">
      <c r="A197" s="31"/>
      <c r="B197" s="139"/>
      <c r="C197" s="138"/>
      <c r="D197" s="140"/>
      <c r="E197" s="84"/>
      <c r="F197" s="84"/>
      <c r="G197" s="84"/>
      <c r="H197" s="139"/>
      <c r="I197" s="84"/>
    </row>
    <row r="198" spans="1:11" ht="15.75">
      <c r="A198" s="31"/>
      <c r="B198" s="139"/>
      <c r="C198" s="138"/>
      <c r="D198" s="140"/>
      <c r="E198" s="84"/>
      <c r="F198" s="84"/>
      <c r="G198" s="84"/>
      <c r="H198" s="139"/>
      <c r="I198" s="84"/>
    </row>
    <row r="199" spans="1:11" ht="15.75">
      <c r="A199" s="31"/>
      <c r="B199" s="139"/>
      <c r="C199" s="138"/>
      <c r="D199" s="140"/>
      <c r="E199" s="84"/>
      <c r="F199" s="84"/>
      <c r="G199" s="84"/>
      <c r="H199" s="139"/>
      <c r="I199" s="84"/>
    </row>
    <row r="200" spans="1:11" ht="15.75">
      <c r="A200" s="31"/>
      <c r="B200" s="139"/>
      <c r="C200" s="138"/>
      <c r="D200" s="140"/>
      <c r="E200" s="84"/>
      <c r="F200" s="84"/>
      <c r="G200" s="84"/>
      <c r="H200" s="139"/>
      <c r="I200" s="84"/>
    </row>
    <row r="201" spans="1:11" ht="15.75">
      <c r="A201" s="31"/>
      <c r="B201" s="139"/>
      <c r="C201" s="138"/>
      <c r="D201" s="140"/>
      <c r="E201" s="84"/>
      <c r="F201" s="84"/>
      <c r="G201" s="84"/>
      <c r="H201" s="139"/>
      <c r="I201" s="84"/>
    </row>
    <row r="202" spans="1:11" ht="15.75">
      <c r="A202" s="31"/>
      <c r="B202" s="139"/>
      <c r="C202" s="138"/>
      <c r="D202" s="140"/>
      <c r="E202" s="84"/>
      <c r="F202" s="84"/>
      <c r="G202" s="84"/>
      <c r="H202" s="139"/>
      <c r="I202" s="84"/>
    </row>
    <row r="203" spans="1:11" ht="15.75">
      <c r="A203" s="31"/>
      <c r="B203" s="139"/>
      <c r="C203" s="138"/>
      <c r="D203" s="140"/>
      <c r="E203" s="84"/>
      <c r="F203" s="84"/>
      <c r="G203" s="84"/>
      <c r="H203" s="139"/>
      <c r="I203" s="84"/>
    </row>
    <row r="204" spans="1:11">
      <c r="A204" s="139"/>
      <c r="B204" s="139"/>
      <c r="C204" s="138"/>
      <c r="D204" s="140"/>
      <c r="E204" s="84"/>
      <c r="F204" s="84"/>
      <c r="G204" s="84"/>
      <c r="H204" s="139"/>
      <c r="I204" s="84"/>
    </row>
    <row r="205" spans="1:11">
      <c r="A205" s="139"/>
      <c r="B205" s="139"/>
      <c r="C205" s="138"/>
      <c r="D205" s="140"/>
      <c r="E205" s="84"/>
      <c r="F205" s="84"/>
      <c r="G205" s="84"/>
      <c r="H205" s="139"/>
      <c r="I205" s="84"/>
    </row>
    <row r="206" spans="1:11">
      <c r="A206" s="139"/>
      <c r="B206" s="139"/>
      <c r="C206" s="138"/>
      <c r="D206" s="140"/>
      <c r="E206" s="84"/>
      <c r="F206" s="84"/>
      <c r="G206" s="84"/>
      <c r="H206" s="139"/>
      <c r="I206" s="84"/>
    </row>
    <row r="207" spans="1:11">
      <c r="A207" s="139"/>
      <c r="B207" s="139"/>
      <c r="C207" s="138"/>
      <c r="D207" s="140"/>
      <c r="E207" s="84"/>
      <c r="F207" s="84"/>
      <c r="G207" s="84"/>
      <c r="H207" s="139"/>
      <c r="I207" s="84"/>
    </row>
    <row r="208" spans="1:11">
      <c r="A208" s="139"/>
      <c r="B208" s="139"/>
      <c r="C208" s="138"/>
      <c r="D208" s="140"/>
      <c r="E208" s="84"/>
      <c r="F208" s="84"/>
      <c r="G208" s="84"/>
      <c r="H208" s="139"/>
      <c r="I208" s="84"/>
    </row>
    <row r="209" spans="1:9">
      <c r="A209" s="139"/>
      <c r="B209" s="139"/>
      <c r="C209" s="138"/>
      <c r="D209" s="140"/>
      <c r="E209" s="84"/>
      <c r="F209" s="84"/>
      <c r="G209" s="84"/>
      <c r="H209" s="139"/>
      <c r="I209" s="84"/>
    </row>
    <row r="210" spans="1:9">
      <c r="A210" s="139"/>
      <c r="B210" s="139"/>
      <c r="C210" s="138"/>
      <c r="D210" s="140"/>
      <c r="E210" s="84"/>
      <c r="F210" s="84"/>
      <c r="G210" s="84"/>
      <c r="H210" s="139"/>
      <c r="I210" s="84"/>
    </row>
    <row r="211" spans="1:9">
      <c r="A211" s="139"/>
      <c r="B211" s="139"/>
      <c r="C211" s="138"/>
      <c r="D211" s="140"/>
      <c r="E211" s="84"/>
      <c r="F211" s="84"/>
      <c r="G211" s="84"/>
      <c r="H211" s="139"/>
      <c r="I211" s="84"/>
    </row>
    <row r="212" spans="1:9">
      <c r="A212" s="139"/>
      <c r="B212" s="139"/>
      <c r="C212" s="138"/>
      <c r="D212" s="140"/>
      <c r="E212" s="84"/>
      <c r="F212" s="84"/>
      <c r="G212" s="84"/>
      <c r="H212" s="139"/>
      <c r="I212" s="84"/>
    </row>
    <row r="213" spans="1:9">
      <c r="A213" s="139"/>
      <c r="B213" s="139"/>
      <c r="C213" s="138"/>
      <c r="D213" s="140"/>
      <c r="E213" s="84"/>
      <c r="F213" s="84"/>
      <c r="G213" s="84"/>
      <c r="H213" s="139"/>
      <c r="I213" s="84"/>
    </row>
    <row r="214" spans="1:9">
      <c r="A214" s="139"/>
      <c r="B214" s="139"/>
      <c r="C214" s="138"/>
      <c r="D214" s="140"/>
      <c r="E214" s="84"/>
      <c r="F214" s="84"/>
      <c r="G214" s="84"/>
      <c r="H214" s="139"/>
      <c r="I214" s="84"/>
    </row>
    <row r="215" spans="1:9">
      <c r="A215" s="139"/>
      <c r="B215" s="139"/>
      <c r="C215" s="138"/>
      <c r="D215" s="140"/>
      <c r="E215" s="84"/>
      <c r="F215" s="84"/>
      <c r="G215" s="84"/>
      <c r="H215" s="139"/>
      <c r="I215" s="84"/>
    </row>
    <row r="216" spans="1:9">
      <c r="A216" s="139"/>
      <c r="B216" s="139"/>
      <c r="C216" s="138"/>
      <c r="D216" s="140"/>
      <c r="E216" s="84"/>
      <c r="F216" s="84"/>
      <c r="G216" s="84"/>
      <c r="H216" s="139"/>
      <c r="I216" s="84"/>
    </row>
    <row r="217" spans="1:9">
      <c r="A217" s="139"/>
      <c r="B217" s="139"/>
      <c r="C217" s="138"/>
      <c r="D217" s="140"/>
      <c r="E217" s="84"/>
      <c r="F217" s="84"/>
      <c r="G217" s="84"/>
      <c r="H217" s="139"/>
      <c r="I217" s="84"/>
    </row>
    <row r="218" spans="1:9">
      <c r="A218" s="139"/>
      <c r="B218" s="139"/>
      <c r="C218" s="138"/>
      <c r="D218" s="140"/>
      <c r="E218" s="84"/>
      <c r="F218" s="84"/>
      <c r="G218" s="84"/>
      <c r="H218" s="139"/>
      <c r="I218" s="84"/>
    </row>
    <row r="219" spans="1:9">
      <c r="A219" s="139"/>
      <c r="B219" s="139"/>
      <c r="C219" s="138"/>
      <c r="D219" s="140"/>
      <c r="E219" s="84"/>
      <c r="F219" s="84"/>
      <c r="G219" s="84"/>
      <c r="H219" s="139"/>
      <c r="I219" s="84"/>
    </row>
    <row r="220" spans="1:9">
      <c r="A220" s="139"/>
      <c r="B220" s="139"/>
      <c r="C220" s="138"/>
      <c r="D220" s="140"/>
      <c r="E220" s="84"/>
      <c r="F220" s="84"/>
      <c r="G220" s="84"/>
      <c r="H220" s="139"/>
      <c r="I220" s="84"/>
    </row>
    <row r="221" spans="1:9">
      <c r="A221" s="139"/>
      <c r="B221" s="139"/>
      <c r="C221" s="138"/>
      <c r="D221" s="140"/>
      <c r="E221" s="84"/>
      <c r="F221" s="84"/>
      <c r="G221" s="84"/>
      <c r="H221" s="139"/>
      <c r="I221" s="84"/>
    </row>
    <row r="222" spans="1:9">
      <c r="A222" s="139"/>
      <c r="B222" s="139"/>
      <c r="C222" s="138"/>
      <c r="D222" s="140"/>
      <c r="E222" s="84"/>
      <c r="F222" s="84"/>
      <c r="G222" s="84"/>
      <c r="H222" s="139"/>
      <c r="I222" s="84"/>
    </row>
    <row r="223" spans="1:9">
      <c r="A223" s="139"/>
      <c r="B223" s="139"/>
      <c r="C223" s="138"/>
      <c r="D223" s="140"/>
      <c r="E223" s="84"/>
      <c r="F223" s="84"/>
      <c r="G223" s="84"/>
      <c r="H223" s="139"/>
      <c r="I223" s="84"/>
    </row>
    <row r="224" spans="1:9">
      <c r="A224" s="139"/>
      <c r="B224" s="139"/>
      <c r="C224" s="138"/>
      <c r="D224" s="140"/>
      <c r="E224" s="84"/>
      <c r="F224" s="84"/>
      <c r="G224" s="84"/>
      <c r="H224" s="139"/>
      <c r="I224" s="84"/>
    </row>
    <row r="225" spans="1:9">
      <c r="A225" s="139"/>
      <c r="B225" s="139"/>
      <c r="C225" s="138"/>
      <c r="D225" s="140"/>
      <c r="E225" s="84"/>
      <c r="F225" s="84"/>
      <c r="G225" s="84"/>
      <c r="H225" s="139"/>
      <c r="I225" s="84"/>
    </row>
    <row r="226" spans="1:9">
      <c r="A226" s="139"/>
      <c r="B226" s="139"/>
      <c r="C226" s="138"/>
      <c r="D226" s="140"/>
      <c r="E226" s="84"/>
      <c r="F226" s="84"/>
      <c r="G226" s="84"/>
      <c r="H226" s="139"/>
      <c r="I226" s="84"/>
    </row>
    <row r="227" spans="1:9">
      <c r="A227" s="139"/>
      <c r="B227" s="139"/>
      <c r="C227" s="138"/>
      <c r="D227" s="140"/>
      <c r="E227" s="84"/>
      <c r="F227" s="84"/>
      <c r="G227" s="84"/>
      <c r="H227" s="139"/>
      <c r="I227" s="84"/>
    </row>
    <row r="228" spans="1:9">
      <c r="A228" s="139"/>
      <c r="B228" s="139"/>
      <c r="C228" s="138"/>
      <c r="D228" s="140"/>
      <c r="E228" s="84"/>
      <c r="F228" s="84"/>
      <c r="G228" s="84"/>
      <c r="H228" s="139"/>
      <c r="I228" s="84"/>
    </row>
    <row r="229" spans="1:9">
      <c r="A229" s="139"/>
      <c r="B229" s="139"/>
      <c r="C229" s="138"/>
      <c r="D229" s="140"/>
      <c r="E229" s="84"/>
      <c r="F229" s="84"/>
      <c r="G229" s="84"/>
      <c r="H229" s="139"/>
      <c r="I229" s="84"/>
    </row>
    <row r="230" spans="1:9">
      <c r="A230" s="139"/>
      <c r="B230" s="139"/>
      <c r="C230" s="138"/>
      <c r="D230" s="140"/>
      <c r="E230" s="84"/>
      <c r="F230" s="84"/>
      <c r="G230" s="84"/>
      <c r="H230" s="139"/>
      <c r="I230" s="84"/>
    </row>
    <row r="231" spans="1:9">
      <c r="A231" s="139"/>
      <c r="B231" s="139"/>
      <c r="C231" s="138"/>
      <c r="D231" s="140"/>
      <c r="E231" s="84"/>
      <c r="F231" s="84"/>
      <c r="G231" s="84"/>
      <c r="H231" s="139"/>
      <c r="I231" s="84"/>
    </row>
    <row r="232" spans="1:9">
      <c r="A232" s="139"/>
      <c r="B232" s="139"/>
      <c r="C232" s="138"/>
      <c r="D232" s="140"/>
      <c r="E232" s="84"/>
      <c r="F232" s="84"/>
      <c r="G232" s="84"/>
      <c r="H232" s="139"/>
      <c r="I232" s="84"/>
    </row>
    <row r="233" spans="1:9">
      <c r="A233" s="139"/>
      <c r="B233" s="139"/>
      <c r="C233" s="138"/>
      <c r="D233" s="140"/>
      <c r="E233" s="84"/>
      <c r="F233" s="84"/>
      <c r="G233" s="84"/>
      <c r="H233" s="139"/>
      <c r="I233" s="84"/>
    </row>
    <row r="234" spans="1:9">
      <c r="A234" s="139"/>
      <c r="B234" s="139"/>
      <c r="C234" s="138"/>
      <c r="D234" s="140"/>
      <c r="E234" s="84"/>
      <c r="F234" s="84"/>
      <c r="G234" s="84"/>
      <c r="H234" s="139"/>
      <c r="I234" s="84"/>
    </row>
    <row r="235" spans="1:9">
      <c r="A235" s="139"/>
      <c r="B235" s="139"/>
      <c r="C235" s="138"/>
      <c r="D235" s="140"/>
      <c r="E235" s="84"/>
      <c r="F235" s="84"/>
      <c r="G235" s="84"/>
      <c r="H235" s="139"/>
      <c r="I235" s="84"/>
    </row>
    <row r="236" spans="1:9">
      <c r="A236" s="139"/>
      <c r="B236" s="139"/>
      <c r="C236" s="138"/>
      <c r="D236" s="140"/>
      <c r="E236" s="84"/>
      <c r="F236" s="84"/>
      <c r="G236" s="84"/>
      <c r="H236" s="139"/>
      <c r="I236" s="84"/>
    </row>
    <row r="237" spans="1:9">
      <c r="A237" s="139"/>
      <c r="B237" s="139"/>
      <c r="C237" s="138"/>
      <c r="D237" s="140"/>
      <c r="E237" s="84"/>
      <c r="F237" s="84"/>
      <c r="G237" s="84"/>
      <c r="H237" s="139"/>
      <c r="I237" s="84"/>
    </row>
    <row r="238" spans="1:9">
      <c r="A238" s="139"/>
      <c r="B238" s="139"/>
      <c r="C238" s="138"/>
      <c r="D238" s="140"/>
      <c r="E238" s="84"/>
      <c r="F238" s="84"/>
      <c r="G238" s="84"/>
      <c r="H238" s="139"/>
      <c r="I238" s="84"/>
    </row>
    <row r="239" spans="1:9">
      <c r="A239" s="139"/>
      <c r="B239" s="139"/>
      <c r="C239" s="138"/>
      <c r="D239" s="140"/>
      <c r="E239" s="84"/>
      <c r="F239" s="84"/>
      <c r="G239" s="84"/>
      <c r="H239" s="139"/>
      <c r="I239" s="84"/>
    </row>
    <row r="240" spans="1:9">
      <c r="A240" s="139"/>
      <c r="B240" s="139"/>
      <c r="C240" s="138"/>
      <c r="D240" s="140"/>
      <c r="E240" s="84"/>
      <c r="F240" s="84"/>
      <c r="G240" s="84"/>
      <c r="H240" s="139"/>
      <c r="I240" s="84"/>
    </row>
    <row r="241" spans="1:9">
      <c r="A241" s="139"/>
      <c r="B241" s="139"/>
      <c r="C241" s="138"/>
      <c r="D241" s="140"/>
      <c r="E241" s="84"/>
      <c r="F241" s="84"/>
      <c r="G241" s="84"/>
      <c r="H241" s="139"/>
      <c r="I241" s="84"/>
    </row>
    <row r="242" spans="1:9">
      <c r="A242" s="139"/>
      <c r="B242" s="139"/>
      <c r="C242" s="138"/>
      <c r="D242" s="140"/>
      <c r="E242" s="84"/>
      <c r="F242" s="84"/>
      <c r="G242" s="84"/>
      <c r="H242" s="139"/>
      <c r="I242" s="84"/>
    </row>
    <row r="243" spans="1:9">
      <c r="A243" s="139"/>
      <c r="B243" s="139"/>
      <c r="C243" s="138"/>
      <c r="D243" s="140"/>
      <c r="E243" s="84"/>
      <c r="F243" s="84"/>
      <c r="G243" s="84"/>
      <c r="H243" s="139"/>
      <c r="I243" s="84"/>
    </row>
    <row r="244" spans="1:9">
      <c r="A244" s="139"/>
      <c r="B244" s="139"/>
      <c r="C244" s="138"/>
      <c r="D244" s="140"/>
      <c r="E244" s="84"/>
      <c r="F244" s="84"/>
      <c r="G244" s="84"/>
      <c r="H244" s="139"/>
      <c r="I244" s="84"/>
    </row>
    <row r="245" spans="1:9">
      <c r="A245" s="139"/>
      <c r="B245" s="139"/>
      <c r="C245" s="138"/>
      <c r="D245" s="140"/>
      <c r="E245" s="84"/>
      <c r="F245" s="84"/>
      <c r="G245" s="84"/>
      <c r="H245" s="139"/>
      <c r="I245" s="84"/>
    </row>
    <row r="246" spans="1:9">
      <c r="A246" s="139"/>
      <c r="B246" s="139"/>
      <c r="C246" s="138"/>
      <c r="D246" s="140"/>
      <c r="E246" s="84"/>
      <c r="F246" s="84"/>
      <c r="G246" s="84"/>
      <c r="H246" s="139"/>
      <c r="I246" s="84"/>
    </row>
    <row r="247" spans="1:9">
      <c r="A247" s="139"/>
      <c r="B247" s="139"/>
      <c r="C247" s="138"/>
      <c r="D247" s="140"/>
      <c r="E247" s="84"/>
      <c r="F247" s="84"/>
      <c r="G247" s="84"/>
      <c r="H247" s="139"/>
      <c r="I247" s="84"/>
    </row>
    <row r="248" spans="1:9">
      <c r="A248" s="139"/>
      <c r="B248" s="139"/>
      <c r="C248" s="138"/>
      <c r="D248" s="140"/>
      <c r="E248" s="84"/>
      <c r="F248" s="84"/>
      <c r="G248" s="84"/>
      <c r="H248" s="139"/>
      <c r="I248" s="84"/>
    </row>
    <row r="249" spans="1:9">
      <c r="A249" s="139"/>
      <c r="B249" s="139"/>
      <c r="C249" s="138"/>
      <c r="D249" s="140"/>
      <c r="E249" s="84"/>
      <c r="F249" s="84"/>
      <c r="G249" s="84"/>
      <c r="H249" s="139"/>
      <c r="I249" s="84"/>
    </row>
    <row r="250" spans="1:9">
      <c r="A250" s="139"/>
      <c r="B250" s="139"/>
      <c r="C250" s="138"/>
      <c r="D250" s="140"/>
      <c r="E250" s="84"/>
      <c r="F250" s="84"/>
      <c r="G250" s="84"/>
      <c r="H250" s="139"/>
      <c r="I250" s="84"/>
    </row>
    <row r="251" spans="1:9">
      <c r="A251" s="139"/>
      <c r="B251" s="139"/>
      <c r="C251" s="138"/>
      <c r="D251" s="140"/>
      <c r="E251" s="84"/>
      <c r="F251" s="84"/>
      <c r="G251" s="84"/>
      <c r="H251" s="139"/>
      <c r="I251" s="84"/>
    </row>
    <row r="252" spans="1:9">
      <c r="A252" s="139"/>
      <c r="B252" s="139"/>
      <c r="C252" s="138"/>
      <c r="D252" s="140"/>
      <c r="E252" s="84"/>
      <c r="F252" s="84"/>
      <c r="G252" s="84"/>
      <c r="H252" s="139"/>
      <c r="I252" s="84"/>
    </row>
    <row r="253" spans="1:9">
      <c r="A253" s="139"/>
      <c r="B253" s="139"/>
      <c r="C253" s="138"/>
      <c r="D253" s="140"/>
      <c r="E253" s="84"/>
      <c r="F253" s="84"/>
      <c r="G253" s="84"/>
      <c r="H253" s="139"/>
      <c r="I253" s="84"/>
    </row>
    <row r="254" spans="1:9">
      <c r="A254" s="139"/>
      <c r="B254" s="139"/>
      <c r="C254" s="138"/>
      <c r="D254" s="140"/>
      <c r="E254" s="84"/>
      <c r="F254" s="84"/>
      <c r="G254" s="84"/>
      <c r="H254" s="139"/>
      <c r="I254" s="84"/>
    </row>
    <row r="255" spans="1:9">
      <c r="A255" s="139"/>
      <c r="B255" s="139"/>
      <c r="C255" s="138"/>
      <c r="D255" s="140"/>
      <c r="E255" s="84"/>
      <c r="F255" s="84"/>
      <c r="G255" s="84"/>
      <c r="H255" s="139"/>
      <c r="I255" s="84"/>
    </row>
    <row r="256" spans="1:9">
      <c r="A256" s="139"/>
      <c r="B256" s="139"/>
      <c r="C256" s="138"/>
      <c r="D256" s="140"/>
      <c r="E256" s="84"/>
      <c r="F256" s="84"/>
      <c r="G256" s="84"/>
      <c r="H256" s="139"/>
      <c r="I256" s="84"/>
    </row>
    <row r="257" spans="1:9">
      <c r="A257" s="139"/>
      <c r="B257" s="139"/>
      <c r="C257" s="138"/>
      <c r="D257" s="140"/>
      <c r="E257" s="84"/>
      <c r="F257" s="84"/>
      <c r="G257" s="84"/>
      <c r="H257" s="139"/>
      <c r="I257" s="84"/>
    </row>
    <row r="258" spans="1:9">
      <c r="A258" s="139"/>
      <c r="B258" s="139"/>
      <c r="C258" s="138"/>
      <c r="D258" s="140"/>
      <c r="E258" s="84"/>
      <c r="F258" s="84"/>
      <c r="G258" s="84"/>
      <c r="H258" s="139"/>
      <c r="I258" s="84"/>
    </row>
    <row r="259" spans="1:9">
      <c r="A259" s="139"/>
      <c r="B259" s="139"/>
      <c r="C259" s="138"/>
      <c r="D259" s="140"/>
      <c r="E259" s="84"/>
      <c r="F259" s="84"/>
      <c r="G259" s="84"/>
      <c r="H259" s="139"/>
      <c r="I259" s="84"/>
    </row>
    <row r="260" spans="1:9">
      <c r="A260" s="139"/>
      <c r="B260" s="139"/>
      <c r="C260" s="138"/>
      <c r="D260" s="140"/>
      <c r="E260" s="84"/>
      <c r="F260" s="84"/>
      <c r="G260" s="84"/>
      <c r="H260" s="139"/>
      <c r="I260" s="84"/>
    </row>
    <row r="261" spans="1:9">
      <c r="A261" s="139"/>
      <c r="B261" s="139"/>
      <c r="C261" s="138"/>
      <c r="D261" s="140"/>
      <c r="E261" s="84"/>
      <c r="F261" s="84"/>
      <c r="G261" s="84"/>
      <c r="H261" s="139"/>
      <c r="I261" s="84"/>
    </row>
    <row r="262" spans="1:9">
      <c r="A262" s="139"/>
      <c r="B262" s="139"/>
      <c r="C262" s="138"/>
      <c r="D262" s="140"/>
      <c r="E262" s="84"/>
      <c r="F262" s="84"/>
      <c r="G262" s="84"/>
      <c r="H262" s="139"/>
      <c r="I262" s="84"/>
    </row>
    <row r="263" spans="1:9">
      <c r="A263" s="139"/>
      <c r="B263" s="139"/>
      <c r="C263" s="138"/>
      <c r="D263" s="140"/>
      <c r="E263" s="84"/>
      <c r="F263" s="84"/>
      <c r="G263" s="84"/>
      <c r="H263" s="139"/>
      <c r="I263" s="84"/>
    </row>
    <row r="264" spans="1:9">
      <c r="A264" s="139"/>
      <c r="B264" s="139"/>
      <c r="C264" s="138"/>
      <c r="D264" s="140"/>
      <c r="E264" s="84"/>
      <c r="F264" s="84"/>
      <c r="G264" s="84"/>
      <c r="H264" s="139"/>
      <c r="I264" s="84"/>
    </row>
    <row r="265" spans="1:9">
      <c r="A265" s="139"/>
      <c r="B265" s="139"/>
      <c r="C265" s="138"/>
      <c r="D265" s="140"/>
      <c r="E265" s="84"/>
      <c r="F265" s="84"/>
      <c r="G265" s="84"/>
      <c r="H265" s="139"/>
      <c r="I265" s="84"/>
    </row>
    <row r="266" spans="1:9">
      <c r="A266" s="139"/>
      <c r="B266" s="139"/>
      <c r="C266" s="138"/>
      <c r="D266" s="140"/>
      <c r="E266" s="84"/>
      <c r="F266" s="84"/>
      <c r="G266" s="84"/>
      <c r="H266" s="139"/>
      <c r="I266" s="84"/>
    </row>
    <row r="267" spans="1:9">
      <c r="A267" s="139"/>
      <c r="B267" s="139"/>
      <c r="C267" s="138"/>
      <c r="D267" s="140"/>
      <c r="E267" s="84"/>
      <c r="F267" s="84"/>
      <c r="G267" s="84"/>
      <c r="H267" s="139"/>
      <c r="I267" s="84"/>
    </row>
    <row r="268" spans="1:9">
      <c r="A268" s="139"/>
      <c r="B268" s="139"/>
      <c r="C268" s="138"/>
      <c r="D268" s="140"/>
      <c r="E268" s="84"/>
      <c r="F268" s="84"/>
      <c r="G268" s="84"/>
      <c r="H268" s="139"/>
      <c r="I268" s="84"/>
    </row>
    <row r="269" spans="1:9">
      <c r="A269" s="139"/>
      <c r="B269" s="139"/>
      <c r="C269" s="138"/>
      <c r="D269" s="140"/>
      <c r="E269" s="84"/>
      <c r="F269" s="84"/>
      <c r="G269" s="84"/>
      <c r="H269" s="139"/>
      <c r="I269" s="84"/>
    </row>
    <row r="270" spans="1:9">
      <c r="A270" s="139"/>
      <c r="B270" s="139"/>
      <c r="C270" s="138"/>
      <c r="D270" s="140"/>
      <c r="E270" s="84"/>
      <c r="F270" s="84"/>
      <c r="G270" s="84"/>
      <c r="H270" s="139"/>
      <c r="I270" s="84"/>
    </row>
    <row r="271" spans="1:9">
      <c r="A271" s="139"/>
      <c r="B271" s="139"/>
      <c r="C271" s="138"/>
      <c r="D271" s="140"/>
      <c r="E271" s="84"/>
      <c r="F271" s="84"/>
      <c r="G271" s="84"/>
      <c r="H271" s="139"/>
      <c r="I271" s="84"/>
    </row>
    <row r="272" spans="1:9">
      <c r="A272" s="139"/>
      <c r="B272" s="139"/>
      <c r="C272" s="138"/>
      <c r="D272" s="140"/>
      <c r="E272" s="84"/>
      <c r="F272" s="84"/>
      <c r="G272" s="84"/>
      <c r="H272" s="139"/>
      <c r="I272" s="84"/>
    </row>
    <row r="273" spans="1:9">
      <c r="A273" s="139"/>
      <c r="B273" s="139"/>
      <c r="C273" s="138"/>
      <c r="D273" s="140"/>
      <c r="E273" s="84"/>
      <c r="F273" s="84"/>
      <c r="G273" s="84"/>
      <c r="H273" s="139"/>
      <c r="I273" s="84"/>
    </row>
    <row r="274" spans="1:9">
      <c r="A274" s="139"/>
      <c r="B274" s="139"/>
      <c r="C274" s="138"/>
      <c r="D274" s="140"/>
      <c r="E274" s="84"/>
      <c r="F274" s="84"/>
      <c r="G274" s="84"/>
      <c r="H274" s="139"/>
      <c r="I274" s="84"/>
    </row>
    <row r="275" spans="1:9">
      <c r="A275" s="139"/>
      <c r="B275" s="139"/>
      <c r="C275" s="138"/>
      <c r="D275" s="140"/>
      <c r="E275" s="84"/>
      <c r="F275" s="84"/>
      <c r="G275" s="84"/>
      <c r="H275" s="139"/>
      <c r="I275" s="84"/>
    </row>
    <row r="276" spans="1:9">
      <c r="A276" s="139"/>
      <c r="B276" s="139"/>
      <c r="C276" s="138"/>
      <c r="D276" s="140"/>
      <c r="E276" s="84"/>
      <c r="F276" s="84"/>
      <c r="G276" s="84"/>
      <c r="H276" s="139"/>
      <c r="I276" s="84"/>
    </row>
    <row r="277" spans="1:9">
      <c r="A277" s="139"/>
      <c r="B277" s="139"/>
      <c r="C277" s="138"/>
      <c r="D277" s="140"/>
      <c r="E277" s="84"/>
      <c r="F277" s="84"/>
      <c r="G277" s="84"/>
      <c r="H277" s="139"/>
      <c r="I277" s="84"/>
    </row>
    <row r="278" spans="1:9">
      <c r="A278" s="139"/>
      <c r="B278" s="139"/>
      <c r="C278" s="138"/>
      <c r="D278" s="140"/>
      <c r="E278" s="84"/>
      <c r="F278" s="84"/>
      <c r="G278" s="84"/>
      <c r="H278" s="139"/>
      <c r="I278" s="84"/>
    </row>
    <row r="279" spans="1:9">
      <c r="A279" s="139"/>
      <c r="B279" s="139"/>
      <c r="C279" s="138"/>
      <c r="D279" s="140"/>
      <c r="E279" s="84"/>
      <c r="F279" s="84"/>
      <c r="G279" s="84"/>
      <c r="H279" s="139"/>
      <c r="I279" s="84"/>
    </row>
    <row r="280" spans="1:9">
      <c r="A280" s="139"/>
      <c r="B280" s="139"/>
      <c r="C280" s="138"/>
      <c r="D280" s="140"/>
      <c r="E280" s="84"/>
      <c r="F280" s="84"/>
      <c r="G280" s="84"/>
      <c r="H280" s="139"/>
      <c r="I280" s="84"/>
    </row>
    <row r="281" spans="1:9">
      <c r="A281" s="139"/>
      <c r="B281" s="139"/>
      <c r="C281" s="138"/>
      <c r="D281" s="140"/>
      <c r="E281" s="84"/>
      <c r="F281" s="84"/>
      <c r="G281" s="84"/>
      <c r="H281" s="139"/>
      <c r="I281" s="84"/>
    </row>
    <row r="282" spans="1:9">
      <c r="A282" s="139"/>
      <c r="B282" s="139"/>
      <c r="C282" s="138"/>
      <c r="D282" s="140"/>
      <c r="E282" s="84"/>
      <c r="F282" s="84"/>
      <c r="G282" s="84"/>
      <c r="H282" s="139"/>
      <c r="I282" s="84"/>
    </row>
    <row r="283" spans="1:9">
      <c r="A283" s="139"/>
      <c r="B283" s="139"/>
      <c r="C283" s="138"/>
      <c r="D283" s="140"/>
      <c r="E283" s="84"/>
      <c r="F283" s="84"/>
      <c r="G283" s="84"/>
      <c r="H283" s="139"/>
      <c r="I283" s="84"/>
    </row>
    <row r="284" spans="1:9">
      <c r="A284" s="139"/>
      <c r="B284" s="139"/>
      <c r="C284" s="138"/>
      <c r="D284" s="140"/>
      <c r="E284" s="84"/>
      <c r="F284" s="84"/>
      <c r="G284" s="84"/>
      <c r="H284" s="139"/>
      <c r="I284" s="84"/>
    </row>
    <row r="285" spans="1:9">
      <c r="A285" s="139"/>
      <c r="B285" s="139"/>
      <c r="C285" s="138"/>
      <c r="D285" s="140"/>
      <c r="E285" s="84"/>
      <c r="F285" s="84"/>
      <c r="G285" s="84"/>
      <c r="H285" s="139"/>
      <c r="I285" s="84"/>
    </row>
    <row r="286" spans="1:9">
      <c r="A286" s="139"/>
      <c r="B286" s="139"/>
      <c r="C286" s="138"/>
      <c r="D286" s="140"/>
      <c r="E286" s="84"/>
      <c r="F286" s="84"/>
      <c r="G286" s="84"/>
      <c r="H286" s="139"/>
      <c r="I286" s="84"/>
    </row>
    <row r="287" spans="1:9">
      <c r="A287" s="139"/>
      <c r="B287" s="139"/>
      <c r="C287" s="138"/>
      <c r="D287" s="140"/>
      <c r="E287" s="84"/>
      <c r="F287" s="84"/>
      <c r="G287" s="84"/>
      <c r="H287" s="139"/>
      <c r="I287" s="84"/>
    </row>
    <row r="288" spans="1:9">
      <c r="A288" s="139"/>
      <c r="B288" s="139"/>
      <c r="C288" s="138"/>
      <c r="D288" s="140"/>
      <c r="E288" s="84"/>
      <c r="F288" s="84"/>
      <c r="G288" s="84"/>
      <c r="H288" s="139"/>
      <c r="I288" s="84"/>
    </row>
    <row r="289" spans="1:9">
      <c r="A289" s="139"/>
      <c r="B289" s="139"/>
      <c r="C289" s="138"/>
      <c r="D289" s="140"/>
      <c r="E289" s="84"/>
      <c r="F289" s="84"/>
      <c r="G289" s="84"/>
      <c r="H289" s="139"/>
      <c r="I289" s="84"/>
    </row>
    <row r="290" spans="1:9">
      <c r="A290" s="139"/>
      <c r="B290" s="139"/>
      <c r="C290" s="138"/>
      <c r="D290" s="140"/>
      <c r="E290" s="84"/>
      <c r="F290" s="84"/>
      <c r="G290" s="84"/>
      <c r="H290" s="139"/>
      <c r="I290" s="84"/>
    </row>
    <row r="291" spans="1:9">
      <c r="A291" s="139"/>
      <c r="B291" s="139"/>
      <c r="C291" s="138"/>
      <c r="D291" s="140"/>
      <c r="E291" s="84"/>
      <c r="F291" s="84"/>
      <c r="G291" s="84"/>
      <c r="H291" s="139"/>
      <c r="I291" s="84"/>
    </row>
    <row r="292" spans="1:9">
      <c r="A292" s="139"/>
      <c r="B292" s="139"/>
      <c r="C292" s="138"/>
      <c r="D292" s="140"/>
      <c r="E292" s="84"/>
      <c r="F292" s="84"/>
      <c r="G292" s="84"/>
      <c r="H292" s="139"/>
      <c r="I292" s="84"/>
    </row>
    <row r="293" spans="1:9">
      <c r="A293" s="139"/>
      <c r="B293" s="139"/>
      <c r="C293" s="138"/>
      <c r="D293" s="140"/>
      <c r="E293" s="84"/>
      <c r="F293" s="84"/>
      <c r="G293" s="84"/>
      <c r="H293" s="139"/>
      <c r="I293" s="84"/>
    </row>
    <row r="294" spans="1:9">
      <c r="A294" s="139"/>
      <c r="B294" s="139"/>
      <c r="C294" s="138"/>
      <c r="D294" s="140"/>
      <c r="E294" s="84"/>
      <c r="F294" s="84"/>
      <c r="G294" s="84"/>
      <c r="H294" s="139"/>
      <c r="I294" s="84"/>
    </row>
    <row r="295" spans="1:9">
      <c r="A295" s="139"/>
      <c r="B295" s="139"/>
      <c r="C295" s="138"/>
      <c r="D295" s="140"/>
      <c r="E295" s="84"/>
      <c r="F295" s="84"/>
      <c r="G295" s="84"/>
      <c r="H295" s="139"/>
      <c r="I295" s="84"/>
    </row>
    <row r="296" spans="1:9">
      <c r="A296" s="139"/>
      <c r="B296" s="139"/>
      <c r="C296" s="138"/>
      <c r="D296" s="140"/>
      <c r="E296" s="84"/>
      <c r="F296" s="84"/>
      <c r="G296" s="84"/>
      <c r="H296" s="139"/>
      <c r="I296" s="84"/>
    </row>
    <row r="297" spans="1:9">
      <c r="A297" s="139"/>
      <c r="B297" s="139"/>
      <c r="C297" s="138"/>
      <c r="D297" s="140"/>
      <c r="E297" s="84"/>
      <c r="F297" s="84"/>
      <c r="G297" s="84"/>
      <c r="H297" s="139"/>
      <c r="I297" s="84"/>
    </row>
    <row r="298" spans="1:9">
      <c r="A298" s="139"/>
      <c r="B298" s="139"/>
      <c r="C298" s="138"/>
      <c r="D298" s="140"/>
      <c r="E298" s="84"/>
      <c r="F298" s="84"/>
      <c r="G298" s="84"/>
      <c r="H298" s="139"/>
      <c r="I298" s="84"/>
    </row>
    <row r="299" spans="1:9">
      <c r="A299" s="139"/>
      <c r="B299" s="139"/>
      <c r="C299" s="138"/>
      <c r="D299" s="140"/>
      <c r="E299" s="84"/>
      <c r="F299" s="84"/>
      <c r="G299" s="84"/>
      <c r="H299" s="139"/>
      <c r="I299" s="84"/>
    </row>
    <row r="300" spans="1:9">
      <c r="A300" s="139"/>
      <c r="B300" s="139"/>
      <c r="C300" s="138"/>
      <c r="D300" s="140"/>
      <c r="E300" s="84"/>
      <c r="F300" s="84"/>
      <c r="G300" s="84"/>
      <c r="H300" s="139"/>
      <c r="I300" s="84"/>
    </row>
    <row r="301" spans="1:9">
      <c r="A301" s="139"/>
      <c r="B301" s="139"/>
      <c r="C301" s="138"/>
      <c r="D301" s="140"/>
      <c r="E301" s="84"/>
      <c r="F301" s="84"/>
      <c r="G301" s="84"/>
      <c r="H301" s="139"/>
      <c r="I301" s="84"/>
    </row>
    <row r="302" spans="1:9">
      <c r="A302" s="139"/>
      <c r="B302" s="139"/>
      <c r="C302" s="138"/>
      <c r="D302" s="140"/>
      <c r="E302" s="84"/>
      <c r="F302" s="84"/>
      <c r="G302" s="84"/>
      <c r="H302" s="139"/>
      <c r="I302" s="84"/>
    </row>
    <row r="303" spans="1:9">
      <c r="A303" s="139"/>
      <c r="B303" s="139"/>
      <c r="C303" s="138"/>
      <c r="D303" s="140"/>
      <c r="E303" s="84"/>
      <c r="F303" s="84"/>
      <c r="G303" s="84"/>
      <c r="H303" s="139"/>
      <c r="I303" s="84"/>
    </row>
    <row r="304" spans="1:9">
      <c r="A304" s="139"/>
      <c r="B304" s="139"/>
      <c r="C304" s="138"/>
      <c r="D304" s="140"/>
      <c r="E304" s="84"/>
      <c r="F304" s="84"/>
      <c r="G304" s="84"/>
      <c r="H304" s="139"/>
      <c r="I304" s="84"/>
    </row>
    <row r="305" spans="1:9">
      <c r="A305" s="139"/>
      <c r="B305" s="139"/>
      <c r="C305" s="138"/>
      <c r="D305" s="140"/>
      <c r="E305" s="84"/>
      <c r="F305" s="84"/>
      <c r="G305" s="84"/>
      <c r="H305" s="139"/>
      <c r="I305" s="84"/>
    </row>
    <row r="306" spans="1:9">
      <c r="A306" s="139"/>
      <c r="B306" s="139"/>
      <c r="C306" s="138"/>
      <c r="D306" s="140"/>
      <c r="E306" s="84"/>
      <c r="F306" s="84"/>
      <c r="G306" s="84"/>
      <c r="H306" s="139"/>
      <c r="I306" s="84"/>
    </row>
    <row r="307" spans="1:9">
      <c r="A307" s="139"/>
      <c r="B307" s="139"/>
      <c r="C307" s="138"/>
      <c r="D307" s="140"/>
      <c r="E307" s="84"/>
      <c r="F307" s="84"/>
      <c r="G307" s="84"/>
      <c r="H307" s="139"/>
      <c r="I307" s="84"/>
    </row>
    <row r="308" spans="1:9">
      <c r="A308" s="139"/>
      <c r="B308" s="139"/>
      <c r="C308" s="138"/>
      <c r="D308" s="140"/>
      <c r="E308" s="84"/>
      <c r="F308" s="84"/>
      <c r="G308" s="84"/>
      <c r="H308" s="139"/>
      <c r="I308" s="84"/>
    </row>
    <row r="309" spans="1:9">
      <c r="A309" s="139"/>
      <c r="B309" s="139"/>
      <c r="C309" s="138"/>
      <c r="D309" s="140"/>
      <c r="E309" s="84"/>
      <c r="F309" s="84"/>
      <c r="G309" s="84"/>
      <c r="H309" s="139"/>
      <c r="I309" s="84"/>
    </row>
    <row r="310" spans="1:9">
      <c r="A310" s="139"/>
      <c r="B310" s="139"/>
      <c r="C310" s="138"/>
      <c r="D310" s="140"/>
      <c r="E310" s="84"/>
      <c r="F310" s="84"/>
      <c r="G310" s="84"/>
      <c r="H310" s="139"/>
      <c r="I310" s="84"/>
    </row>
    <row r="311" spans="1:9">
      <c r="A311" s="139"/>
      <c r="B311" s="139"/>
      <c r="C311" s="138"/>
      <c r="D311" s="140"/>
      <c r="E311" s="84"/>
      <c r="F311" s="84"/>
      <c r="G311" s="84"/>
      <c r="H311" s="139"/>
      <c r="I311" s="84"/>
    </row>
    <row r="312" spans="1:9">
      <c r="A312" s="139"/>
      <c r="B312" s="139"/>
      <c r="C312" s="138"/>
      <c r="D312" s="140"/>
      <c r="E312" s="84"/>
      <c r="F312" s="84"/>
      <c r="G312" s="84"/>
      <c r="H312" s="139"/>
      <c r="I312" s="84"/>
    </row>
    <row r="313" spans="1:9">
      <c r="A313" s="139"/>
      <c r="B313" s="139"/>
      <c r="C313" s="138"/>
      <c r="D313" s="140"/>
      <c r="E313" s="84"/>
      <c r="F313" s="84"/>
      <c r="G313" s="84"/>
      <c r="H313" s="139"/>
      <c r="I313" s="84"/>
    </row>
    <row r="314" spans="1:9">
      <c r="A314" s="139"/>
      <c r="B314" s="139"/>
      <c r="C314" s="138"/>
      <c r="D314" s="140"/>
      <c r="E314" s="84"/>
      <c r="F314" s="84"/>
      <c r="G314" s="84"/>
      <c r="H314" s="139"/>
      <c r="I314" s="84"/>
    </row>
    <row r="315" spans="1:9">
      <c r="A315" s="139"/>
      <c r="B315" s="139"/>
      <c r="C315" s="138"/>
      <c r="D315" s="140"/>
      <c r="E315" s="84"/>
      <c r="F315" s="84"/>
      <c r="G315" s="84"/>
      <c r="H315" s="139"/>
      <c r="I315" s="84"/>
    </row>
    <row r="316" spans="1:9">
      <c r="A316" s="139"/>
      <c r="B316" s="139"/>
      <c r="C316" s="138"/>
      <c r="D316" s="140"/>
      <c r="E316" s="84"/>
      <c r="F316" s="84"/>
      <c r="G316" s="84"/>
      <c r="H316" s="139"/>
      <c r="I316" s="84"/>
    </row>
    <row r="317" spans="1:9">
      <c r="A317" s="139"/>
      <c r="B317" s="139"/>
      <c r="C317" s="138"/>
      <c r="D317" s="140"/>
      <c r="E317" s="84"/>
      <c r="F317" s="84"/>
      <c r="G317" s="84"/>
      <c r="H317" s="139"/>
      <c r="I317" s="84"/>
    </row>
    <row r="318" spans="1:9">
      <c r="A318" s="139"/>
      <c r="B318" s="139"/>
      <c r="C318" s="138"/>
      <c r="D318" s="140"/>
      <c r="E318" s="84"/>
      <c r="F318" s="84"/>
      <c r="G318" s="84"/>
      <c r="H318" s="139"/>
      <c r="I318" s="84"/>
    </row>
    <row r="319" spans="1:9">
      <c r="A319" s="139"/>
      <c r="B319" s="139"/>
      <c r="C319" s="138"/>
      <c r="D319" s="140"/>
      <c r="E319" s="84"/>
      <c r="F319" s="84"/>
      <c r="G319" s="84"/>
      <c r="H319" s="139"/>
      <c r="I319" s="84"/>
    </row>
    <row r="320" spans="1:9">
      <c r="A320" s="139"/>
      <c r="B320" s="139"/>
      <c r="C320" s="138"/>
      <c r="D320" s="140"/>
      <c r="E320" s="84"/>
      <c r="F320" s="84"/>
      <c r="G320" s="84"/>
      <c r="H320" s="139"/>
      <c r="I320" s="84"/>
    </row>
    <row r="321" spans="1:9">
      <c r="A321" s="139"/>
      <c r="B321" s="139"/>
      <c r="C321" s="138"/>
      <c r="D321" s="140"/>
      <c r="E321" s="84"/>
      <c r="F321" s="84"/>
      <c r="G321" s="84"/>
      <c r="H321" s="139"/>
      <c r="I321" s="84"/>
    </row>
    <row r="322" spans="1:9">
      <c r="A322" s="139"/>
      <c r="B322" s="139"/>
      <c r="C322" s="138"/>
      <c r="D322" s="140"/>
      <c r="E322" s="84"/>
      <c r="F322" s="84"/>
      <c r="G322" s="84"/>
      <c r="H322" s="139"/>
      <c r="I322" s="84"/>
    </row>
    <row r="323" spans="1:9">
      <c r="A323" s="139"/>
      <c r="B323" s="139"/>
      <c r="C323" s="138"/>
      <c r="D323" s="140"/>
      <c r="E323" s="84"/>
      <c r="F323" s="84"/>
      <c r="G323" s="84"/>
      <c r="H323" s="139"/>
      <c r="I323" s="84"/>
    </row>
    <row r="324" spans="1:9">
      <c r="A324" s="139"/>
      <c r="B324" s="139"/>
      <c r="C324" s="138"/>
      <c r="D324" s="140"/>
      <c r="E324" s="84"/>
      <c r="F324" s="84"/>
      <c r="G324" s="84"/>
      <c r="H324" s="139"/>
      <c r="I324" s="84"/>
    </row>
    <row r="325" spans="1:9">
      <c r="A325" s="139"/>
      <c r="B325" s="139"/>
      <c r="C325" s="138"/>
      <c r="D325" s="140"/>
      <c r="E325" s="84"/>
      <c r="F325" s="84"/>
      <c r="G325" s="84"/>
      <c r="H325" s="139"/>
      <c r="I325" s="84"/>
    </row>
    <row r="326" spans="1:9">
      <c r="A326" s="139"/>
      <c r="B326" s="139"/>
      <c r="C326" s="138"/>
      <c r="D326" s="140"/>
      <c r="E326" s="84"/>
      <c r="F326" s="84"/>
      <c r="G326" s="84"/>
      <c r="H326" s="139"/>
      <c r="I326" s="84"/>
    </row>
    <row r="327" spans="1:9">
      <c r="A327" s="139"/>
      <c r="B327" s="139"/>
      <c r="C327" s="138"/>
      <c r="D327" s="140"/>
      <c r="E327" s="84"/>
      <c r="F327" s="84"/>
      <c r="G327" s="84"/>
      <c r="H327" s="139"/>
      <c r="I327" s="84"/>
    </row>
    <row r="328" spans="1:9">
      <c r="A328" s="139"/>
      <c r="B328" s="139"/>
      <c r="C328" s="138"/>
      <c r="D328" s="140"/>
      <c r="E328" s="84"/>
      <c r="F328" s="84"/>
      <c r="G328" s="84"/>
      <c r="H328" s="139"/>
      <c r="I328" s="84"/>
    </row>
    <row r="329" spans="1:9">
      <c r="A329" s="139"/>
      <c r="B329" s="139"/>
      <c r="C329" s="138"/>
      <c r="D329" s="140"/>
      <c r="E329" s="84"/>
      <c r="F329" s="84"/>
      <c r="G329" s="84"/>
      <c r="H329" s="139"/>
      <c r="I329" s="84"/>
    </row>
    <row r="330" spans="1:9">
      <c r="A330" s="139"/>
      <c r="B330" s="139"/>
      <c r="C330" s="138"/>
      <c r="D330" s="140"/>
      <c r="E330" s="84"/>
      <c r="F330" s="84"/>
      <c r="G330" s="84"/>
      <c r="H330" s="139"/>
      <c r="I330" s="84"/>
    </row>
    <row r="331" spans="1:9">
      <c r="A331" s="139"/>
      <c r="B331" s="139"/>
      <c r="C331" s="138"/>
      <c r="D331" s="140"/>
      <c r="E331" s="84"/>
      <c r="F331" s="84"/>
      <c r="G331" s="84"/>
      <c r="H331" s="139"/>
      <c r="I331" s="84"/>
    </row>
    <row r="332" spans="1:9">
      <c r="A332" s="139"/>
      <c r="B332" s="139"/>
      <c r="C332" s="138"/>
      <c r="D332" s="140"/>
      <c r="E332" s="84"/>
      <c r="F332" s="84"/>
      <c r="G332" s="84"/>
      <c r="H332" s="139"/>
      <c r="I332" s="84"/>
    </row>
    <row r="333" spans="1:9">
      <c r="A333" s="139"/>
      <c r="B333" s="139"/>
      <c r="C333" s="138"/>
      <c r="D333" s="140"/>
      <c r="E333" s="84"/>
      <c r="F333" s="84"/>
      <c r="G333" s="84"/>
      <c r="H333" s="139"/>
      <c r="I333" s="84"/>
    </row>
    <row r="334" spans="1:9">
      <c r="A334" s="139"/>
      <c r="B334" s="139"/>
      <c r="C334" s="138"/>
      <c r="D334" s="140"/>
      <c r="E334" s="84"/>
      <c r="F334" s="84"/>
      <c r="G334" s="84"/>
      <c r="H334" s="139"/>
      <c r="I334" s="84"/>
    </row>
    <row r="335" spans="1:9">
      <c r="A335" s="139"/>
      <c r="B335" s="139"/>
      <c r="C335" s="138"/>
      <c r="D335" s="140"/>
      <c r="E335" s="84"/>
      <c r="F335" s="84"/>
      <c r="G335" s="84"/>
      <c r="H335" s="139"/>
      <c r="I335" s="84"/>
    </row>
    <row r="336" spans="1:9">
      <c r="A336" s="139"/>
      <c r="B336" s="139"/>
      <c r="C336" s="138"/>
      <c r="D336" s="140"/>
      <c r="E336" s="84"/>
      <c r="F336" s="84"/>
      <c r="G336" s="84"/>
      <c r="H336" s="139"/>
      <c r="I336" s="84"/>
    </row>
    <row r="337" spans="1:9">
      <c r="A337" s="139"/>
      <c r="B337" s="139"/>
      <c r="C337" s="138"/>
      <c r="D337" s="140"/>
      <c r="E337" s="84"/>
      <c r="F337" s="84"/>
      <c r="G337" s="84"/>
      <c r="H337" s="139"/>
      <c r="I337" s="84"/>
    </row>
    <row r="338" spans="1:9">
      <c r="A338" s="139"/>
      <c r="B338" s="139"/>
      <c r="C338" s="138"/>
      <c r="D338" s="140"/>
      <c r="E338" s="84"/>
      <c r="F338" s="84"/>
      <c r="G338" s="84"/>
      <c r="H338" s="139"/>
      <c r="I338" s="84"/>
    </row>
    <row r="339" spans="1:9">
      <c r="A339" s="139"/>
      <c r="B339" s="139"/>
      <c r="C339" s="138"/>
      <c r="D339" s="140"/>
      <c r="E339" s="84"/>
      <c r="F339" s="84"/>
      <c r="G339" s="84"/>
      <c r="H339" s="139"/>
      <c r="I339" s="84"/>
    </row>
    <row r="340" spans="1:9">
      <c r="A340" s="139"/>
      <c r="B340" s="139"/>
      <c r="C340" s="138"/>
      <c r="D340" s="140"/>
      <c r="E340" s="84"/>
      <c r="F340" s="84"/>
      <c r="G340" s="84"/>
      <c r="H340" s="139"/>
      <c r="I340" s="84"/>
    </row>
    <row r="341" spans="1:9">
      <c r="A341" s="139"/>
      <c r="B341" s="139"/>
      <c r="C341" s="138"/>
      <c r="D341" s="140"/>
      <c r="E341" s="84"/>
      <c r="F341" s="84"/>
      <c r="G341" s="84"/>
      <c r="H341" s="139"/>
      <c r="I341" s="84"/>
    </row>
    <row r="342" spans="1:9">
      <c r="A342" s="139"/>
      <c r="B342" s="139"/>
      <c r="C342" s="138"/>
      <c r="D342" s="140"/>
      <c r="E342" s="84"/>
      <c r="F342" s="84"/>
      <c r="G342" s="84"/>
      <c r="H342" s="139"/>
      <c r="I342" s="84"/>
    </row>
    <row r="343" spans="1:9">
      <c r="A343" s="139"/>
      <c r="B343" s="139"/>
      <c r="C343" s="138"/>
      <c r="D343" s="140"/>
      <c r="E343" s="84"/>
      <c r="F343" s="84"/>
      <c r="G343" s="84"/>
      <c r="H343" s="139"/>
      <c r="I343" s="84"/>
    </row>
    <row r="344" spans="1:9">
      <c r="A344" s="139"/>
      <c r="B344" s="139"/>
      <c r="C344" s="138"/>
      <c r="D344" s="140"/>
      <c r="E344" s="84"/>
      <c r="F344" s="84"/>
      <c r="G344" s="84"/>
      <c r="H344" s="139"/>
      <c r="I344" s="84"/>
    </row>
    <row r="345" spans="1:9">
      <c r="A345" s="139"/>
      <c r="B345" s="139"/>
      <c r="C345" s="138"/>
      <c r="D345" s="140"/>
      <c r="E345" s="84"/>
      <c r="F345" s="84"/>
      <c r="G345" s="84"/>
      <c r="H345" s="139"/>
      <c r="I345" s="84"/>
    </row>
    <row r="346" spans="1:9">
      <c r="A346" s="139"/>
      <c r="B346" s="139"/>
      <c r="C346" s="138"/>
      <c r="D346" s="140"/>
      <c r="E346" s="84"/>
      <c r="F346" s="84"/>
      <c r="G346" s="84"/>
      <c r="H346" s="139"/>
      <c r="I346" s="84"/>
    </row>
    <row r="347" spans="1:9">
      <c r="A347" s="139"/>
      <c r="B347" s="139"/>
      <c r="C347" s="138"/>
      <c r="D347" s="140"/>
      <c r="E347" s="84"/>
      <c r="F347" s="84"/>
      <c r="G347" s="84"/>
      <c r="H347" s="139"/>
      <c r="I347" s="84"/>
    </row>
    <row r="348" spans="1:9">
      <c r="A348" s="139"/>
      <c r="B348" s="139"/>
      <c r="C348" s="138"/>
      <c r="D348" s="140"/>
      <c r="E348" s="84"/>
      <c r="F348" s="84"/>
      <c r="G348" s="84"/>
      <c r="H348" s="139"/>
      <c r="I348" s="84"/>
    </row>
    <row r="349" spans="1:9">
      <c r="A349" s="139"/>
      <c r="B349" s="139"/>
      <c r="C349" s="138"/>
      <c r="D349" s="140"/>
      <c r="E349" s="84"/>
      <c r="F349" s="84"/>
      <c r="G349" s="84"/>
      <c r="H349" s="139"/>
      <c r="I349" s="84"/>
    </row>
    <row r="350" spans="1:9">
      <c r="A350" s="139"/>
      <c r="B350" s="139"/>
      <c r="C350" s="138"/>
      <c r="D350" s="140"/>
      <c r="E350" s="84"/>
      <c r="F350" s="84"/>
      <c r="G350" s="84"/>
      <c r="H350" s="139"/>
      <c r="I350" s="84"/>
    </row>
    <row r="351" spans="1:9">
      <c r="A351" s="139"/>
      <c r="B351" s="139"/>
      <c r="C351" s="138"/>
      <c r="D351" s="140"/>
      <c r="E351" s="84"/>
      <c r="F351" s="84"/>
      <c r="G351" s="84"/>
      <c r="H351" s="139"/>
      <c r="I351" s="84"/>
    </row>
    <row r="352" spans="1:9">
      <c r="A352" s="139"/>
      <c r="B352" s="139"/>
      <c r="C352" s="138"/>
      <c r="D352" s="140"/>
      <c r="E352" s="84"/>
      <c r="F352" s="84"/>
      <c r="G352" s="84"/>
      <c r="H352" s="139"/>
      <c r="I352" s="84"/>
    </row>
    <row r="353" spans="1:9">
      <c r="A353" s="139"/>
      <c r="B353" s="139"/>
      <c r="C353" s="138"/>
      <c r="D353" s="140"/>
      <c r="E353" s="84"/>
      <c r="F353" s="84"/>
      <c r="G353" s="84"/>
      <c r="H353" s="139"/>
      <c r="I353" s="84"/>
    </row>
    <row r="354" spans="1:9">
      <c r="A354" s="139"/>
      <c r="B354" s="139"/>
      <c r="C354" s="138"/>
      <c r="D354" s="140"/>
      <c r="E354" s="84"/>
      <c r="F354" s="84"/>
      <c r="G354" s="84"/>
      <c r="H354" s="139"/>
      <c r="I354" s="84"/>
    </row>
    <row r="355" spans="1:9">
      <c r="A355" s="139"/>
      <c r="B355" s="139"/>
      <c r="C355" s="138"/>
      <c r="D355" s="140"/>
      <c r="E355" s="84"/>
      <c r="F355" s="84"/>
      <c r="G355" s="84"/>
      <c r="H355" s="139"/>
      <c r="I355" s="84"/>
    </row>
    <row r="356" spans="1:9">
      <c r="A356" s="139"/>
      <c r="B356" s="139"/>
      <c r="C356" s="138"/>
      <c r="D356" s="140"/>
      <c r="E356" s="84"/>
      <c r="F356" s="84"/>
      <c r="G356" s="84"/>
      <c r="H356" s="139"/>
      <c r="I356" s="84"/>
    </row>
    <row r="357" spans="1:9">
      <c r="A357" s="139"/>
      <c r="B357" s="139"/>
      <c r="C357" s="138"/>
      <c r="D357" s="140"/>
      <c r="E357" s="84"/>
      <c r="F357" s="84"/>
      <c r="G357" s="84"/>
      <c r="H357" s="139"/>
      <c r="I357" s="84"/>
    </row>
    <row r="358" spans="1:9">
      <c r="A358" s="139"/>
      <c r="B358" s="139"/>
      <c r="C358" s="138"/>
      <c r="D358" s="140"/>
      <c r="E358" s="84"/>
      <c r="F358" s="84"/>
      <c r="G358" s="84"/>
      <c r="H358" s="139"/>
      <c r="I358" s="84"/>
    </row>
    <row r="359" spans="1:9">
      <c r="A359" s="139"/>
      <c r="B359" s="139"/>
      <c r="C359" s="138"/>
      <c r="D359" s="140"/>
      <c r="E359" s="84"/>
      <c r="F359" s="84"/>
      <c r="G359" s="84"/>
      <c r="H359" s="139"/>
      <c r="I359" s="84"/>
    </row>
    <row r="360" spans="1:9">
      <c r="A360" s="139"/>
      <c r="B360" s="139"/>
      <c r="C360" s="138"/>
      <c r="D360" s="140"/>
      <c r="E360" s="84"/>
      <c r="F360" s="84"/>
      <c r="G360" s="84"/>
      <c r="H360" s="139"/>
      <c r="I360" s="84"/>
    </row>
    <row r="361" spans="1:9">
      <c r="A361" s="139"/>
      <c r="B361" s="139"/>
      <c r="C361" s="138"/>
      <c r="D361" s="140"/>
      <c r="E361" s="84"/>
      <c r="F361" s="84"/>
      <c r="G361" s="84"/>
      <c r="H361" s="139"/>
      <c r="I361" s="84"/>
    </row>
    <row r="362" spans="1:9">
      <c r="A362" s="139"/>
      <c r="B362" s="139"/>
      <c r="C362" s="138"/>
      <c r="D362" s="140"/>
      <c r="E362" s="84"/>
      <c r="F362" s="84"/>
      <c r="G362" s="84"/>
      <c r="H362" s="139"/>
      <c r="I362" s="84"/>
    </row>
    <row r="363" spans="1:9">
      <c r="A363" s="139"/>
      <c r="B363" s="139"/>
      <c r="C363" s="138"/>
      <c r="D363" s="140"/>
      <c r="E363" s="84"/>
      <c r="F363" s="84"/>
      <c r="G363" s="84"/>
      <c r="H363" s="139"/>
      <c r="I363" s="84"/>
    </row>
    <row r="364" spans="1:9">
      <c r="A364" s="139"/>
      <c r="B364" s="139"/>
      <c r="C364" s="138"/>
      <c r="D364" s="140"/>
      <c r="E364" s="84"/>
      <c r="F364" s="84"/>
      <c r="G364" s="84"/>
      <c r="H364" s="139"/>
      <c r="I364" s="84"/>
    </row>
    <row r="365" spans="1:9">
      <c r="A365" s="139"/>
      <c r="B365" s="139"/>
      <c r="C365" s="138"/>
      <c r="D365" s="140"/>
      <c r="E365" s="84"/>
      <c r="F365" s="84"/>
      <c r="G365" s="84"/>
      <c r="H365" s="139"/>
      <c r="I365" s="84"/>
    </row>
    <row r="366" spans="1:9">
      <c r="A366" s="139"/>
      <c r="B366" s="139"/>
      <c r="C366" s="138"/>
      <c r="D366" s="140"/>
      <c r="E366" s="84"/>
      <c r="F366" s="84"/>
      <c r="G366" s="84"/>
      <c r="H366" s="139"/>
      <c r="I366" s="84"/>
    </row>
    <row r="367" spans="1:9">
      <c r="A367" s="139"/>
      <c r="B367" s="139"/>
      <c r="C367" s="138"/>
      <c r="D367" s="140"/>
      <c r="E367" s="84"/>
      <c r="F367" s="84"/>
      <c r="G367" s="84"/>
      <c r="H367" s="139"/>
      <c r="I367" s="84"/>
    </row>
    <row r="368" spans="1:9">
      <c r="A368" s="139"/>
      <c r="B368" s="139"/>
      <c r="C368" s="138"/>
      <c r="D368" s="140"/>
      <c r="E368" s="84"/>
      <c r="F368" s="84"/>
      <c r="G368" s="84"/>
      <c r="H368" s="139"/>
      <c r="I368" s="84"/>
    </row>
    <row r="369" spans="1:9">
      <c r="A369" s="139"/>
      <c r="B369" s="139"/>
      <c r="C369" s="138"/>
      <c r="D369" s="140"/>
      <c r="E369" s="84"/>
      <c r="F369" s="84"/>
      <c r="G369" s="84"/>
      <c r="H369" s="139"/>
      <c r="I369" s="84"/>
    </row>
    <row r="370" spans="1:9">
      <c r="A370" s="139"/>
      <c r="B370" s="139"/>
      <c r="C370" s="138"/>
      <c r="D370" s="140"/>
      <c r="E370" s="84"/>
      <c r="F370" s="84"/>
      <c r="G370" s="84"/>
      <c r="H370" s="139"/>
      <c r="I370" s="84"/>
    </row>
    <row r="371" spans="1:9">
      <c r="A371" s="139"/>
      <c r="B371" s="139"/>
      <c r="C371" s="138"/>
      <c r="D371" s="140"/>
      <c r="E371" s="84"/>
      <c r="F371" s="84"/>
      <c r="G371" s="84"/>
      <c r="H371" s="139"/>
      <c r="I371" s="84"/>
    </row>
    <row r="372" spans="1:9">
      <c r="A372" s="139"/>
      <c r="B372" s="139"/>
      <c r="C372" s="138"/>
      <c r="D372" s="140"/>
      <c r="E372" s="84"/>
      <c r="F372" s="84"/>
      <c r="G372" s="84"/>
      <c r="H372" s="139"/>
      <c r="I372" s="84"/>
    </row>
    <row r="373" spans="1:9">
      <c r="A373" s="139"/>
      <c r="B373" s="139"/>
      <c r="C373" s="138"/>
      <c r="D373" s="140"/>
      <c r="E373" s="84"/>
      <c r="F373" s="84"/>
      <c r="G373" s="84"/>
      <c r="H373" s="139"/>
      <c r="I373" s="84"/>
    </row>
    <row r="374" spans="1:9">
      <c r="A374" s="139"/>
      <c r="B374" s="139"/>
      <c r="C374" s="138"/>
      <c r="D374" s="140"/>
      <c r="E374" s="84"/>
      <c r="F374" s="84"/>
      <c r="G374" s="84"/>
      <c r="H374" s="139"/>
      <c r="I374" s="84"/>
    </row>
    <row r="375" spans="1:9">
      <c r="A375" s="139"/>
      <c r="B375" s="139"/>
      <c r="C375" s="138"/>
      <c r="D375" s="140"/>
      <c r="E375" s="84"/>
      <c r="F375" s="84"/>
      <c r="G375" s="84"/>
      <c r="H375" s="139"/>
      <c r="I375" s="84"/>
    </row>
    <row r="376" spans="1:9">
      <c r="A376" s="139"/>
      <c r="B376" s="139"/>
      <c r="C376" s="138"/>
      <c r="D376" s="140"/>
      <c r="E376" s="84"/>
      <c r="F376" s="84"/>
      <c r="G376" s="84"/>
      <c r="H376" s="139"/>
      <c r="I376" s="84"/>
    </row>
    <row r="377" spans="1:9">
      <c r="A377" s="139"/>
      <c r="B377" s="139"/>
      <c r="C377" s="138"/>
      <c r="D377" s="140"/>
      <c r="E377" s="84"/>
      <c r="F377" s="84"/>
      <c r="G377" s="84"/>
      <c r="H377" s="139"/>
      <c r="I377" s="84"/>
    </row>
    <row r="378" spans="1:9">
      <c r="A378" s="139"/>
      <c r="B378" s="139"/>
      <c r="C378" s="138"/>
      <c r="D378" s="140"/>
      <c r="E378" s="84"/>
      <c r="F378" s="84"/>
      <c r="G378" s="84"/>
      <c r="H378" s="139"/>
      <c r="I378" s="84"/>
    </row>
    <row r="379" spans="1:9">
      <c r="A379" s="139"/>
      <c r="B379" s="139"/>
      <c r="C379" s="138"/>
      <c r="D379" s="140"/>
      <c r="E379" s="84"/>
      <c r="F379" s="84"/>
      <c r="G379" s="84"/>
      <c r="H379" s="139"/>
      <c r="I379" s="84"/>
    </row>
    <row r="380" spans="1:9">
      <c r="A380" s="139"/>
      <c r="B380" s="139"/>
      <c r="C380" s="138"/>
      <c r="D380" s="140"/>
      <c r="E380" s="84"/>
      <c r="F380" s="84"/>
      <c r="G380" s="84"/>
      <c r="H380" s="139"/>
      <c r="I380" s="84"/>
    </row>
    <row r="381" spans="1:9">
      <c r="A381" s="139"/>
      <c r="B381" s="139"/>
      <c r="C381" s="138"/>
      <c r="D381" s="140"/>
      <c r="E381" s="84"/>
      <c r="F381" s="84"/>
      <c r="G381" s="84"/>
      <c r="H381" s="139"/>
      <c r="I381" s="84"/>
    </row>
    <row r="382" spans="1:9">
      <c r="A382" s="139"/>
      <c r="B382" s="139"/>
      <c r="C382" s="138"/>
      <c r="D382" s="140"/>
      <c r="E382" s="84"/>
      <c r="F382" s="84"/>
      <c r="G382" s="84"/>
      <c r="H382" s="139"/>
      <c r="I382" s="84"/>
    </row>
    <row r="383" spans="1:9">
      <c r="A383" s="139"/>
      <c r="B383" s="139"/>
      <c r="C383" s="138"/>
      <c r="D383" s="140"/>
      <c r="E383" s="84"/>
      <c r="F383" s="84"/>
      <c r="G383" s="84"/>
      <c r="H383" s="139"/>
      <c r="I383" s="84"/>
    </row>
    <row r="384" spans="1:9">
      <c r="A384" s="139"/>
      <c r="B384" s="139"/>
      <c r="C384" s="138"/>
      <c r="D384" s="140"/>
      <c r="E384" s="84"/>
      <c r="F384" s="84"/>
      <c r="G384" s="84"/>
      <c r="H384" s="139"/>
      <c r="I384" s="84"/>
    </row>
    <row r="385" spans="1:9">
      <c r="A385" s="139"/>
      <c r="B385" s="139"/>
      <c r="C385" s="138"/>
      <c r="D385" s="140"/>
      <c r="E385" s="84"/>
      <c r="F385" s="84"/>
      <c r="G385" s="84"/>
      <c r="H385" s="139"/>
      <c r="I385" s="84"/>
    </row>
    <row r="386" spans="1:9">
      <c r="A386" s="139"/>
      <c r="B386" s="139"/>
      <c r="C386" s="138"/>
      <c r="D386" s="140"/>
      <c r="E386" s="84"/>
      <c r="F386" s="84"/>
      <c r="G386" s="84"/>
      <c r="H386" s="139"/>
      <c r="I386" s="84"/>
    </row>
    <row r="387" spans="1:9">
      <c r="A387" s="139"/>
      <c r="B387" s="139"/>
      <c r="C387" s="138"/>
      <c r="D387" s="140"/>
      <c r="E387" s="84"/>
      <c r="F387" s="84"/>
      <c r="G387" s="84"/>
      <c r="H387" s="139"/>
      <c r="I387" s="84"/>
    </row>
    <row r="388" spans="1:9">
      <c r="A388" s="139"/>
      <c r="B388" s="139"/>
      <c r="C388" s="138"/>
      <c r="D388" s="140"/>
      <c r="E388" s="84"/>
      <c r="F388" s="84"/>
      <c r="G388" s="84"/>
      <c r="H388" s="139"/>
      <c r="I388" s="84"/>
    </row>
    <row r="389" spans="1:9">
      <c r="A389" s="139"/>
      <c r="B389" s="139"/>
      <c r="C389" s="138"/>
      <c r="D389" s="140"/>
      <c r="E389" s="84"/>
      <c r="F389" s="84"/>
      <c r="G389" s="84"/>
      <c r="H389" s="139"/>
      <c r="I389" s="84"/>
    </row>
    <row r="390" spans="1:9">
      <c r="A390" s="139"/>
      <c r="B390" s="139"/>
      <c r="C390" s="138"/>
      <c r="D390" s="140"/>
      <c r="E390" s="84"/>
      <c r="F390" s="84"/>
      <c r="G390" s="84"/>
      <c r="H390" s="139"/>
      <c r="I390" s="84"/>
    </row>
    <row r="391" spans="1:9">
      <c r="A391" s="139"/>
      <c r="B391" s="139"/>
      <c r="C391" s="138"/>
      <c r="D391" s="140"/>
      <c r="E391" s="84"/>
      <c r="F391" s="84"/>
      <c r="G391" s="84"/>
      <c r="H391" s="139"/>
      <c r="I391" s="84"/>
    </row>
    <row r="392" spans="1:9">
      <c r="A392" s="139"/>
      <c r="B392" s="139"/>
      <c r="C392" s="138"/>
      <c r="D392" s="140"/>
      <c r="E392" s="84"/>
      <c r="F392" s="84"/>
      <c r="G392" s="84"/>
      <c r="H392" s="139"/>
      <c r="I392" s="84"/>
    </row>
    <row r="393" spans="1:9">
      <c r="A393" s="139"/>
      <c r="B393" s="139"/>
      <c r="C393" s="138"/>
      <c r="D393" s="140"/>
      <c r="E393" s="84"/>
      <c r="F393" s="84"/>
      <c r="G393" s="84"/>
      <c r="H393" s="139"/>
      <c r="I393" s="84"/>
    </row>
    <row r="394" spans="1:9">
      <c r="A394" s="139"/>
      <c r="B394" s="139"/>
      <c r="C394" s="138"/>
      <c r="D394" s="140"/>
      <c r="E394" s="84"/>
      <c r="F394" s="84"/>
      <c r="G394" s="84"/>
      <c r="H394" s="139"/>
      <c r="I394" s="84"/>
    </row>
    <row r="395" spans="1:9">
      <c r="A395" s="139"/>
      <c r="B395" s="139"/>
      <c r="C395" s="138"/>
      <c r="D395" s="140"/>
      <c r="E395" s="84"/>
      <c r="F395" s="84"/>
      <c r="G395" s="84"/>
      <c r="H395" s="139"/>
      <c r="I395" s="84"/>
    </row>
    <row r="396" spans="1:9">
      <c r="A396" s="139"/>
      <c r="B396" s="139"/>
      <c r="C396" s="138"/>
      <c r="D396" s="140"/>
      <c r="E396" s="84"/>
      <c r="F396" s="84"/>
      <c r="G396" s="84"/>
      <c r="H396" s="139"/>
      <c r="I396" s="84"/>
    </row>
    <row r="397" spans="1:9">
      <c r="A397" s="139"/>
      <c r="B397" s="139"/>
      <c r="C397" s="138"/>
      <c r="D397" s="140"/>
      <c r="E397" s="84"/>
      <c r="F397" s="84"/>
      <c r="G397" s="84"/>
      <c r="H397" s="139"/>
      <c r="I397" s="84"/>
    </row>
    <row r="398" spans="1:9">
      <c r="A398" s="139"/>
      <c r="B398" s="139"/>
      <c r="C398" s="138"/>
      <c r="D398" s="140"/>
      <c r="E398" s="84"/>
      <c r="F398" s="84"/>
      <c r="G398" s="84"/>
      <c r="H398" s="139"/>
      <c r="I398" s="84"/>
    </row>
    <row r="399" spans="1:9">
      <c r="A399" s="139"/>
      <c r="B399" s="139"/>
      <c r="C399" s="138"/>
      <c r="D399" s="140"/>
      <c r="E399" s="84"/>
      <c r="F399" s="84"/>
      <c r="G399" s="84"/>
      <c r="H399" s="139"/>
      <c r="I399" s="84"/>
    </row>
    <row r="400" spans="1:9">
      <c r="A400" s="139"/>
      <c r="B400" s="139"/>
      <c r="C400" s="138"/>
      <c r="D400" s="140"/>
      <c r="E400" s="84"/>
      <c r="F400" s="84"/>
      <c r="G400" s="84"/>
      <c r="H400" s="139"/>
      <c r="I400" s="84"/>
    </row>
    <row r="401" spans="1:9">
      <c r="A401" s="139"/>
      <c r="B401" s="139"/>
      <c r="C401" s="138"/>
      <c r="D401" s="140"/>
      <c r="E401" s="84"/>
      <c r="F401" s="84"/>
      <c r="G401" s="84"/>
      <c r="H401" s="139"/>
      <c r="I401" s="84"/>
    </row>
    <row r="402" spans="1:9">
      <c r="A402" s="139"/>
      <c r="B402" s="139"/>
      <c r="C402" s="138"/>
      <c r="D402" s="140"/>
      <c r="E402" s="84"/>
      <c r="F402" s="84"/>
      <c r="G402" s="84"/>
      <c r="H402" s="139"/>
      <c r="I402" s="84"/>
    </row>
    <row r="403" spans="1:9">
      <c r="A403" s="139"/>
      <c r="B403" s="139"/>
      <c r="C403" s="138"/>
      <c r="D403" s="140"/>
      <c r="E403" s="84"/>
      <c r="F403" s="84"/>
      <c r="G403" s="84"/>
      <c r="H403" s="139"/>
      <c r="I403" s="84"/>
    </row>
    <row r="404" spans="1:9">
      <c r="A404" s="139"/>
      <c r="B404" s="139"/>
      <c r="C404" s="138"/>
      <c r="D404" s="140"/>
      <c r="E404" s="84"/>
      <c r="F404" s="84"/>
      <c r="G404" s="84"/>
      <c r="H404" s="139"/>
      <c r="I404" s="84"/>
    </row>
    <row r="405" spans="1:9">
      <c r="A405" s="139"/>
      <c r="B405" s="139"/>
      <c r="C405" s="138"/>
      <c r="D405" s="140"/>
      <c r="E405" s="84"/>
      <c r="F405" s="84"/>
      <c r="G405" s="84"/>
      <c r="H405" s="139"/>
      <c r="I405" s="84"/>
    </row>
    <row r="406" spans="1:9">
      <c r="A406" s="139"/>
      <c r="B406" s="139"/>
      <c r="C406" s="138"/>
      <c r="D406" s="140"/>
      <c r="E406" s="84"/>
      <c r="F406" s="84"/>
      <c r="G406" s="84"/>
      <c r="H406" s="139"/>
      <c r="I406" s="84"/>
    </row>
    <row r="407" spans="1:9">
      <c r="A407" s="139"/>
      <c r="B407" s="139"/>
      <c r="C407" s="138"/>
      <c r="D407" s="140"/>
      <c r="E407" s="84"/>
      <c r="F407" s="84"/>
      <c r="G407" s="84"/>
      <c r="H407" s="139"/>
      <c r="I407" s="84"/>
    </row>
    <row r="408" spans="1:9">
      <c r="A408" s="139"/>
      <c r="B408" s="139"/>
      <c r="C408" s="138"/>
      <c r="D408" s="140"/>
      <c r="E408" s="84"/>
      <c r="F408" s="84"/>
      <c r="G408" s="84"/>
      <c r="H408" s="139"/>
      <c r="I408" s="84"/>
    </row>
    <row r="409" spans="1:9">
      <c r="A409" s="139"/>
      <c r="B409" s="139"/>
      <c r="C409" s="138"/>
      <c r="D409" s="140"/>
      <c r="E409" s="84"/>
      <c r="F409" s="84"/>
      <c r="G409" s="84"/>
      <c r="H409" s="139"/>
      <c r="I409" s="84"/>
    </row>
    <row r="410" spans="1:9">
      <c r="A410" s="139"/>
      <c r="B410" s="139"/>
      <c r="C410" s="138"/>
      <c r="D410" s="140"/>
      <c r="E410" s="84"/>
      <c r="F410" s="84"/>
      <c r="G410" s="84"/>
      <c r="H410" s="139"/>
      <c r="I410" s="84"/>
    </row>
    <row r="411" spans="1:9">
      <c r="A411" s="139"/>
      <c r="B411" s="139"/>
      <c r="C411" s="138"/>
      <c r="D411" s="140"/>
      <c r="E411" s="84"/>
      <c r="F411" s="84"/>
      <c r="G411" s="84"/>
      <c r="H411" s="139"/>
      <c r="I411" s="84"/>
    </row>
    <row r="412" spans="1:9">
      <c r="A412" s="139"/>
      <c r="B412" s="139"/>
      <c r="C412" s="138"/>
      <c r="D412" s="140"/>
      <c r="E412" s="84"/>
      <c r="F412" s="84"/>
      <c r="G412" s="84"/>
      <c r="H412" s="139"/>
      <c r="I412" s="84"/>
    </row>
    <row r="413" spans="1:9">
      <c r="A413" s="139"/>
      <c r="B413" s="139"/>
      <c r="C413" s="138"/>
      <c r="D413" s="140"/>
      <c r="E413" s="84"/>
      <c r="F413" s="84"/>
      <c r="G413" s="84"/>
      <c r="H413" s="139"/>
      <c r="I413" s="84"/>
    </row>
    <row r="414" spans="1:9">
      <c r="A414" s="139"/>
      <c r="B414" s="139"/>
      <c r="C414" s="138"/>
      <c r="D414" s="140"/>
      <c r="E414" s="84"/>
      <c r="F414" s="84"/>
      <c r="G414" s="84"/>
      <c r="H414" s="139"/>
      <c r="I414" s="84"/>
    </row>
    <row r="415" spans="1:9">
      <c r="A415" s="139"/>
      <c r="B415" s="139"/>
      <c r="C415" s="138"/>
      <c r="D415" s="140"/>
      <c r="E415" s="84"/>
      <c r="F415" s="84"/>
      <c r="G415" s="84"/>
      <c r="H415" s="139"/>
      <c r="I415" s="84"/>
    </row>
    <row r="416" spans="1:9">
      <c r="A416" s="139"/>
      <c r="B416" s="139"/>
      <c r="C416" s="138"/>
      <c r="D416" s="140"/>
      <c r="E416" s="84"/>
      <c r="F416" s="84"/>
      <c r="G416" s="84"/>
      <c r="H416" s="139"/>
      <c r="I416" s="84"/>
    </row>
    <row r="417" spans="1:9">
      <c r="A417" s="139"/>
      <c r="B417" s="139"/>
      <c r="C417" s="138"/>
      <c r="D417" s="140"/>
      <c r="E417" s="84"/>
      <c r="F417" s="84"/>
      <c r="G417" s="84"/>
      <c r="H417" s="139"/>
      <c r="I417" s="84"/>
    </row>
    <row r="418" spans="1:9">
      <c r="A418" s="139"/>
      <c r="B418" s="139"/>
      <c r="C418" s="138"/>
      <c r="D418" s="140"/>
      <c r="E418" s="84"/>
      <c r="F418" s="84"/>
      <c r="G418" s="84"/>
      <c r="H418" s="139"/>
      <c r="I418" s="84"/>
    </row>
    <row r="419" spans="1:9">
      <c r="A419" s="139"/>
      <c r="B419" s="139"/>
      <c r="C419" s="138"/>
      <c r="D419" s="140"/>
      <c r="E419" s="84"/>
      <c r="F419" s="84"/>
      <c r="G419" s="84"/>
      <c r="H419" s="139"/>
      <c r="I419" s="84"/>
    </row>
    <row r="420" spans="1:9">
      <c r="A420" s="139"/>
      <c r="B420" s="139"/>
      <c r="C420" s="138"/>
      <c r="D420" s="140"/>
      <c r="E420" s="84"/>
      <c r="F420" s="84"/>
      <c r="G420" s="84"/>
      <c r="H420" s="139"/>
      <c r="I420" s="84"/>
    </row>
    <row r="421" spans="1:9">
      <c r="A421" s="139"/>
      <c r="B421" s="139"/>
      <c r="C421" s="138"/>
      <c r="D421" s="140"/>
      <c r="E421" s="84"/>
      <c r="F421" s="84"/>
      <c r="G421" s="84"/>
      <c r="H421" s="139"/>
      <c r="I421" s="84"/>
    </row>
    <row r="422" spans="1:9">
      <c r="A422" s="139"/>
      <c r="B422" s="139"/>
      <c r="C422" s="138"/>
      <c r="D422" s="140"/>
      <c r="E422" s="84"/>
      <c r="F422" s="84"/>
      <c r="G422" s="84"/>
      <c r="H422" s="139"/>
      <c r="I422" s="84"/>
    </row>
    <row r="423" spans="1:9">
      <c r="A423" s="139"/>
      <c r="B423" s="139"/>
      <c r="C423" s="138"/>
      <c r="D423" s="140"/>
      <c r="E423" s="84"/>
      <c r="F423" s="84"/>
      <c r="G423" s="84"/>
      <c r="H423" s="139"/>
      <c r="I423" s="84"/>
    </row>
    <row r="424" spans="1:9">
      <c r="A424" s="139"/>
      <c r="B424" s="139"/>
      <c r="C424" s="138"/>
      <c r="D424" s="140"/>
      <c r="E424" s="84"/>
      <c r="F424" s="84"/>
      <c r="G424" s="84"/>
      <c r="H424" s="139"/>
      <c r="I424" s="84"/>
    </row>
    <row r="425" spans="1:9">
      <c r="A425" s="139"/>
      <c r="B425" s="139"/>
      <c r="C425" s="138"/>
      <c r="D425" s="140"/>
      <c r="E425" s="84"/>
      <c r="F425" s="84"/>
      <c r="G425" s="84"/>
      <c r="H425" s="139"/>
      <c r="I425" s="84"/>
    </row>
    <row r="426" spans="1:9">
      <c r="A426" s="139"/>
      <c r="B426" s="139"/>
      <c r="C426" s="138"/>
      <c r="D426" s="140"/>
      <c r="E426" s="84"/>
      <c r="F426" s="84"/>
      <c r="G426" s="84"/>
      <c r="H426" s="139"/>
      <c r="I426" s="84"/>
    </row>
    <row r="427" spans="1:9">
      <c r="A427" s="139"/>
      <c r="B427" s="139"/>
      <c r="C427" s="138"/>
      <c r="D427" s="140"/>
      <c r="E427" s="84"/>
      <c r="F427" s="84"/>
      <c r="G427" s="84"/>
      <c r="H427" s="139"/>
      <c r="I427" s="84"/>
    </row>
    <row r="428" spans="1:9">
      <c r="A428" s="139"/>
      <c r="B428" s="139"/>
      <c r="C428" s="138"/>
      <c r="D428" s="140"/>
      <c r="E428" s="84"/>
      <c r="F428" s="84"/>
      <c r="G428" s="84"/>
      <c r="H428" s="139"/>
      <c r="I428" s="84"/>
    </row>
    <row r="429" spans="1:9">
      <c r="A429" s="139"/>
      <c r="B429" s="139"/>
      <c r="C429" s="138"/>
      <c r="D429" s="140"/>
      <c r="E429" s="84"/>
      <c r="F429" s="84"/>
      <c r="G429" s="84"/>
      <c r="H429" s="139"/>
      <c r="I429" s="84"/>
    </row>
    <row r="430" spans="1:9">
      <c r="A430" s="139"/>
      <c r="B430" s="139"/>
      <c r="C430" s="138"/>
      <c r="D430" s="140"/>
      <c r="E430" s="84"/>
      <c r="F430" s="84"/>
      <c r="G430" s="84"/>
      <c r="H430" s="139"/>
      <c r="I430" s="84"/>
    </row>
    <row r="431" spans="1:9">
      <c r="A431" s="139"/>
      <c r="B431" s="139"/>
      <c r="C431" s="138"/>
      <c r="D431" s="140"/>
      <c r="E431" s="84"/>
      <c r="F431" s="84"/>
      <c r="G431" s="84"/>
      <c r="H431" s="139"/>
      <c r="I431" s="84"/>
    </row>
    <row r="432" spans="1:9">
      <c r="A432" s="139"/>
      <c r="B432" s="139"/>
      <c r="C432" s="138"/>
      <c r="D432" s="140"/>
      <c r="E432" s="84"/>
      <c r="F432" s="84"/>
      <c r="G432" s="84"/>
      <c r="H432" s="139"/>
      <c r="I432" s="84"/>
    </row>
    <row r="433" spans="1:9">
      <c r="A433" s="139"/>
      <c r="B433" s="139"/>
      <c r="C433" s="138"/>
      <c r="D433" s="140"/>
      <c r="E433" s="84"/>
      <c r="F433" s="84"/>
      <c r="G433" s="84"/>
      <c r="H433" s="139"/>
      <c r="I433" s="84"/>
    </row>
    <row r="434" spans="1:9">
      <c r="A434" s="139"/>
      <c r="B434" s="139"/>
      <c r="C434" s="138"/>
      <c r="D434" s="140"/>
      <c r="E434" s="84"/>
      <c r="F434" s="84"/>
      <c r="G434" s="84"/>
      <c r="H434" s="139"/>
      <c r="I434" s="84"/>
    </row>
    <row r="435" spans="1:9">
      <c r="A435" s="139"/>
      <c r="B435" s="139"/>
      <c r="C435" s="138"/>
      <c r="D435" s="140"/>
      <c r="E435" s="84"/>
      <c r="F435" s="84"/>
      <c r="G435" s="84"/>
      <c r="H435" s="139"/>
      <c r="I435" s="84"/>
    </row>
    <row r="436" spans="1:9">
      <c r="A436" s="139"/>
      <c r="B436" s="139"/>
      <c r="C436" s="138"/>
      <c r="D436" s="140"/>
      <c r="E436" s="84"/>
      <c r="F436" s="84"/>
      <c r="G436" s="84"/>
      <c r="H436" s="139"/>
      <c r="I436" s="84"/>
    </row>
    <row r="437" spans="1:9">
      <c r="A437" s="139"/>
      <c r="B437" s="139"/>
      <c r="C437" s="138"/>
      <c r="D437" s="140"/>
      <c r="E437" s="84"/>
      <c r="F437" s="84"/>
      <c r="G437" s="84"/>
      <c r="H437" s="139"/>
      <c r="I437" s="84"/>
    </row>
    <row r="438" spans="1:9">
      <c r="A438" s="139"/>
      <c r="B438" s="139"/>
      <c r="C438" s="138"/>
      <c r="D438" s="140"/>
      <c r="E438" s="84"/>
      <c r="F438" s="84"/>
      <c r="G438" s="84"/>
      <c r="H438" s="139"/>
      <c r="I438" s="84"/>
    </row>
    <row r="439" spans="1:9">
      <c r="A439" s="139"/>
      <c r="B439" s="139"/>
      <c r="C439" s="138"/>
      <c r="D439" s="140"/>
      <c r="E439" s="84"/>
      <c r="F439" s="84"/>
      <c r="G439" s="84"/>
      <c r="H439" s="139"/>
      <c r="I439" s="84"/>
    </row>
    <row r="440" spans="1:9">
      <c r="A440" s="139"/>
      <c r="B440" s="139"/>
      <c r="C440" s="138"/>
      <c r="D440" s="140"/>
      <c r="E440" s="84"/>
      <c r="F440" s="84"/>
      <c r="G440" s="84"/>
      <c r="H440" s="139"/>
      <c r="I440" s="84"/>
    </row>
    <row r="441" spans="1:9">
      <c r="A441" s="139"/>
      <c r="B441" s="139"/>
      <c r="C441" s="138"/>
      <c r="D441" s="140"/>
      <c r="E441" s="84"/>
      <c r="F441" s="84"/>
      <c r="G441" s="84"/>
      <c r="H441" s="139"/>
      <c r="I441" s="84"/>
    </row>
    <row r="442" spans="1:9">
      <c r="A442" s="139"/>
      <c r="B442" s="139"/>
      <c r="C442" s="138"/>
      <c r="D442" s="140"/>
      <c r="E442" s="84"/>
      <c r="F442" s="84"/>
      <c r="G442" s="84"/>
      <c r="H442" s="139"/>
      <c r="I442" s="84"/>
    </row>
    <row r="443" spans="1:9">
      <c r="A443" s="139"/>
      <c r="B443" s="139"/>
      <c r="C443" s="138"/>
      <c r="D443" s="140"/>
      <c r="E443" s="84"/>
      <c r="F443" s="84"/>
      <c r="G443" s="84"/>
      <c r="H443" s="139"/>
      <c r="I443" s="84"/>
    </row>
    <row r="444" spans="1:9">
      <c r="A444" s="139"/>
      <c r="B444" s="139"/>
      <c r="C444" s="138"/>
      <c r="D444" s="140"/>
      <c r="E444" s="84"/>
      <c r="F444" s="84"/>
      <c r="G444" s="84"/>
      <c r="H444" s="139"/>
      <c r="I444" s="84"/>
    </row>
    <row r="445" spans="1:9">
      <c r="A445" s="139"/>
      <c r="B445" s="139"/>
      <c r="C445" s="138"/>
      <c r="D445" s="140"/>
      <c r="E445" s="84"/>
      <c r="F445" s="84"/>
      <c r="G445" s="84"/>
      <c r="H445" s="139"/>
      <c r="I445" s="84"/>
    </row>
    <row r="446" spans="1:9">
      <c r="A446" s="139"/>
      <c r="B446" s="139"/>
      <c r="C446" s="138"/>
      <c r="D446" s="140"/>
      <c r="E446" s="84"/>
      <c r="F446" s="84"/>
      <c r="G446" s="84"/>
      <c r="H446" s="139"/>
      <c r="I446" s="84"/>
    </row>
    <row r="447" spans="1:9">
      <c r="A447" s="139"/>
      <c r="B447" s="139"/>
      <c r="C447" s="138"/>
      <c r="D447" s="140"/>
      <c r="E447" s="84"/>
      <c r="F447" s="84"/>
      <c r="G447" s="84"/>
      <c r="H447" s="139"/>
      <c r="I447" s="84"/>
    </row>
    <row r="448" spans="1:9">
      <c r="A448" s="139"/>
      <c r="B448" s="139"/>
      <c r="C448" s="138"/>
      <c r="D448" s="140"/>
      <c r="E448" s="84"/>
      <c r="F448" s="84"/>
      <c r="G448" s="84"/>
      <c r="H448" s="139"/>
      <c r="I448" s="84"/>
    </row>
    <row r="449" spans="1:9">
      <c r="A449" s="139"/>
      <c r="B449" s="139"/>
      <c r="C449" s="138"/>
      <c r="D449" s="140"/>
      <c r="E449" s="84"/>
      <c r="F449" s="84"/>
      <c r="G449" s="84"/>
      <c r="H449" s="139"/>
      <c r="I449" s="84"/>
    </row>
    <row r="450" spans="1:9">
      <c r="A450" s="139"/>
      <c r="B450" s="139"/>
      <c r="C450" s="138"/>
      <c r="D450" s="140"/>
      <c r="E450" s="84"/>
      <c r="F450" s="84"/>
      <c r="G450" s="84"/>
      <c r="H450" s="139"/>
      <c r="I450" s="84"/>
    </row>
    <row r="451" spans="1:9">
      <c r="A451" s="139"/>
      <c r="B451" s="139"/>
      <c r="C451" s="138"/>
      <c r="D451" s="140"/>
      <c r="E451" s="84"/>
      <c r="F451" s="84"/>
      <c r="G451" s="84"/>
      <c r="H451" s="139"/>
      <c r="I451" s="84"/>
    </row>
    <row r="452" spans="1:9">
      <c r="A452" s="139"/>
      <c r="B452" s="139"/>
      <c r="C452" s="138"/>
      <c r="D452" s="140"/>
      <c r="E452" s="84"/>
      <c r="F452" s="84"/>
      <c r="G452" s="84"/>
      <c r="H452" s="139"/>
      <c r="I452" s="84"/>
    </row>
    <row r="453" spans="1:9">
      <c r="A453" s="139"/>
      <c r="B453" s="139"/>
      <c r="C453" s="138"/>
      <c r="D453" s="140"/>
      <c r="E453" s="84"/>
      <c r="F453" s="84"/>
      <c r="G453" s="84"/>
      <c r="H453" s="139"/>
      <c r="I453" s="84"/>
    </row>
    <row r="454" spans="1:9">
      <c r="A454" s="139"/>
      <c r="B454" s="139"/>
      <c r="C454" s="138"/>
      <c r="D454" s="140"/>
      <c r="E454" s="84"/>
      <c r="F454" s="84"/>
      <c r="G454" s="84"/>
      <c r="H454" s="139"/>
      <c r="I454" s="84"/>
    </row>
    <row r="455" spans="1:9">
      <c r="A455" s="139"/>
      <c r="B455" s="139"/>
      <c r="C455" s="138"/>
      <c r="D455" s="140"/>
      <c r="E455" s="84"/>
      <c r="F455" s="84"/>
      <c r="G455" s="84"/>
      <c r="H455" s="139"/>
      <c r="I455" s="84"/>
    </row>
    <row r="456" spans="1:9">
      <c r="A456" s="139"/>
      <c r="B456" s="139"/>
      <c r="C456" s="138"/>
      <c r="D456" s="140"/>
      <c r="E456" s="84"/>
      <c r="F456" s="84"/>
      <c r="G456" s="84"/>
      <c r="H456" s="139"/>
      <c r="I456" s="84"/>
    </row>
    <row r="457" spans="1:9">
      <c r="A457" s="139"/>
      <c r="B457" s="139"/>
      <c r="C457" s="138"/>
      <c r="D457" s="140"/>
      <c r="E457" s="84"/>
      <c r="F457" s="84"/>
      <c r="G457" s="84"/>
      <c r="H457" s="139"/>
      <c r="I457" s="84"/>
    </row>
    <row r="458" spans="1:9">
      <c r="A458" s="139"/>
      <c r="B458" s="139"/>
      <c r="C458" s="138"/>
      <c r="D458" s="140"/>
      <c r="E458" s="84"/>
      <c r="F458" s="84"/>
      <c r="G458" s="84"/>
      <c r="H458" s="139"/>
      <c r="I458" s="84"/>
    </row>
    <row r="459" spans="1:9">
      <c r="A459" s="139"/>
      <c r="B459" s="139"/>
      <c r="C459" s="138"/>
      <c r="D459" s="140"/>
      <c r="E459" s="84"/>
      <c r="F459" s="84"/>
      <c r="G459" s="84"/>
      <c r="H459" s="139"/>
      <c r="I459" s="84"/>
    </row>
    <row r="460" spans="1:9">
      <c r="A460" s="139"/>
      <c r="B460" s="139"/>
      <c r="C460" s="138"/>
      <c r="D460" s="140"/>
      <c r="E460" s="84"/>
      <c r="F460" s="84"/>
      <c r="G460" s="84"/>
      <c r="H460" s="139"/>
      <c r="I460" s="84"/>
    </row>
    <row r="461" spans="1:9">
      <c r="A461" s="139"/>
      <c r="B461" s="139"/>
      <c r="C461" s="138"/>
      <c r="D461" s="140"/>
      <c r="E461" s="84"/>
      <c r="F461" s="84"/>
      <c r="G461" s="84"/>
      <c r="H461" s="139"/>
      <c r="I461" s="84"/>
    </row>
    <row r="462" spans="1:9">
      <c r="A462" s="139"/>
      <c r="B462" s="139"/>
      <c r="C462" s="138"/>
      <c r="D462" s="140"/>
      <c r="E462" s="84"/>
      <c r="F462" s="84"/>
      <c r="G462" s="84"/>
      <c r="H462" s="139"/>
      <c r="I462" s="84"/>
    </row>
    <row r="463" spans="1:9">
      <c r="A463" s="139"/>
      <c r="B463" s="139"/>
      <c r="C463" s="138"/>
      <c r="D463" s="140"/>
      <c r="E463" s="84"/>
      <c r="F463" s="84"/>
      <c r="G463" s="84"/>
      <c r="H463" s="139"/>
      <c r="I463" s="84"/>
    </row>
    <row r="464" spans="1:9">
      <c r="A464" s="139"/>
      <c r="B464" s="139"/>
      <c r="C464" s="138"/>
      <c r="D464" s="140"/>
      <c r="E464" s="84"/>
      <c r="F464" s="84"/>
      <c r="G464" s="84"/>
      <c r="H464" s="139"/>
      <c r="I464" s="84"/>
    </row>
    <row r="465" spans="1:9">
      <c r="A465" s="139"/>
      <c r="B465" s="139"/>
      <c r="C465" s="138"/>
      <c r="D465" s="140"/>
      <c r="E465" s="84"/>
      <c r="F465" s="84"/>
      <c r="G465" s="84"/>
      <c r="H465" s="139"/>
      <c r="I465" s="84"/>
    </row>
    <row r="466" spans="1:9">
      <c r="A466" s="139"/>
      <c r="B466" s="139"/>
      <c r="C466" s="138"/>
      <c r="D466" s="140"/>
      <c r="E466" s="84"/>
      <c r="F466" s="84"/>
      <c r="G466" s="84"/>
      <c r="H466" s="139"/>
      <c r="I466" s="84"/>
    </row>
    <row r="467" spans="1:9">
      <c r="A467" s="139"/>
      <c r="B467" s="139"/>
      <c r="C467" s="138"/>
      <c r="D467" s="140"/>
      <c r="E467" s="84"/>
      <c r="F467" s="84"/>
      <c r="G467" s="84"/>
      <c r="H467" s="139"/>
      <c r="I467" s="84"/>
    </row>
    <row r="468" spans="1:9">
      <c r="A468" s="139"/>
      <c r="B468" s="139"/>
      <c r="C468" s="138"/>
      <c r="D468" s="140"/>
      <c r="E468" s="84"/>
      <c r="F468" s="84"/>
      <c r="G468" s="84"/>
      <c r="H468" s="139"/>
      <c r="I468" s="84"/>
    </row>
    <row r="469" spans="1:9">
      <c r="A469" s="139"/>
      <c r="B469" s="139"/>
      <c r="C469" s="138"/>
      <c r="D469" s="140"/>
      <c r="E469" s="84"/>
      <c r="F469" s="84"/>
      <c r="G469" s="84"/>
      <c r="H469" s="139"/>
      <c r="I469" s="84"/>
    </row>
    <row r="470" spans="1:9">
      <c r="A470" s="139"/>
      <c r="B470" s="139"/>
      <c r="C470" s="138"/>
      <c r="D470" s="140"/>
      <c r="E470" s="84"/>
      <c r="F470" s="84"/>
      <c r="G470" s="84"/>
      <c r="H470" s="139"/>
      <c r="I470" s="84"/>
    </row>
    <row r="471" spans="1:9">
      <c r="A471" s="139"/>
      <c r="B471" s="139"/>
      <c r="C471" s="138"/>
      <c r="D471" s="140"/>
      <c r="E471" s="84"/>
      <c r="F471" s="84"/>
      <c r="G471" s="84"/>
      <c r="H471" s="139"/>
      <c r="I471" s="84"/>
    </row>
    <row r="472" spans="1:9">
      <c r="A472" s="139"/>
      <c r="B472" s="139"/>
      <c r="C472" s="138"/>
      <c r="D472" s="140"/>
      <c r="E472" s="84"/>
      <c r="F472" s="84"/>
      <c r="G472" s="84"/>
      <c r="H472" s="139"/>
      <c r="I472" s="84"/>
    </row>
    <row r="473" spans="1:9">
      <c r="A473" s="139"/>
      <c r="B473" s="139"/>
      <c r="C473" s="138"/>
      <c r="D473" s="140"/>
      <c r="E473" s="84"/>
      <c r="F473" s="84"/>
      <c r="G473" s="84"/>
      <c r="H473" s="139"/>
      <c r="I473" s="84"/>
    </row>
    <row r="474" spans="1:9">
      <c r="A474" s="139"/>
      <c r="B474" s="139"/>
      <c r="C474" s="138"/>
      <c r="D474" s="140"/>
      <c r="E474" s="84"/>
      <c r="F474" s="84"/>
      <c r="G474" s="84"/>
      <c r="H474" s="139"/>
      <c r="I474" s="84"/>
    </row>
    <row r="475" spans="1:9">
      <c r="A475" s="139"/>
      <c r="B475" s="139"/>
      <c r="C475" s="138"/>
      <c r="D475" s="140"/>
      <c r="E475" s="84"/>
      <c r="F475" s="84"/>
      <c r="G475" s="84"/>
      <c r="H475" s="139"/>
      <c r="I475" s="84"/>
    </row>
    <row r="476" spans="1:9">
      <c r="A476" s="139"/>
      <c r="B476" s="139"/>
      <c r="C476" s="138"/>
      <c r="D476" s="140"/>
      <c r="E476" s="84"/>
      <c r="F476" s="84"/>
      <c r="G476" s="84"/>
      <c r="H476" s="139"/>
      <c r="I476" s="84"/>
    </row>
    <row r="477" spans="1:9">
      <c r="A477" s="139"/>
      <c r="B477" s="139"/>
      <c r="C477" s="138"/>
      <c r="D477" s="140"/>
      <c r="E477" s="84"/>
      <c r="F477" s="84"/>
      <c r="G477" s="84"/>
      <c r="H477" s="139"/>
      <c r="I477" s="84"/>
    </row>
    <row r="478" spans="1:9">
      <c r="A478" s="139"/>
      <c r="B478" s="139"/>
      <c r="C478" s="138"/>
      <c r="D478" s="140"/>
      <c r="E478" s="84"/>
      <c r="F478" s="84"/>
      <c r="G478" s="84"/>
      <c r="H478" s="139"/>
      <c r="I478" s="84"/>
    </row>
    <row r="479" spans="1:9">
      <c r="A479" s="139"/>
      <c r="B479" s="139"/>
      <c r="C479" s="138"/>
      <c r="D479" s="140"/>
      <c r="E479" s="84"/>
      <c r="F479" s="84"/>
      <c r="G479" s="84"/>
      <c r="H479" s="139"/>
      <c r="I479" s="84"/>
    </row>
    <row r="480" spans="1:9">
      <c r="A480" s="139"/>
      <c r="B480" s="139"/>
      <c r="C480" s="138"/>
      <c r="D480" s="140"/>
      <c r="E480" s="84"/>
      <c r="F480" s="84"/>
      <c r="G480" s="84"/>
      <c r="H480" s="139"/>
      <c r="I480" s="84"/>
    </row>
    <row r="481" spans="1:9">
      <c r="A481" s="139"/>
      <c r="B481" s="139"/>
      <c r="C481" s="138"/>
      <c r="D481" s="140"/>
      <c r="E481" s="84"/>
      <c r="F481" s="84"/>
      <c r="G481" s="84"/>
      <c r="H481" s="139"/>
      <c r="I481" s="84"/>
    </row>
    <row r="482" spans="1:9">
      <c r="A482" s="139"/>
      <c r="B482" s="139"/>
      <c r="C482" s="138"/>
      <c r="D482" s="140"/>
      <c r="E482" s="84"/>
      <c r="F482" s="84"/>
      <c r="G482" s="84"/>
      <c r="H482" s="139"/>
      <c r="I482" s="84"/>
    </row>
    <row r="483" spans="1:9">
      <c r="A483" s="139"/>
      <c r="B483" s="139"/>
      <c r="C483" s="138"/>
      <c r="D483" s="140"/>
      <c r="E483" s="84"/>
      <c r="F483" s="84"/>
      <c r="G483" s="84"/>
      <c r="H483" s="139"/>
      <c r="I483" s="84"/>
    </row>
    <row r="484" spans="1:9">
      <c r="A484" s="139"/>
      <c r="B484" s="139"/>
      <c r="C484" s="138"/>
      <c r="D484" s="140"/>
      <c r="E484" s="84"/>
      <c r="F484" s="84"/>
      <c r="G484" s="84"/>
      <c r="H484" s="139"/>
      <c r="I484" s="84"/>
    </row>
    <row r="485" spans="1:9">
      <c r="A485" s="139"/>
      <c r="B485" s="139"/>
      <c r="C485" s="138"/>
      <c r="D485" s="140"/>
      <c r="E485" s="84"/>
      <c r="F485" s="84"/>
      <c r="G485" s="84"/>
      <c r="H485" s="139"/>
      <c r="I485" s="84"/>
    </row>
    <row r="486" spans="1:9">
      <c r="A486" s="139"/>
      <c r="B486" s="139"/>
      <c r="C486" s="138"/>
      <c r="D486" s="140"/>
      <c r="E486" s="84"/>
      <c r="F486" s="84"/>
      <c r="G486" s="84"/>
      <c r="H486" s="139"/>
      <c r="I486" s="84"/>
    </row>
    <row r="487" spans="1:9">
      <c r="A487" s="139"/>
      <c r="B487" s="139"/>
      <c r="C487" s="138"/>
      <c r="D487" s="140"/>
      <c r="E487" s="84"/>
      <c r="F487" s="84"/>
      <c r="G487" s="84"/>
      <c r="H487" s="139"/>
      <c r="I487" s="84"/>
    </row>
    <row r="488" spans="1:9">
      <c r="A488" s="139"/>
      <c r="B488" s="139"/>
      <c r="C488" s="138"/>
      <c r="D488" s="140"/>
      <c r="E488" s="84"/>
      <c r="F488" s="84"/>
      <c r="G488" s="84"/>
      <c r="H488" s="139"/>
      <c r="I488" s="84"/>
    </row>
    <row r="489" spans="1:9">
      <c r="A489" s="139"/>
      <c r="B489" s="139"/>
      <c r="C489" s="138"/>
      <c r="D489" s="140"/>
      <c r="E489" s="84"/>
      <c r="F489" s="84"/>
      <c r="G489" s="84"/>
      <c r="H489" s="139"/>
      <c r="I489" s="84"/>
    </row>
    <row r="490" spans="1:9">
      <c r="A490" s="139"/>
      <c r="B490" s="139"/>
      <c r="C490" s="138"/>
      <c r="D490" s="140"/>
      <c r="E490" s="84"/>
      <c r="F490" s="84"/>
      <c r="G490" s="84"/>
      <c r="H490" s="139"/>
      <c r="I490" s="84"/>
    </row>
    <row r="491" spans="1:9">
      <c r="A491" s="139"/>
      <c r="B491" s="139"/>
      <c r="C491" s="138"/>
      <c r="D491" s="140"/>
      <c r="E491" s="84"/>
      <c r="F491" s="84"/>
      <c r="G491" s="84"/>
      <c r="H491" s="139"/>
      <c r="I491" s="84"/>
    </row>
    <row r="492" spans="1:9">
      <c r="A492" s="139"/>
      <c r="B492" s="139"/>
      <c r="C492" s="138"/>
      <c r="D492" s="140"/>
      <c r="E492" s="84"/>
      <c r="F492" s="84"/>
      <c r="G492" s="84"/>
      <c r="H492" s="139"/>
      <c r="I492" s="84"/>
    </row>
    <row r="493" spans="1:9">
      <c r="A493" s="139"/>
      <c r="B493" s="139"/>
      <c r="C493" s="138"/>
      <c r="D493" s="140"/>
      <c r="E493" s="84"/>
      <c r="F493" s="84"/>
      <c r="G493" s="84"/>
      <c r="H493" s="139"/>
      <c r="I493" s="84"/>
    </row>
    <row r="494" spans="1:9">
      <c r="A494" s="139"/>
      <c r="B494" s="139"/>
      <c r="C494" s="138"/>
      <c r="D494" s="140"/>
      <c r="E494" s="84"/>
      <c r="F494" s="84"/>
      <c r="G494" s="84"/>
      <c r="H494" s="139"/>
      <c r="I494" s="84"/>
    </row>
    <row r="495" spans="1:9">
      <c r="A495" s="139"/>
      <c r="B495" s="139"/>
      <c r="C495" s="138"/>
      <c r="D495" s="140"/>
      <c r="E495" s="84"/>
      <c r="F495" s="84"/>
      <c r="G495" s="84"/>
      <c r="H495" s="139"/>
      <c r="I495" s="84"/>
    </row>
    <row r="496" spans="1:9">
      <c r="A496" s="139"/>
      <c r="B496" s="139"/>
      <c r="C496" s="138"/>
      <c r="D496" s="140"/>
      <c r="E496" s="84"/>
      <c r="F496" s="84"/>
      <c r="G496" s="84"/>
      <c r="H496" s="139"/>
      <c r="I496" s="84"/>
    </row>
    <row r="497" spans="1:9">
      <c r="A497" s="139"/>
      <c r="B497" s="139"/>
      <c r="C497" s="138"/>
      <c r="D497" s="140"/>
      <c r="E497" s="84"/>
      <c r="F497" s="84"/>
      <c r="G497" s="84"/>
      <c r="H497" s="139"/>
      <c r="I497" s="84"/>
    </row>
    <row r="498" spans="1:9">
      <c r="A498" s="139"/>
      <c r="B498" s="139"/>
      <c r="C498" s="138"/>
      <c r="D498" s="140"/>
      <c r="E498" s="84"/>
      <c r="F498" s="84"/>
      <c r="G498" s="84"/>
      <c r="H498" s="139"/>
      <c r="I498" s="84"/>
    </row>
    <row r="499" spans="1:9">
      <c r="A499" s="139"/>
      <c r="B499" s="139"/>
      <c r="C499" s="138"/>
      <c r="D499" s="140"/>
      <c r="E499" s="84"/>
      <c r="F499" s="84"/>
      <c r="G499" s="84"/>
      <c r="H499" s="139"/>
      <c r="I499" s="84"/>
    </row>
    <row r="500" spans="1:9">
      <c r="A500" s="139"/>
      <c r="B500" s="139"/>
      <c r="C500" s="138"/>
      <c r="D500" s="140"/>
      <c r="E500" s="84"/>
      <c r="F500" s="84"/>
      <c r="G500" s="84"/>
      <c r="H500" s="139"/>
      <c r="I500" s="84"/>
    </row>
    <row r="501" spans="1:9">
      <c r="A501" s="139"/>
      <c r="B501" s="139"/>
      <c r="C501" s="138"/>
      <c r="D501" s="140"/>
      <c r="E501" s="84"/>
      <c r="F501" s="84"/>
      <c r="G501" s="84"/>
      <c r="H501" s="139"/>
      <c r="I501" s="84"/>
    </row>
    <row r="502" spans="1:9">
      <c r="A502" s="139"/>
      <c r="B502" s="139"/>
      <c r="C502" s="138"/>
      <c r="D502" s="140"/>
      <c r="E502" s="84"/>
      <c r="F502" s="84"/>
      <c r="G502" s="84"/>
      <c r="H502" s="139"/>
      <c r="I502" s="84"/>
    </row>
    <row r="503" spans="1:9">
      <c r="A503" s="139"/>
      <c r="B503" s="139"/>
      <c r="C503" s="138"/>
      <c r="D503" s="140"/>
      <c r="E503" s="84"/>
      <c r="F503" s="84"/>
      <c r="G503" s="84"/>
      <c r="H503" s="139"/>
      <c r="I503" s="84"/>
    </row>
    <row r="504" spans="1:9">
      <c r="A504" s="139"/>
      <c r="B504" s="139"/>
      <c r="C504" s="138"/>
      <c r="D504" s="140"/>
      <c r="E504" s="84"/>
      <c r="F504" s="84"/>
      <c r="G504" s="84"/>
      <c r="H504" s="139"/>
      <c r="I504" s="84"/>
    </row>
    <row r="505" spans="1:9">
      <c r="A505" s="139"/>
      <c r="B505" s="139"/>
      <c r="C505" s="138"/>
      <c r="D505" s="140"/>
      <c r="E505" s="84"/>
      <c r="F505" s="84"/>
      <c r="G505" s="84"/>
      <c r="H505" s="139"/>
      <c r="I505" s="84"/>
    </row>
    <row r="506" spans="1:9">
      <c r="A506" s="139"/>
      <c r="B506" s="139"/>
      <c r="C506" s="138"/>
      <c r="D506" s="140"/>
      <c r="E506" s="84"/>
      <c r="F506" s="84"/>
      <c r="G506" s="84"/>
      <c r="H506" s="139"/>
      <c r="I506" s="84"/>
    </row>
    <row r="507" spans="1:9">
      <c r="A507" s="139"/>
      <c r="B507" s="139"/>
      <c r="C507" s="138"/>
      <c r="D507" s="140"/>
      <c r="E507" s="84"/>
      <c r="F507" s="84"/>
      <c r="G507" s="84"/>
      <c r="H507" s="139"/>
      <c r="I507" s="84"/>
    </row>
    <row r="508" spans="1:9">
      <c r="A508" s="139"/>
      <c r="B508" s="139"/>
      <c r="C508" s="138"/>
      <c r="D508" s="140"/>
      <c r="E508" s="84"/>
      <c r="F508" s="84"/>
      <c r="G508" s="84"/>
      <c r="H508" s="139"/>
      <c r="I508" s="84"/>
    </row>
    <row r="509" spans="1:9">
      <c r="A509" s="139"/>
      <c r="B509" s="139"/>
      <c r="C509" s="138"/>
      <c r="D509" s="140"/>
      <c r="E509" s="84"/>
      <c r="F509" s="84"/>
      <c r="G509" s="84"/>
      <c r="H509" s="139"/>
      <c r="I509" s="84"/>
    </row>
    <row r="510" spans="1:9">
      <c r="A510" s="139"/>
      <c r="B510" s="139"/>
      <c r="C510" s="138"/>
      <c r="D510" s="140"/>
      <c r="E510" s="84"/>
      <c r="F510" s="84"/>
      <c r="G510" s="84"/>
      <c r="H510" s="139"/>
      <c r="I510" s="84"/>
    </row>
    <row r="511" spans="1:9">
      <c r="A511" s="139"/>
      <c r="B511" s="139"/>
      <c r="C511" s="138"/>
      <c r="D511" s="140"/>
      <c r="E511" s="84"/>
      <c r="F511" s="84"/>
      <c r="G511" s="84"/>
      <c r="H511" s="139"/>
      <c r="I511" s="84"/>
    </row>
    <row r="512" spans="1:9">
      <c r="A512" s="139"/>
      <c r="B512" s="139"/>
      <c r="C512" s="138"/>
      <c r="D512" s="140"/>
      <c r="E512" s="84"/>
      <c r="F512" s="84"/>
      <c r="G512" s="84"/>
      <c r="H512" s="139"/>
      <c r="I512" s="84"/>
    </row>
    <row r="513" spans="1:9">
      <c r="A513" s="139"/>
      <c r="B513" s="139"/>
      <c r="C513" s="138"/>
      <c r="D513" s="140"/>
      <c r="E513" s="84"/>
      <c r="F513" s="84"/>
      <c r="G513" s="84"/>
      <c r="H513" s="139"/>
      <c r="I513" s="84"/>
    </row>
    <row r="514" spans="1:9">
      <c r="A514" s="139"/>
      <c r="B514" s="139"/>
      <c r="C514" s="138"/>
      <c r="D514" s="140"/>
      <c r="E514" s="84"/>
      <c r="F514" s="84"/>
      <c r="G514" s="84"/>
      <c r="H514" s="139"/>
      <c r="I514" s="84"/>
    </row>
    <row r="515" spans="1:9">
      <c r="A515" s="139"/>
      <c r="B515" s="139"/>
      <c r="C515" s="138"/>
      <c r="D515" s="140"/>
      <c r="E515" s="84"/>
      <c r="F515" s="84"/>
      <c r="G515" s="84"/>
      <c r="H515" s="139"/>
      <c r="I515" s="84"/>
    </row>
    <row r="516" spans="1:9">
      <c r="A516" s="139"/>
      <c r="B516" s="139"/>
      <c r="C516" s="138"/>
      <c r="D516" s="140"/>
      <c r="E516" s="84"/>
      <c r="F516" s="84"/>
      <c r="G516" s="84"/>
      <c r="H516" s="139"/>
      <c r="I516" s="84"/>
    </row>
    <row r="517" spans="1:9">
      <c r="A517" s="139"/>
      <c r="B517" s="139"/>
      <c r="C517" s="138"/>
      <c r="D517" s="140"/>
      <c r="E517" s="84"/>
      <c r="F517" s="84"/>
      <c r="G517" s="84"/>
      <c r="H517" s="139"/>
      <c r="I517" s="84"/>
    </row>
    <row r="518" spans="1:9">
      <c r="A518" s="139"/>
      <c r="B518" s="139"/>
      <c r="C518" s="138"/>
      <c r="D518" s="140"/>
      <c r="E518" s="84"/>
      <c r="F518" s="84"/>
      <c r="G518" s="84"/>
      <c r="H518" s="139"/>
      <c r="I518" s="84"/>
    </row>
    <row r="519" spans="1:9">
      <c r="A519" s="139"/>
      <c r="B519" s="139"/>
      <c r="C519" s="138"/>
      <c r="D519" s="140"/>
      <c r="E519" s="84"/>
      <c r="F519" s="84"/>
      <c r="G519" s="84"/>
      <c r="H519" s="139"/>
      <c r="I519" s="84"/>
    </row>
    <row r="520" spans="1:9">
      <c r="A520" s="139"/>
      <c r="B520" s="139"/>
      <c r="C520" s="138"/>
      <c r="D520" s="140"/>
      <c r="E520" s="84"/>
      <c r="F520" s="84"/>
      <c r="G520" s="84"/>
      <c r="H520" s="139"/>
      <c r="I520" s="84"/>
    </row>
    <row r="521" spans="1:9">
      <c r="A521" s="139"/>
      <c r="B521" s="139"/>
      <c r="C521" s="138"/>
      <c r="D521" s="140"/>
      <c r="E521" s="84"/>
      <c r="F521" s="84"/>
      <c r="G521" s="84"/>
      <c r="H521" s="139"/>
      <c r="I521" s="84"/>
    </row>
    <row r="522" spans="1:9">
      <c r="A522" s="139"/>
      <c r="B522" s="139"/>
      <c r="C522" s="138"/>
      <c r="D522" s="140"/>
      <c r="E522" s="84"/>
      <c r="F522" s="84"/>
      <c r="G522" s="84"/>
      <c r="H522" s="139"/>
      <c r="I522" s="84"/>
    </row>
    <row r="523" spans="1:9">
      <c r="A523" s="139"/>
      <c r="B523" s="139"/>
      <c r="C523" s="138"/>
      <c r="D523" s="140"/>
      <c r="E523" s="84"/>
      <c r="F523" s="84"/>
      <c r="G523" s="84"/>
      <c r="H523" s="139"/>
      <c r="I523" s="84"/>
    </row>
    <row r="524" spans="1:9">
      <c r="A524" s="139"/>
      <c r="B524" s="139"/>
      <c r="C524" s="138"/>
      <c r="D524" s="140"/>
      <c r="E524" s="84"/>
      <c r="F524" s="84"/>
      <c r="G524" s="84"/>
      <c r="H524" s="139"/>
      <c r="I524" s="84"/>
    </row>
    <row r="525" spans="1:9">
      <c r="A525" s="139"/>
      <c r="B525" s="139"/>
      <c r="C525" s="138"/>
      <c r="D525" s="140"/>
      <c r="E525" s="84"/>
      <c r="F525" s="84"/>
      <c r="G525" s="84"/>
      <c r="H525" s="139"/>
      <c r="I525" s="84"/>
    </row>
    <row r="526" spans="1:9">
      <c r="A526" s="139"/>
      <c r="B526" s="139"/>
      <c r="C526" s="138"/>
      <c r="D526" s="140"/>
      <c r="E526" s="84"/>
      <c r="F526" s="84"/>
      <c r="G526" s="84"/>
      <c r="H526" s="139"/>
      <c r="I526" s="84"/>
    </row>
    <row r="527" spans="1:9">
      <c r="A527" s="139"/>
      <c r="B527" s="139"/>
      <c r="C527" s="138"/>
      <c r="D527" s="140"/>
      <c r="E527" s="84"/>
      <c r="F527" s="84"/>
      <c r="G527" s="84"/>
      <c r="H527" s="139"/>
      <c r="I527" s="84"/>
    </row>
    <row r="528" spans="1:9">
      <c r="A528" s="139"/>
      <c r="B528" s="139"/>
      <c r="C528" s="138"/>
      <c r="D528" s="140"/>
      <c r="E528" s="84"/>
      <c r="F528" s="84"/>
      <c r="G528" s="84"/>
      <c r="H528" s="139"/>
      <c r="I528" s="84"/>
    </row>
    <row r="529" spans="1:9">
      <c r="A529" s="139"/>
      <c r="B529" s="139"/>
      <c r="C529" s="138"/>
      <c r="D529" s="140"/>
      <c r="E529" s="84"/>
      <c r="F529" s="84"/>
      <c r="G529" s="84"/>
      <c r="H529" s="139"/>
      <c r="I529" s="84"/>
    </row>
    <row r="530" spans="1:9">
      <c r="A530" s="139"/>
      <c r="B530" s="139"/>
      <c r="C530" s="138"/>
      <c r="D530" s="140"/>
      <c r="E530" s="84"/>
      <c r="F530" s="84"/>
      <c r="G530" s="84"/>
      <c r="H530" s="139"/>
      <c r="I530" s="84"/>
    </row>
    <row r="531" spans="1:9">
      <c r="A531" s="139"/>
      <c r="B531" s="139"/>
      <c r="C531" s="138"/>
      <c r="D531" s="140"/>
      <c r="E531" s="84"/>
      <c r="F531" s="84"/>
      <c r="G531" s="84"/>
      <c r="H531" s="139"/>
      <c r="I531" s="84"/>
    </row>
    <row r="532" spans="1:9">
      <c r="A532" s="139"/>
      <c r="B532" s="139"/>
      <c r="C532" s="138"/>
      <c r="D532" s="140"/>
      <c r="E532" s="84"/>
      <c r="F532" s="84"/>
      <c r="G532" s="84"/>
      <c r="H532" s="139"/>
      <c r="I532" s="84"/>
    </row>
    <row r="533" spans="1:9">
      <c r="A533" s="139"/>
      <c r="B533" s="139"/>
      <c r="C533" s="138"/>
      <c r="D533" s="140"/>
      <c r="E533" s="84"/>
      <c r="F533" s="84"/>
      <c r="G533" s="84"/>
      <c r="H533" s="139"/>
      <c r="I533" s="84"/>
    </row>
    <row r="534" spans="1:9">
      <c r="A534" s="139"/>
      <c r="B534" s="139"/>
      <c r="C534" s="138"/>
      <c r="D534" s="140"/>
      <c r="E534" s="84"/>
      <c r="F534" s="84"/>
      <c r="G534" s="84"/>
      <c r="H534" s="139"/>
      <c r="I534" s="84"/>
    </row>
    <row r="535" spans="1:9">
      <c r="A535" s="139"/>
      <c r="B535" s="139"/>
      <c r="C535" s="138"/>
      <c r="D535" s="140"/>
      <c r="E535" s="84"/>
      <c r="F535" s="84"/>
      <c r="G535" s="84"/>
      <c r="H535" s="139"/>
      <c r="I535" s="84"/>
    </row>
    <row r="536" spans="1:9">
      <c r="A536" s="139"/>
      <c r="B536" s="139"/>
      <c r="C536" s="138"/>
      <c r="D536" s="140"/>
      <c r="E536" s="84"/>
      <c r="F536" s="84"/>
      <c r="G536" s="84"/>
      <c r="H536" s="139"/>
      <c r="I536" s="84"/>
    </row>
    <row r="537" spans="1:9">
      <c r="A537" s="139"/>
      <c r="B537" s="139"/>
      <c r="C537" s="138"/>
      <c r="D537" s="140"/>
      <c r="E537" s="84"/>
      <c r="F537" s="84"/>
      <c r="G537" s="84"/>
      <c r="H537" s="139"/>
      <c r="I537" s="84"/>
    </row>
    <row r="538" spans="1:9">
      <c r="A538" s="139"/>
      <c r="B538" s="139"/>
      <c r="C538" s="138"/>
      <c r="D538" s="140"/>
      <c r="E538" s="84"/>
      <c r="F538" s="84"/>
      <c r="G538" s="84"/>
      <c r="H538" s="139"/>
      <c r="I538" s="84"/>
    </row>
    <row r="539" spans="1:9">
      <c r="A539" s="139"/>
      <c r="B539" s="139"/>
      <c r="C539" s="138"/>
      <c r="D539" s="140"/>
      <c r="E539" s="84"/>
      <c r="F539" s="84"/>
      <c r="G539" s="84"/>
      <c r="H539" s="139"/>
      <c r="I539" s="84"/>
    </row>
    <row r="540" spans="1:9">
      <c r="A540" s="139"/>
      <c r="B540" s="139"/>
      <c r="C540" s="138"/>
      <c r="D540" s="140"/>
      <c r="E540" s="84"/>
      <c r="F540" s="84"/>
      <c r="G540" s="84"/>
      <c r="H540" s="139"/>
      <c r="I540" s="84"/>
    </row>
    <row r="541" spans="1:9">
      <c r="A541" s="139"/>
      <c r="B541" s="139"/>
      <c r="C541" s="138"/>
      <c r="D541" s="140"/>
      <c r="E541" s="84"/>
      <c r="F541" s="84"/>
      <c r="G541" s="84"/>
      <c r="H541" s="139"/>
      <c r="I541" s="84"/>
    </row>
    <row r="542" spans="1:9">
      <c r="A542" s="139"/>
      <c r="B542" s="139"/>
      <c r="C542" s="138"/>
      <c r="D542" s="140"/>
      <c r="E542" s="84"/>
      <c r="F542" s="84"/>
      <c r="G542" s="84"/>
      <c r="H542" s="139"/>
      <c r="I542" s="84"/>
    </row>
    <row r="543" spans="1:9">
      <c r="A543" s="139"/>
      <c r="B543" s="139"/>
      <c r="C543" s="138"/>
      <c r="D543" s="140"/>
      <c r="E543" s="84"/>
      <c r="F543" s="84"/>
      <c r="G543" s="84"/>
      <c r="H543" s="139"/>
      <c r="I543" s="84"/>
    </row>
    <row r="544" spans="1:9">
      <c r="A544" s="139"/>
      <c r="B544" s="139"/>
      <c r="C544" s="138"/>
      <c r="D544" s="140"/>
      <c r="E544" s="84"/>
      <c r="F544" s="84"/>
      <c r="G544" s="84"/>
      <c r="H544" s="139"/>
      <c r="I544" s="84"/>
    </row>
    <row r="545" spans="1:9">
      <c r="A545" s="139"/>
      <c r="B545" s="139"/>
      <c r="C545" s="138"/>
      <c r="D545" s="140"/>
      <c r="E545" s="84"/>
      <c r="F545" s="84"/>
      <c r="G545" s="84"/>
      <c r="H545" s="139"/>
      <c r="I545" s="84"/>
    </row>
    <row r="546" spans="1:9">
      <c r="A546" s="139"/>
      <c r="B546" s="139"/>
      <c r="C546" s="138"/>
      <c r="D546" s="140"/>
      <c r="E546" s="84"/>
      <c r="F546" s="84"/>
      <c r="G546" s="84"/>
      <c r="H546" s="139"/>
      <c r="I546" s="84"/>
    </row>
    <row r="547" spans="1:9">
      <c r="A547" s="139"/>
      <c r="B547" s="139"/>
      <c r="C547" s="138"/>
      <c r="D547" s="140"/>
      <c r="E547" s="84"/>
      <c r="F547" s="84"/>
      <c r="G547" s="84"/>
      <c r="H547" s="139"/>
      <c r="I547" s="84"/>
    </row>
    <row r="548" spans="1:9">
      <c r="A548" s="139"/>
      <c r="B548" s="139"/>
      <c r="C548" s="138"/>
      <c r="D548" s="140"/>
      <c r="E548" s="84"/>
      <c r="F548" s="84"/>
      <c r="G548" s="84"/>
      <c r="H548" s="139"/>
      <c r="I548" s="84"/>
    </row>
    <row r="549" spans="1:9">
      <c r="A549" s="139"/>
      <c r="B549" s="139"/>
      <c r="C549" s="138"/>
      <c r="D549" s="140"/>
      <c r="E549" s="84"/>
      <c r="F549" s="84"/>
      <c r="G549" s="84"/>
      <c r="H549" s="139"/>
      <c r="I549" s="84"/>
    </row>
    <row r="550" spans="1:9">
      <c r="A550" s="139"/>
      <c r="B550" s="139"/>
      <c r="C550" s="138"/>
      <c r="D550" s="140"/>
      <c r="E550" s="84"/>
      <c r="F550" s="84"/>
      <c r="G550" s="84"/>
      <c r="H550" s="139"/>
      <c r="I550" s="84"/>
    </row>
    <row r="551" spans="1:9">
      <c r="A551" s="139"/>
      <c r="B551" s="139"/>
      <c r="C551" s="138"/>
      <c r="D551" s="140"/>
      <c r="E551" s="84"/>
      <c r="F551" s="84"/>
      <c r="G551" s="84"/>
      <c r="H551" s="139"/>
      <c r="I551" s="84"/>
    </row>
    <row r="552" spans="1:9">
      <c r="A552" s="139"/>
      <c r="B552" s="139"/>
      <c r="C552" s="138"/>
      <c r="D552" s="140"/>
      <c r="E552" s="84"/>
      <c r="F552" s="84"/>
      <c r="G552" s="84"/>
      <c r="H552" s="139"/>
      <c r="I552" s="84"/>
    </row>
    <row r="553" spans="1:9">
      <c r="A553" s="139"/>
      <c r="B553" s="139"/>
      <c r="C553" s="138"/>
      <c r="D553" s="140"/>
      <c r="E553" s="84"/>
      <c r="F553" s="84"/>
      <c r="G553" s="84"/>
      <c r="H553" s="139"/>
      <c r="I553" s="84"/>
    </row>
    <row r="554" spans="1:9">
      <c r="A554" s="139"/>
      <c r="B554" s="139"/>
      <c r="C554" s="138"/>
      <c r="D554" s="140"/>
      <c r="E554" s="84"/>
      <c r="F554" s="84"/>
      <c r="G554" s="84"/>
      <c r="H554" s="139"/>
      <c r="I554" s="84"/>
    </row>
    <row r="555" spans="1:9">
      <c r="A555" s="139"/>
      <c r="B555" s="139"/>
      <c r="C555" s="138"/>
      <c r="D555" s="140"/>
      <c r="E555" s="84"/>
      <c r="F555" s="84"/>
      <c r="G555" s="84"/>
      <c r="H555" s="139"/>
      <c r="I555" s="84"/>
    </row>
    <row r="556" spans="1:9">
      <c r="A556" s="139"/>
      <c r="B556" s="139"/>
      <c r="C556" s="138"/>
      <c r="D556" s="140"/>
      <c r="E556" s="84"/>
      <c r="F556" s="84"/>
      <c r="G556" s="84"/>
      <c r="H556" s="139"/>
      <c r="I556" s="84"/>
    </row>
    <row r="557" spans="1:9">
      <c r="A557" s="139"/>
      <c r="B557" s="139"/>
      <c r="C557" s="138"/>
      <c r="D557" s="140"/>
      <c r="E557" s="84"/>
      <c r="F557" s="84"/>
      <c r="G557" s="84"/>
      <c r="H557" s="139"/>
      <c r="I557" s="84"/>
    </row>
    <row r="558" spans="1:9">
      <c r="A558" s="139"/>
      <c r="B558" s="139"/>
      <c r="C558" s="138"/>
      <c r="D558" s="140"/>
      <c r="E558" s="84"/>
      <c r="F558" s="84"/>
      <c r="G558" s="84"/>
      <c r="H558" s="139"/>
      <c r="I558" s="84"/>
    </row>
    <row r="559" spans="1:9">
      <c r="A559" s="139"/>
      <c r="B559" s="139"/>
      <c r="C559" s="138"/>
      <c r="D559" s="140"/>
      <c r="E559" s="84"/>
      <c r="F559" s="84"/>
      <c r="G559" s="84"/>
      <c r="H559" s="139"/>
      <c r="I559" s="84"/>
    </row>
    <row r="560" spans="1:9">
      <c r="A560" s="139"/>
      <c r="B560" s="139"/>
      <c r="C560" s="138"/>
      <c r="D560" s="140"/>
      <c r="E560" s="84"/>
      <c r="F560" s="84"/>
      <c r="G560" s="84"/>
      <c r="H560" s="139"/>
      <c r="I560" s="84"/>
    </row>
    <row r="561" spans="1:9">
      <c r="A561" s="139"/>
      <c r="B561" s="139"/>
      <c r="C561" s="138"/>
      <c r="D561" s="140"/>
      <c r="E561" s="84"/>
      <c r="F561" s="84"/>
      <c r="G561" s="84"/>
      <c r="H561" s="139"/>
      <c r="I561" s="84"/>
    </row>
    <row r="562" spans="1:9">
      <c r="A562" s="139"/>
      <c r="B562" s="139"/>
      <c r="C562" s="138"/>
      <c r="D562" s="140"/>
      <c r="E562" s="84"/>
      <c r="F562" s="84"/>
      <c r="G562" s="84"/>
      <c r="H562" s="139"/>
      <c r="I562" s="84"/>
    </row>
    <row r="563" spans="1:9">
      <c r="A563" s="139"/>
      <c r="B563" s="139"/>
      <c r="C563" s="138"/>
      <c r="D563" s="140"/>
      <c r="E563" s="84"/>
      <c r="F563" s="84"/>
      <c r="G563" s="84"/>
      <c r="H563" s="139"/>
      <c r="I563" s="84"/>
    </row>
    <row r="564" spans="1:9">
      <c r="A564" s="139"/>
      <c r="B564" s="139"/>
      <c r="C564" s="138"/>
      <c r="D564" s="140"/>
      <c r="E564" s="84"/>
      <c r="F564" s="84"/>
      <c r="G564" s="84"/>
      <c r="H564" s="139"/>
      <c r="I564" s="84"/>
    </row>
    <row r="565" spans="1:9">
      <c r="A565" s="139"/>
      <c r="B565" s="139"/>
      <c r="C565" s="138"/>
      <c r="D565" s="140"/>
      <c r="E565" s="84"/>
      <c r="F565" s="84"/>
      <c r="G565" s="84"/>
      <c r="H565" s="139"/>
      <c r="I565" s="84"/>
    </row>
    <row r="566" spans="1:9">
      <c r="A566" s="139"/>
      <c r="B566" s="139"/>
      <c r="C566" s="138"/>
      <c r="D566" s="140"/>
      <c r="E566" s="84"/>
      <c r="F566" s="84"/>
      <c r="G566" s="84"/>
      <c r="H566" s="139"/>
      <c r="I566" s="84"/>
    </row>
    <row r="567" spans="1:9">
      <c r="A567" s="139"/>
      <c r="B567" s="139"/>
      <c r="C567" s="138"/>
      <c r="D567" s="140"/>
      <c r="E567" s="84"/>
      <c r="F567" s="84"/>
      <c r="G567" s="84"/>
      <c r="H567" s="139"/>
      <c r="I567" s="84"/>
    </row>
    <row r="568" spans="1:9">
      <c r="A568" s="139"/>
      <c r="B568" s="139"/>
      <c r="C568" s="138"/>
      <c r="D568" s="140"/>
      <c r="E568" s="84"/>
      <c r="F568" s="84"/>
      <c r="G568" s="84"/>
      <c r="H568" s="139"/>
      <c r="I568" s="84"/>
    </row>
    <row r="569" spans="1:9">
      <c r="A569" s="139"/>
      <c r="B569" s="139"/>
      <c r="C569" s="138"/>
      <c r="D569" s="140"/>
      <c r="E569" s="84"/>
      <c r="F569" s="84"/>
      <c r="G569" s="84"/>
      <c r="H569" s="139"/>
      <c r="I569" s="84"/>
    </row>
    <row r="570" spans="1:9">
      <c r="A570" s="139"/>
      <c r="B570" s="139"/>
      <c r="C570" s="138"/>
      <c r="D570" s="140"/>
      <c r="E570" s="84"/>
      <c r="F570" s="84"/>
      <c r="G570" s="84"/>
      <c r="H570" s="139"/>
      <c r="I570" s="84"/>
    </row>
    <row r="571" spans="1:9">
      <c r="A571" s="139"/>
      <c r="B571" s="139"/>
      <c r="C571" s="138"/>
      <c r="D571" s="140"/>
      <c r="E571" s="84"/>
      <c r="F571" s="84"/>
      <c r="G571" s="84"/>
      <c r="H571" s="139"/>
      <c r="I571" s="84"/>
    </row>
    <row r="572" spans="1:9">
      <c r="A572" s="139"/>
      <c r="B572" s="139"/>
      <c r="C572" s="138"/>
      <c r="D572" s="140"/>
      <c r="E572" s="84"/>
      <c r="F572" s="84"/>
      <c r="G572" s="84"/>
      <c r="H572" s="139"/>
      <c r="I572" s="84"/>
    </row>
    <row r="573" spans="1:9">
      <c r="A573" s="139"/>
      <c r="B573" s="139"/>
      <c r="C573" s="138"/>
      <c r="D573" s="140"/>
      <c r="E573" s="84"/>
      <c r="F573" s="84"/>
      <c r="G573" s="84"/>
      <c r="H573" s="139"/>
      <c r="I573" s="84"/>
    </row>
    <row r="574" spans="1:9">
      <c r="A574" s="139"/>
      <c r="B574" s="139"/>
      <c r="C574" s="138"/>
      <c r="D574" s="140"/>
      <c r="E574" s="84"/>
      <c r="F574" s="84"/>
      <c r="G574" s="84"/>
      <c r="H574" s="139"/>
      <c r="I574" s="84"/>
    </row>
    <row r="575" spans="1:9">
      <c r="A575" s="139"/>
      <c r="B575" s="139"/>
      <c r="C575" s="138"/>
      <c r="D575" s="140"/>
      <c r="E575" s="84"/>
      <c r="F575" s="84"/>
      <c r="G575" s="84"/>
      <c r="H575" s="139"/>
      <c r="I575" s="84"/>
    </row>
    <row r="576" spans="1:9">
      <c r="A576" s="139"/>
      <c r="B576" s="139"/>
      <c r="C576" s="138"/>
      <c r="D576" s="140"/>
      <c r="E576" s="84"/>
      <c r="F576" s="84"/>
      <c r="G576" s="84"/>
      <c r="H576" s="139"/>
      <c r="I576" s="84"/>
    </row>
    <row r="577" spans="1:9">
      <c r="A577" s="139"/>
      <c r="B577" s="139"/>
      <c r="C577" s="138"/>
      <c r="D577" s="140"/>
      <c r="E577" s="84"/>
      <c r="F577" s="84"/>
      <c r="G577" s="84"/>
      <c r="H577" s="139"/>
      <c r="I577" s="84"/>
    </row>
    <row r="578" spans="1:9">
      <c r="A578" s="139"/>
      <c r="B578" s="139"/>
      <c r="C578" s="138"/>
      <c r="D578" s="140"/>
      <c r="E578" s="84"/>
      <c r="F578" s="84"/>
      <c r="G578" s="84"/>
      <c r="H578" s="139"/>
      <c r="I578" s="84"/>
    </row>
    <row r="579" spans="1:9">
      <c r="A579" s="139"/>
      <c r="B579" s="139"/>
      <c r="C579" s="138"/>
      <c r="D579" s="140"/>
      <c r="E579" s="84"/>
      <c r="F579" s="84"/>
      <c r="G579" s="84"/>
      <c r="H579" s="139"/>
      <c r="I579" s="84"/>
    </row>
    <row r="580" spans="1:9">
      <c r="A580" s="139"/>
      <c r="B580" s="139"/>
      <c r="C580" s="138"/>
      <c r="D580" s="140"/>
      <c r="E580" s="84"/>
      <c r="F580" s="84"/>
      <c r="G580" s="84"/>
      <c r="H580" s="139"/>
      <c r="I580" s="84"/>
    </row>
    <row r="581" spans="1:9">
      <c r="A581" s="139"/>
      <c r="B581" s="139"/>
      <c r="C581" s="138"/>
      <c r="D581" s="140"/>
      <c r="E581" s="84"/>
      <c r="F581" s="84"/>
      <c r="G581" s="84"/>
      <c r="H581" s="139"/>
      <c r="I581" s="84"/>
    </row>
    <row r="582" spans="1:9">
      <c r="A582" s="139"/>
      <c r="B582" s="139"/>
      <c r="C582" s="138"/>
      <c r="D582" s="140"/>
      <c r="E582" s="84"/>
      <c r="F582" s="84"/>
      <c r="G582" s="84"/>
      <c r="H582" s="139"/>
      <c r="I582" s="84"/>
    </row>
    <row r="583" spans="1:9">
      <c r="A583" s="139"/>
      <c r="B583" s="139"/>
      <c r="C583" s="138"/>
      <c r="D583" s="140"/>
      <c r="E583" s="84"/>
      <c r="F583" s="84"/>
      <c r="G583" s="84"/>
      <c r="H583" s="139"/>
      <c r="I583" s="84"/>
    </row>
    <row r="584" spans="1:9">
      <c r="A584" s="139"/>
      <c r="B584" s="139"/>
      <c r="C584" s="138"/>
      <c r="D584" s="140"/>
      <c r="E584" s="84"/>
      <c r="F584" s="84"/>
      <c r="G584" s="84"/>
      <c r="H584" s="139"/>
      <c r="I584" s="84"/>
    </row>
    <row r="585" spans="1:9">
      <c r="A585" s="139"/>
      <c r="B585" s="139"/>
      <c r="C585" s="138"/>
      <c r="D585" s="140"/>
      <c r="E585" s="84"/>
      <c r="F585" s="84"/>
      <c r="G585" s="84"/>
      <c r="H585" s="139"/>
      <c r="I585" s="84"/>
    </row>
    <row r="586" spans="1:9">
      <c r="A586" s="139"/>
      <c r="B586" s="139"/>
      <c r="C586" s="138"/>
      <c r="D586" s="140"/>
      <c r="E586" s="84"/>
      <c r="F586" s="84"/>
      <c r="G586" s="84"/>
      <c r="H586" s="139"/>
      <c r="I586" s="84"/>
    </row>
    <row r="587" spans="1:9">
      <c r="A587" s="139"/>
      <c r="B587" s="139"/>
      <c r="C587" s="138"/>
      <c r="D587" s="140"/>
      <c r="E587" s="84"/>
      <c r="F587" s="84"/>
      <c r="G587" s="84"/>
      <c r="H587" s="139"/>
      <c r="I587" s="84"/>
    </row>
    <row r="588" spans="1:9">
      <c r="A588" s="139"/>
      <c r="B588" s="139"/>
      <c r="C588" s="138"/>
      <c r="D588" s="140"/>
      <c r="E588" s="84"/>
      <c r="F588" s="84"/>
      <c r="G588" s="84"/>
      <c r="H588" s="139"/>
      <c r="I588" s="84"/>
    </row>
    <row r="589" spans="1:9">
      <c r="A589" s="139"/>
      <c r="B589" s="139"/>
      <c r="C589" s="138"/>
      <c r="D589" s="140"/>
      <c r="E589" s="84"/>
      <c r="F589" s="84"/>
      <c r="G589" s="84"/>
      <c r="H589" s="139"/>
      <c r="I589" s="84"/>
    </row>
    <row r="590" spans="1:9">
      <c r="A590" s="139"/>
      <c r="B590" s="139"/>
      <c r="C590" s="138"/>
      <c r="D590" s="140"/>
      <c r="E590" s="84"/>
      <c r="F590" s="84"/>
      <c r="G590" s="84"/>
      <c r="H590" s="139"/>
      <c r="I590" s="84"/>
    </row>
    <row r="591" spans="1:9">
      <c r="A591" s="139"/>
      <c r="B591" s="139"/>
      <c r="C591" s="138"/>
      <c r="D591" s="140"/>
      <c r="E591" s="84"/>
      <c r="F591" s="84"/>
      <c r="G591" s="84"/>
      <c r="H591" s="139"/>
      <c r="I591" s="84"/>
    </row>
    <row r="592" spans="1:9">
      <c r="A592" s="139"/>
      <c r="B592" s="139"/>
      <c r="C592" s="138"/>
      <c r="D592" s="140"/>
      <c r="E592" s="84"/>
      <c r="F592" s="84"/>
      <c r="G592" s="84"/>
      <c r="H592" s="139"/>
      <c r="I592" s="84"/>
    </row>
    <row r="593" spans="1:9">
      <c r="A593" s="139"/>
      <c r="B593" s="139"/>
      <c r="C593" s="138"/>
      <c r="D593" s="140"/>
      <c r="E593" s="84"/>
      <c r="F593" s="84"/>
      <c r="G593" s="84"/>
      <c r="H593" s="139"/>
      <c r="I593" s="84"/>
    </row>
    <row r="594" spans="1:9">
      <c r="A594" s="139"/>
      <c r="B594" s="139"/>
      <c r="C594" s="138"/>
      <c r="D594" s="140"/>
      <c r="E594" s="84"/>
      <c r="F594" s="84"/>
      <c r="G594" s="84"/>
      <c r="H594" s="139"/>
      <c r="I594" s="84"/>
    </row>
    <row r="595" spans="1:9">
      <c r="A595" s="139"/>
      <c r="B595" s="139"/>
      <c r="C595" s="138"/>
      <c r="D595" s="140"/>
      <c r="E595" s="84"/>
      <c r="F595" s="84"/>
      <c r="G595" s="84"/>
      <c r="H595" s="139"/>
      <c r="I595" s="84"/>
    </row>
    <row r="596" spans="1:9">
      <c r="A596" s="139"/>
      <c r="B596" s="139"/>
      <c r="C596" s="138"/>
      <c r="D596" s="140"/>
      <c r="E596" s="84"/>
      <c r="F596" s="84"/>
      <c r="G596" s="84"/>
      <c r="H596" s="139"/>
      <c r="I596" s="84"/>
    </row>
    <row r="597" spans="1:9">
      <c r="A597" s="139"/>
      <c r="B597" s="139"/>
      <c r="C597" s="138"/>
      <c r="D597" s="140"/>
      <c r="E597" s="84"/>
      <c r="F597" s="84"/>
      <c r="G597" s="84"/>
      <c r="H597" s="139"/>
      <c r="I597" s="84"/>
    </row>
    <row r="598" spans="1:9">
      <c r="A598" s="139"/>
      <c r="B598" s="139"/>
      <c r="C598" s="138"/>
      <c r="D598" s="140"/>
      <c r="E598" s="84"/>
      <c r="F598" s="84"/>
      <c r="G598" s="84"/>
      <c r="H598" s="139"/>
      <c r="I598" s="84"/>
    </row>
    <row r="599" spans="1:9">
      <c r="A599" s="139"/>
      <c r="B599" s="139"/>
      <c r="C599" s="138"/>
      <c r="D599" s="140"/>
      <c r="E599" s="84"/>
      <c r="F599" s="84"/>
      <c r="G599" s="84"/>
      <c r="H599" s="139"/>
      <c r="I599" s="84"/>
    </row>
    <row r="600" spans="1:9">
      <c r="A600" s="139"/>
      <c r="B600" s="139"/>
      <c r="C600" s="138"/>
      <c r="D600" s="140"/>
      <c r="E600" s="84"/>
      <c r="F600" s="84"/>
      <c r="G600" s="84"/>
      <c r="H600" s="139"/>
      <c r="I600" s="84"/>
    </row>
    <row r="601" spans="1:9">
      <c r="A601" s="139"/>
      <c r="B601" s="139"/>
      <c r="C601" s="138"/>
      <c r="D601" s="140"/>
      <c r="E601" s="84"/>
      <c r="F601" s="84"/>
      <c r="G601" s="84"/>
      <c r="H601" s="139"/>
      <c r="I601" s="84"/>
    </row>
    <row r="602" spans="1:9">
      <c r="A602" s="139"/>
      <c r="B602" s="139"/>
      <c r="C602" s="138"/>
      <c r="D602" s="140"/>
      <c r="E602" s="84"/>
      <c r="F602" s="84"/>
      <c r="G602" s="84"/>
      <c r="H602" s="139"/>
      <c r="I602" s="84"/>
    </row>
    <row r="603" spans="1:9">
      <c r="A603" s="139"/>
      <c r="B603" s="139"/>
      <c r="C603" s="138"/>
      <c r="D603" s="140"/>
      <c r="E603" s="84"/>
      <c r="F603" s="84"/>
      <c r="G603" s="84"/>
      <c r="H603" s="139"/>
      <c r="I603" s="84"/>
    </row>
    <row r="604" spans="1:9">
      <c r="A604" s="139"/>
      <c r="B604" s="139"/>
      <c r="C604" s="138"/>
      <c r="D604" s="140"/>
      <c r="E604" s="84"/>
      <c r="F604" s="84"/>
      <c r="G604" s="84"/>
      <c r="H604" s="139"/>
      <c r="I604" s="84"/>
    </row>
    <row r="605" spans="1:9">
      <c r="A605" s="139"/>
      <c r="B605" s="139"/>
      <c r="C605" s="138"/>
      <c r="D605" s="140"/>
      <c r="E605" s="84"/>
      <c r="F605" s="84"/>
      <c r="G605" s="84"/>
      <c r="H605" s="139"/>
      <c r="I605" s="84"/>
    </row>
    <row r="606" spans="1:9">
      <c r="A606" s="139"/>
      <c r="B606" s="139"/>
      <c r="C606" s="138"/>
      <c r="D606" s="140"/>
      <c r="E606" s="84"/>
      <c r="F606" s="84"/>
      <c r="G606" s="84"/>
      <c r="H606" s="139"/>
      <c r="I606" s="84"/>
    </row>
    <row r="607" spans="1:9">
      <c r="A607" s="139"/>
      <c r="B607" s="139"/>
      <c r="C607" s="138"/>
      <c r="D607" s="140"/>
      <c r="E607" s="84"/>
      <c r="F607" s="84"/>
      <c r="G607" s="84"/>
      <c r="H607" s="139"/>
      <c r="I607" s="84"/>
    </row>
    <row r="608" spans="1:9">
      <c r="A608" s="139"/>
      <c r="B608" s="139"/>
      <c r="C608" s="138"/>
      <c r="D608" s="140"/>
      <c r="E608" s="84"/>
      <c r="F608" s="84"/>
      <c r="G608" s="84"/>
      <c r="H608" s="139"/>
      <c r="I608" s="84"/>
    </row>
    <row r="609" spans="1:9">
      <c r="A609" s="139"/>
      <c r="B609" s="139"/>
      <c r="C609" s="138"/>
      <c r="D609" s="140"/>
      <c r="E609" s="84"/>
      <c r="F609" s="84"/>
      <c r="G609" s="84"/>
      <c r="H609" s="139"/>
      <c r="I609" s="84"/>
    </row>
    <row r="610" spans="1:9">
      <c r="A610" s="139"/>
      <c r="B610" s="139"/>
      <c r="C610" s="138"/>
      <c r="D610" s="140"/>
      <c r="E610" s="84"/>
      <c r="F610" s="84"/>
      <c r="G610" s="84"/>
      <c r="H610" s="139"/>
      <c r="I610" s="84"/>
    </row>
    <row r="611" spans="1:9">
      <c r="A611" s="139"/>
      <c r="B611" s="139"/>
      <c r="C611" s="138"/>
      <c r="D611" s="140"/>
      <c r="E611" s="84"/>
      <c r="F611" s="84"/>
      <c r="G611" s="84"/>
      <c r="H611" s="139"/>
      <c r="I611" s="84"/>
    </row>
    <row r="612" spans="1:9">
      <c r="A612" s="139"/>
      <c r="B612" s="139"/>
      <c r="C612" s="138"/>
      <c r="D612" s="140"/>
      <c r="E612" s="84"/>
      <c r="F612" s="84"/>
      <c r="G612" s="84"/>
      <c r="H612" s="139"/>
      <c r="I612" s="84"/>
    </row>
    <row r="613" spans="1:9">
      <c r="A613" s="139"/>
      <c r="B613" s="139"/>
      <c r="C613" s="138"/>
      <c r="D613" s="140"/>
      <c r="E613" s="84"/>
      <c r="F613" s="84"/>
      <c r="G613" s="84"/>
      <c r="H613" s="139"/>
      <c r="I613" s="84"/>
    </row>
    <row r="614" spans="1:9">
      <c r="A614" s="139"/>
      <c r="B614" s="139"/>
      <c r="C614" s="138"/>
      <c r="D614" s="140"/>
      <c r="E614" s="84"/>
      <c r="F614" s="84"/>
      <c r="G614" s="84"/>
      <c r="H614" s="139"/>
      <c r="I614" s="84"/>
    </row>
    <row r="615" spans="1:9">
      <c r="A615" s="139"/>
      <c r="B615" s="139"/>
      <c r="C615" s="138"/>
      <c r="D615" s="140"/>
      <c r="E615" s="84"/>
      <c r="F615" s="84"/>
      <c r="G615" s="84"/>
      <c r="H615" s="139"/>
      <c r="I615" s="84"/>
    </row>
    <row r="616" spans="1:9">
      <c r="A616" s="139"/>
      <c r="B616" s="139"/>
      <c r="C616" s="138"/>
      <c r="D616" s="140"/>
      <c r="E616" s="84"/>
      <c r="F616" s="84"/>
      <c r="G616" s="84"/>
      <c r="H616" s="139"/>
      <c r="I616" s="84"/>
    </row>
    <row r="617" spans="1:9">
      <c r="A617" s="139"/>
      <c r="B617" s="139"/>
      <c r="C617" s="138"/>
      <c r="D617" s="140"/>
      <c r="E617" s="84"/>
      <c r="F617" s="84"/>
      <c r="G617" s="84"/>
      <c r="H617" s="139"/>
      <c r="I617" s="84"/>
    </row>
    <row r="618" spans="1:9">
      <c r="A618" s="139"/>
      <c r="B618" s="139"/>
      <c r="C618" s="138"/>
      <c r="D618" s="140"/>
      <c r="E618" s="84"/>
      <c r="F618" s="84"/>
      <c r="G618" s="84"/>
      <c r="H618" s="139"/>
      <c r="I618" s="84"/>
    </row>
    <row r="619" spans="1:9">
      <c r="A619" s="139"/>
      <c r="B619" s="139"/>
      <c r="C619" s="138"/>
      <c r="D619" s="140"/>
      <c r="E619" s="84"/>
      <c r="F619" s="84"/>
      <c r="G619" s="84"/>
      <c r="H619" s="139"/>
      <c r="I619" s="84"/>
    </row>
    <row r="620" spans="1:9">
      <c r="A620" s="139"/>
      <c r="B620" s="139"/>
      <c r="C620" s="138"/>
      <c r="D620" s="140"/>
      <c r="E620" s="84"/>
      <c r="F620" s="84"/>
      <c r="G620" s="84"/>
      <c r="H620" s="139"/>
      <c r="I620" s="84"/>
    </row>
    <row r="621" spans="1:9">
      <c r="A621" s="139"/>
      <c r="B621" s="139"/>
      <c r="C621" s="138"/>
      <c r="D621" s="140"/>
      <c r="E621" s="84"/>
      <c r="F621" s="84"/>
      <c r="G621" s="84"/>
      <c r="H621" s="139"/>
      <c r="I621" s="84"/>
    </row>
    <row r="622" spans="1:9">
      <c r="A622" s="139"/>
      <c r="B622" s="139"/>
      <c r="C622" s="138"/>
      <c r="D622" s="140"/>
      <c r="E622" s="84"/>
      <c r="F622" s="84"/>
      <c r="G622" s="84"/>
      <c r="H622" s="139"/>
      <c r="I622" s="84"/>
    </row>
    <row r="623" spans="1:9">
      <c r="A623" s="139"/>
      <c r="B623" s="139"/>
      <c r="C623" s="138"/>
      <c r="D623" s="140"/>
      <c r="E623" s="84"/>
      <c r="F623" s="84"/>
      <c r="G623" s="84"/>
      <c r="H623" s="139"/>
      <c r="I623" s="84"/>
    </row>
    <row r="624" spans="1:9">
      <c r="A624" s="139"/>
      <c r="B624" s="139"/>
      <c r="C624" s="138"/>
      <c r="D624" s="140"/>
      <c r="E624" s="84"/>
      <c r="F624" s="84"/>
      <c r="G624" s="84"/>
      <c r="H624" s="139"/>
      <c r="I624" s="84"/>
    </row>
    <row r="625" spans="1:9">
      <c r="A625" s="139"/>
      <c r="B625" s="139"/>
      <c r="C625" s="138"/>
      <c r="D625" s="140"/>
      <c r="E625" s="84"/>
      <c r="F625" s="84"/>
      <c r="G625" s="84"/>
      <c r="H625" s="139"/>
      <c r="I625" s="84"/>
    </row>
    <row r="626" spans="1:9">
      <c r="A626" s="139"/>
      <c r="B626" s="139"/>
      <c r="C626" s="138"/>
      <c r="D626" s="140"/>
      <c r="E626" s="84"/>
      <c r="F626" s="84"/>
      <c r="G626" s="84"/>
      <c r="H626" s="139"/>
      <c r="I626" s="84"/>
    </row>
    <row r="627" spans="1:9">
      <c r="A627" s="139"/>
      <c r="B627" s="139"/>
      <c r="C627" s="138"/>
      <c r="D627" s="140"/>
      <c r="E627" s="84"/>
      <c r="F627" s="84"/>
      <c r="G627" s="84"/>
      <c r="H627" s="139"/>
      <c r="I627" s="84"/>
    </row>
    <row r="628" spans="1:9">
      <c r="A628" s="139"/>
      <c r="B628" s="139"/>
      <c r="C628" s="138"/>
      <c r="D628" s="140"/>
      <c r="E628" s="84"/>
      <c r="F628" s="84"/>
      <c r="G628" s="84"/>
      <c r="H628" s="139"/>
      <c r="I628" s="84"/>
    </row>
    <row r="629" spans="1:9">
      <c r="A629" s="139"/>
      <c r="B629" s="139"/>
      <c r="C629" s="138"/>
      <c r="D629" s="140"/>
      <c r="E629" s="84"/>
      <c r="F629" s="84"/>
      <c r="G629" s="84"/>
      <c r="H629" s="139"/>
      <c r="I629" s="84"/>
    </row>
    <row r="630" spans="1:9">
      <c r="A630" s="139"/>
      <c r="B630" s="139"/>
      <c r="C630" s="138"/>
      <c r="D630" s="140"/>
      <c r="E630" s="84"/>
      <c r="F630" s="84"/>
      <c r="G630" s="84"/>
      <c r="H630" s="139"/>
      <c r="I630" s="84"/>
    </row>
    <row r="631" spans="1:9">
      <c r="A631" s="139"/>
      <c r="B631" s="139"/>
      <c r="C631" s="138"/>
      <c r="D631" s="140"/>
      <c r="E631" s="84"/>
      <c r="F631" s="84"/>
      <c r="G631" s="84"/>
      <c r="H631" s="139"/>
      <c r="I631" s="84"/>
    </row>
    <row r="632" spans="1:9">
      <c r="A632" s="139"/>
      <c r="B632" s="139"/>
      <c r="C632" s="138"/>
      <c r="D632" s="140"/>
      <c r="E632" s="84"/>
      <c r="F632" s="84"/>
      <c r="G632" s="84"/>
      <c r="H632" s="139"/>
      <c r="I632" s="84"/>
    </row>
    <row r="633" spans="1:9">
      <c r="A633" s="139"/>
      <c r="B633" s="139"/>
      <c r="C633" s="138"/>
      <c r="D633" s="140"/>
      <c r="E633" s="84"/>
      <c r="F633" s="84"/>
      <c r="G633" s="84"/>
      <c r="H633" s="139"/>
      <c r="I633" s="84"/>
    </row>
    <row r="634" spans="1:9">
      <c r="A634" s="139"/>
      <c r="B634" s="139"/>
      <c r="C634" s="138"/>
      <c r="D634" s="140"/>
      <c r="E634" s="84"/>
      <c r="F634" s="84"/>
      <c r="G634" s="84"/>
      <c r="H634" s="139"/>
      <c r="I634" s="84"/>
    </row>
    <row r="635" spans="1:9">
      <c r="A635" s="139"/>
      <c r="B635" s="139"/>
      <c r="C635" s="138"/>
      <c r="D635" s="140"/>
      <c r="E635" s="84"/>
      <c r="F635" s="84"/>
      <c r="G635" s="84"/>
      <c r="H635" s="139"/>
      <c r="I635" s="84"/>
    </row>
    <row r="636" spans="1:9">
      <c r="A636" s="139"/>
      <c r="B636" s="139"/>
      <c r="C636" s="138"/>
      <c r="D636" s="140"/>
      <c r="E636" s="84"/>
      <c r="F636" s="84"/>
      <c r="G636" s="84"/>
      <c r="H636" s="139"/>
      <c r="I636" s="84"/>
    </row>
    <row r="637" spans="1:9">
      <c r="A637" s="139"/>
      <c r="B637" s="139"/>
      <c r="C637" s="138"/>
      <c r="D637" s="140"/>
      <c r="E637" s="84"/>
      <c r="F637" s="84"/>
      <c r="G637" s="84"/>
      <c r="H637" s="139"/>
      <c r="I637" s="84"/>
    </row>
    <row r="638" spans="1:9">
      <c r="A638" s="139"/>
      <c r="B638" s="139"/>
      <c r="C638" s="138"/>
      <c r="D638" s="140"/>
      <c r="E638" s="84"/>
      <c r="F638" s="84"/>
      <c r="G638" s="84"/>
      <c r="H638" s="139"/>
      <c r="I638" s="84"/>
    </row>
    <row r="639" spans="1:9">
      <c r="A639" s="139"/>
      <c r="B639" s="139"/>
      <c r="C639" s="138"/>
      <c r="D639" s="140"/>
      <c r="E639" s="84"/>
      <c r="F639" s="84"/>
      <c r="G639" s="84"/>
      <c r="H639" s="139"/>
      <c r="I639" s="84"/>
    </row>
    <row r="640" spans="1:9">
      <c r="A640" s="139"/>
      <c r="B640" s="139"/>
      <c r="C640" s="138"/>
      <c r="D640" s="140"/>
      <c r="E640" s="84"/>
      <c r="F640" s="84"/>
      <c r="G640" s="84"/>
      <c r="H640" s="139"/>
      <c r="I640" s="84"/>
    </row>
    <row r="641" spans="1:9">
      <c r="A641" s="139"/>
      <c r="B641" s="139"/>
      <c r="C641" s="138"/>
      <c r="D641" s="140"/>
      <c r="E641" s="84"/>
      <c r="F641" s="84"/>
      <c r="G641" s="84"/>
      <c r="H641" s="139"/>
      <c r="I641" s="84"/>
    </row>
    <row r="642" spans="1:9">
      <c r="A642" s="139"/>
      <c r="B642" s="139"/>
      <c r="C642" s="138"/>
      <c r="D642" s="140"/>
      <c r="E642" s="84"/>
      <c r="F642" s="84"/>
      <c r="G642" s="84"/>
      <c r="H642" s="139"/>
      <c r="I642" s="84"/>
    </row>
    <row r="643" spans="1:9">
      <c r="A643" s="139"/>
      <c r="B643" s="139"/>
      <c r="C643" s="138"/>
      <c r="D643" s="140"/>
      <c r="E643" s="84"/>
      <c r="F643" s="84"/>
      <c r="G643" s="84"/>
      <c r="H643" s="139"/>
      <c r="I643" s="84"/>
    </row>
    <row r="644" spans="1:9">
      <c r="A644" s="139"/>
      <c r="B644" s="139"/>
      <c r="C644" s="138"/>
      <c r="D644" s="140"/>
      <c r="E644" s="84"/>
      <c r="F644" s="84"/>
      <c r="G644" s="84"/>
      <c r="H644" s="139"/>
      <c r="I644" s="84"/>
    </row>
    <row r="645" spans="1:9">
      <c r="A645" s="139"/>
      <c r="B645" s="139"/>
      <c r="C645" s="138"/>
      <c r="D645" s="140"/>
      <c r="E645" s="84"/>
      <c r="F645" s="84"/>
      <c r="G645" s="84"/>
      <c r="H645" s="139"/>
      <c r="I645" s="84"/>
    </row>
    <row r="646" spans="1:9">
      <c r="A646" s="139"/>
      <c r="B646" s="139"/>
      <c r="C646" s="138"/>
      <c r="D646" s="140"/>
      <c r="E646" s="84"/>
      <c r="F646" s="84"/>
      <c r="G646" s="84"/>
      <c r="H646" s="139"/>
      <c r="I646" s="84"/>
    </row>
    <row r="647" spans="1:9">
      <c r="A647" s="139"/>
      <c r="B647" s="139"/>
      <c r="C647" s="138"/>
      <c r="D647" s="140"/>
      <c r="E647" s="84"/>
      <c r="F647" s="84"/>
      <c r="G647" s="84"/>
      <c r="H647" s="139"/>
      <c r="I647" s="84"/>
    </row>
    <row r="648" spans="1:9">
      <c r="A648" s="139"/>
      <c r="B648" s="139"/>
      <c r="C648" s="138"/>
      <c r="D648" s="140"/>
      <c r="E648" s="84"/>
      <c r="F648" s="84"/>
      <c r="G648" s="84"/>
      <c r="H648" s="139"/>
      <c r="I648" s="84"/>
    </row>
    <row r="649" spans="1:9">
      <c r="A649" s="139"/>
      <c r="B649" s="139"/>
      <c r="C649" s="138"/>
      <c r="D649" s="140"/>
      <c r="E649" s="84"/>
      <c r="F649" s="84"/>
      <c r="G649" s="84"/>
      <c r="H649" s="139"/>
      <c r="I649" s="84"/>
    </row>
    <row r="650" spans="1:9">
      <c r="A650" s="139"/>
      <c r="B650" s="139"/>
      <c r="C650" s="138"/>
      <c r="D650" s="140"/>
      <c r="E650" s="84"/>
      <c r="F650" s="84"/>
      <c r="G650" s="84"/>
      <c r="H650" s="139"/>
      <c r="I650" s="84"/>
    </row>
    <row r="651" spans="1:9">
      <c r="A651" s="139"/>
      <c r="B651" s="139"/>
      <c r="C651" s="138"/>
      <c r="D651" s="140"/>
      <c r="E651" s="84"/>
      <c r="F651" s="84"/>
      <c r="G651" s="84"/>
      <c r="H651" s="139"/>
      <c r="I651" s="84"/>
    </row>
    <row r="652" spans="1:9">
      <c r="A652" s="139"/>
      <c r="B652" s="139"/>
      <c r="C652" s="138"/>
      <c r="D652" s="140"/>
      <c r="E652" s="84"/>
      <c r="F652" s="84"/>
      <c r="G652" s="84"/>
      <c r="H652" s="139"/>
      <c r="I652" s="84"/>
    </row>
    <row r="653" spans="1:9">
      <c r="A653" s="139"/>
      <c r="B653" s="139"/>
      <c r="C653" s="138"/>
      <c r="D653" s="140"/>
      <c r="E653" s="84"/>
      <c r="F653" s="84"/>
      <c r="G653" s="84"/>
      <c r="H653" s="139"/>
      <c r="I653" s="84"/>
    </row>
    <row r="654" spans="1:9">
      <c r="A654" s="139"/>
      <c r="B654" s="139"/>
      <c r="C654" s="138"/>
      <c r="D654" s="140"/>
      <c r="E654" s="84"/>
      <c r="F654" s="84"/>
      <c r="G654" s="84"/>
      <c r="H654" s="139"/>
      <c r="I654" s="84"/>
    </row>
    <row r="655" spans="1:9">
      <c r="A655" s="139"/>
      <c r="B655" s="139"/>
      <c r="C655" s="138"/>
      <c r="D655" s="140"/>
      <c r="E655" s="84"/>
      <c r="F655" s="84"/>
      <c r="G655" s="84"/>
      <c r="H655" s="139"/>
      <c r="I655" s="84"/>
    </row>
    <row r="656" spans="1:9">
      <c r="A656" s="139"/>
      <c r="B656" s="139"/>
      <c r="C656" s="138"/>
      <c r="D656" s="140"/>
      <c r="E656" s="84"/>
      <c r="F656" s="84"/>
      <c r="G656" s="84"/>
      <c r="H656" s="139"/>
      <c r="I656" s="84"/>
    </row>
    <row r="657" spans="1:9">
      <c r="A657" s="139"/>
      <c r="B657" s="139"/>
      <c r="C657" s="138"/>
      <c r="D657" s="140"/>
      <c r="E657" s="84"/>
      <c r="F657" s="84"/>
      <c r="G657" s="84"/>
      <c r="H657" s="139"/>
      <c r="I657" s="84"/>
    </row>
    <row r="658" spans="1:9">
      <c r="A658" s="139"/>
      <c r="B658" s="139"/>
      <c r="C658" s="138"/>
      <c r="D658" s="140"/>
      <c r="E658" s="84"/>
      <c r="F658" s="84"/>
      <c r="G658" s="84"/>
      <c r="H658" s="139"/>
      <c r="I658" s="84"/>
    </row>
    <row r="659" spans="1:9">
      <c r="A659" s="139"/>
      <c r="B659" s="139"/>
      <c r="C659" s="138"/>
      <c r="D659" s="140"/>
      <c r="E659" s="84"/>
      <c r="F659" s="84"/>
      <c r="G659" s="84"/>
      <c r="H659" s="139"/>
      <c r="I659" s="84"/>
    </row>
    <row r="660" spans="1:9">
      <c r="A660" s="139"/>
      <c r="B660" s="139"/>
      <c r="C660" s="138"/>
      <c r="D660" s="140"/>
      <c r="E660" s="84"/>
      <c r="F660" s="84"/>
      <c r="G660" s="84"/>
      <c r="H660" s="139"/>
      <c r="I660" s="84"/>
    </row>
    <row r="661" spans="1:9">
      <c r="A661" s="139"/>
      <c r="B661" s="139"/>
      <c r="C661" s="138"/>
      <c r="D661" s="140"/>
      <c r="E661" s="84"/>
      <c r="F661" s="84"/>
      <c r="G661" s="84"/>
      <c r="H661" s="139"/>
      <c r="I661" s="84"/>
    </row>
    <row r="662" spans="1:9">
      <c r="A662" s="139"/>
      <c r="B662" s="139"/>
      <c r="C662" s="138"/>
      <c r="D662" s="140"/>
      <c r="E662" s="84"/>
      <c r="F662" s="84"/>
      <c r="G662" s="84"/>
      <c r="H662" s="139"/>
      <c r="I662" s="84"/>
    </row>
    <row r="663" spans="1:9">
      <c r="A663" s="139"/>
      <c r="B663" s="139"/>
      <c r="C663" s="138"/>
      <c r="D663" s="140"/>
      <c r="E663" s="84"/>
      <c r="F663" s="84"/>
      <c r="G663" s="84"/>
      <c r="H663" s="139"/>
      <c r="I663" s="84"/>
    </row>
    <row r="664" spans="1:9">
      <c r="A664" s="139"/>
      <c r="B664" s="139"/>
      <c r="C664" s="138"/>
      <c r="D664" s="140"/>
      <c r="E664" s="84"/>
      <c r="F664" s="84"/>
      <c r="G664" s="84"/>
      <c r="H664" s="139"/>
      <c r="I664" s="84"/>
    </row>
    <row r="665" spans="1:9">
      <c r="A665" s="139"/>
      <c r="B665" s="139"/>
      <c r="C665" s="138"/>
      <c r="D665" s="140"/>
      <c r="E665" s="84"/>
      <c r="F665" s="84"/>
      <c r="G665" s="84"/>
      <c r="H665" s="139"/>
      <c r="I665" s="84"/>
    </row>
    <row r="666" spans="1:9">
      <c r="A666" s="139"/>
      <c r="B666" s="139"/>
      <c r="C666" s="138"/>
      <c r="D666" s="140"/>
      <c r="E666" s="84"/>
      <c r="F666" s="84"/>
      <c r="G666" s="84"/>
      <c r="H666" s="139"/>
      <c r="I666" s="84"/>
    </row>
    <row r="667" spans="1:9">
      <c r="A667" s="139"/>
      <c r="B667" s="139"/>
      <c r="C667" s="138"/>
      <c r="D667" s="140"/>
      <c r="E667" s="84"/>
      <c r="F667" s="84"/>
      <c r="G667" s="84"/>
      <c r="H667" s="139"/>
      <c r="I667" s="84"/>
    </row>
    <row r="668" spans="1:9">
      <c r="A668" s="139"/>
      <c r="B668" s="139"/>
      <c r="C668" s="138"/>
      <c r="D668" s="140"/>
      <c r="E668" s="84"/>
      <c r="F668" s="84"/>
      <c r="G668" s="84"/>
      <c r="H668" s="139"/>
      <c r="I668" s="84"/>
    </row>
    <row r="669" spans="1:9">
      <c r="A669" s="139"/>
      <c r="B669" s="139"/>
      <c r="C669" s="138"/>
      <c r="D669" s="140"/>
      <c r="E669" s="84"/>
      <c r="F669" s="84"/>
      <c r="G669" s="84"/>
      <c r="H669" s="139"/>
      <c r="I669" s="84"/>
    </row>
    <row r="670" spans="1:9">
      <c r="A670" s="139"/>
      <c r="B670" s="139"/>
      <c r="C670" s="138"/>
      <c r="D670" s="140"/>
      <c r="E670" s="84"/>
      <c r="F670" s="84"/>
      <c r="G670" s="84"/>
      <c r="H670" s="139"/>
      <c r="I670" s="84"/>
    </row>
    <row r="671" spans="1:9">
      <c r="A671" s="139"/>
      <c r="B671" s="139"/>
      <c r="C671" s="138"/>
      <c r="D671" s="140"/>
      <c r="E671" s="84"/>
      <c r="F671" s="84"/>
      <c r="G671" s="84"/>
      <c r="H671" s="139"/>
      <c r="I671" s="84"/>
    </row>
    <row r="672" spans="1:9">
      <c r="A672" s="139"/>
      <c r="B672" s="139"/>
      <c r="C672" s="138"/>
      <c r="D672" s="140"/>
      <c r="E672" s="84"/>
      <c r="F672" s="84"/>
      <c r="G672" s="84"/>
      <c r="H672" s="139"/>
      <c r="I672" s="84"/>
    </row>
    <row r="673" spans="1:9">
      <c r="A673" s="139"/>
      <c r="B673" s="139"/>
      <c r="C673" s="138"/>
      <c r="D673" s="140"/>
      <c r="E673" s="84"/>
      <c r="F673" s="84"/>
      <c r="G673" s="84"/>
      <c r="H673" s="139"/>
      <c r="I673" s="84"/>
    </row>
    <row r="674" spans="1:9">
      <c r="A674" s="139"/>
      <c r="B674" s="139"/>
      <c r="C674" s="138"/>
      <c r="D674" s="140"/>
      <c r="E674" s="84"/>
      <c r="F674" s="84"/>
      <c r="G674" s="84"/>
      <c r="H674" s="139"/>
      <c r="I674" s="84"/>
    </row>
    <row r="675" spans="1:9">
      <c r="A675" s="139"/>
      <c r="B675" s="139"/>
      <c r="C675" s="138"/>
      <c r="D675" s="140"/>
      <c r="E675" s="84"/>
      <c r="F675" s="84"/>
      <c r="G675" s="84"/>
      <c r="H675" s="139"/>
      <c r="I675" s="84"/>
    </row>
    <row r="676" spans="1:9">
      <c r="A676" s="139"/>
      <c r="B676" s="139"/>
      <c r="C676" s="138"/>
      <c r="D676" s="140"/>
      <c r="E676" s="84"/>
      <c r="F676" s="84"/>
      <c r="G676" s="84"/>
      <c r="H676" s="139"/>
      <c r="I676" s="84"/>
    </row>
    <row r="677" spans="1:9">
      <c r="A677" s="139"/>
      <c r="B677" s="139"/>
      <c r="C677" s="138"/>
      <c r="D677" s="140"/>
      <c r="E677" s="84"/>
      <c r="F677" s="84"/>
      <c r="G677" s="84"/>
      <c r="H677" s="139"/>
      <c r="I677" s="84"/>
    </row>
    <row r="678" spans="1:9">
      <c r="A678" s="139"/>
      <c r="B678" s="139"/>
      <c r="C678" s="138"/>
      <c r="D678" s="140"/>
      <c r="E678" s="84"/>
      <c r="F678" s="84"/>
      <c r="G678" s="84"/>
      <c r="H678" s="139"/>
      <c r="I678" s="84"/>
    </row>
    <row r="679" spans="1:9">
      <c r="A679" s="139"/>
      <c r="B679" s="139"/>
      <c r="C679" s="138"/>
      <c r="D679" s="140"/>
      <c r="E679" s="84"/>
      <c r="F679" s="84"/>
      <c r="G679" s="84"/>
      <c r="H679" s="139"/>
      <c r="I679" s="84"/>
    </row>
    <row r="680" spans="1:9">
      <c r="A680" s="139"/>
      <c r="B680" s="139"/>
      <c r="C680" s="138"/>
      <c r="D680" s="140"/>
      <c r="E680" s="84"/>
      <c r="F680" s="84"/>
      <c r="G680" s="84"/>
      <c r="H680" s="139"/>
      <c r="I680" s="84"/>
    </row>
    <row r="681" spans="1:9">
      <c r="A681" s="139"/>
      <c r="B681" s="139"/>
      <c r="C681" s="138"/>
      <c r="D681" s="140"/>
      <c r="E681" s="84"/>
      <c r="F681" s="84"/>
      <c r="G681" s="84"/>
      <c r="H681" s="139"/>
      <c r="I681" s="84"/>
    </row>
    <row r="682" spans="1:9">
      <c r="A682" s="139"/>
      <c r="B682" s="139"/>
      <c r="C682" s="138"/>
      <c r="D682" s="140"/>
      <c r="E682" s="84"/>
      <c r="F682" s="84"/>
      <c r="G682" s="84"/>
      <c r="H682" s="139"/>
      <c r="I682" s="84"/>
    </row>
    <row r="683" spans="1:9">
      <c r="A683" s="139"/>
      <c r="B683" s="139"/>
      <c r="C683" s="138"/>
      <c r="D683" s="140"/>
      <c r="E683" s="84"/>
      <c r="F683" s="84"/>
      <c r="G683" s="84"/>
      <c r="H683" s="139"/>
      <c r="I683" s="84"/>
    </row>
    <row r="684" spans="1:9">
      <c r="A684" s="139"/>
      <c r="B684" s="139"/>
      <c r="C684" s="138"/>
      <c r="D684" s="140"/>
      <c r="E684" s="84"/>
      <c r="F684" s="84"/>
      <c r="G684" s="84"/>
      <c r="H684" s="139"/>
      <c r="I684" s="84"/>
    </row>
    <row r="685" spans="1:9">
      <c r="A685" s="139"/>
      <c r="B685" s="139"/>
      <c r="C685" s="138"/>
      <c r="D685" s="140"/>
      <c r="E685" s="84"/>
      <c r="F685" s="84"/>
      <c r="G685" s="84"/>
      <c r="H685" s="139"/>
      <c r="I685" s="84"/>
    </row>
    <row r="686" spans="1:9">
      <c r="A686" s="139"/>
      <c r="B686" s="139"/>
      <c r="C686" s="138"/>
      <c r="D686" s="140"/>
      <c r="E686" s="84"/>
      <c r="F686" s="84"/>
      <c r="G686" s="84"/>
      <c r="H686" s="139"/>
      <c r="I686" s="84"/>
    </row>
    <row r="687" spans="1:9">
      <c r="A687" s="139"/>
      <c r="B687" s="139"/>
      <c r="C687" s="138"/>
      <c r="D687" s="140"/>
      <c r="E687" s="84"/>
      <c r="F687" s="84"/>
      <c r="G687" s="84"/>
      <c r="H687" s="139"/>
      <c r="I687" s="84"/>
    </row>
    <row r="688" spans="1:9">
      <c r="A688" s="139"/>
      <c r="B688" s="139"/>
      <c r="C688" s="138"/>
      <c r="D688" s="140"/>
      <c r="E688" s="84"/>
      <c r="F688" s="84"/>
      <c r="G688" s="84"/>
      <c r="H688" s="139"/>
      <c r="I688" s="84"/>
    </row>
    <row r="689" spans="1:9">
      <c r="A689" s="139"/>
      <c r="B689" s="139"/>
      <c r="C689" s="138"/>
      <c r="D689" s="140"/>
      <c r="E689" s="84"/>
      <c r="F689" s="84"/>
      <c r="G689" s="84"/>
      <c r="H689" s="139"/>
      <c r="I689" s="84"/>
    </row>
    <row r="690" spans="1:9">
      <c r="A690" s="139"/>
      <c r="B690" s="139"/>
      <c r="C690" s="138"/>
      <c r="D690" s="140"/>
      <c r="E690" s="84"/>
      <c r="F690" s="84"/>
      <c r="G690" s="84"/>
      <c r="H690" s="139"/>
      <c r="I690" s="84"/>
    </row>
    <row r="691" spans="1:9">
      <c r="A691" s="139"/>
      <c r="B691" s="139"/>
      <c r="C691" s="138"/>
      <c r="D691" s="140"/>
      <c r="E691" s="84"/>
      <c r="F691" s="84"/>
      <c r="G691" s="84"/>
      <c r="H691" s="139"/>
      <c r="I691" s="84"/>
    </row>
    <row r="692" spans="1:9">
      <c r="A692" s="139"/>
      <c r="B692" s="139"/>
      <c r="C692" s="138"/>
      <c r="D692" s="140"/>
      <c r="E692" s="84"/>
      <c r="F692" s="84"/>
      <c r="G692" s="84"/>
      <c r="H692" s="139"/>
      <c r="I692" s="84"/>
    </row>
    <row r="693" spans="1:9">
      <c r="A693" s="139"/>
      <c r="B693" s="139"/>
      <c r="C693" s="138"/>
      <c r="D693" s="140"/>
      <c r="E693" s="84"/>
      <c r="F693" s="84"/>
      <c r="G693" s="84"/>
      <c r="H693" s="139"/>
      <c r="I693" s="84"/>
    </row>
    <row r="694" spans="1:9">
      <c r="A694" s="139"/>
      <c r="B694" s="139"/>
      <c r="C694" s="138"/>
      <c r="D694" s="140"/>
      <c r="E694" s="84"/>
      <c r="F694" s="84"/>
      <c r="G694" s="84"/>
      <c r="H694" s="139"/>
      <c r="I694" s="84"/>
    </row>
    <row r="695" spans="1:9">
      <c r="A695" s="139"/>
      <c r="B695" s="139"/>
      <c r="C695" s="138"/>
      <c r="D695" s="140"/>
      <c r="E695" s="84"/>
      <c r="F695" s="84"/>
      <c r="G695" s="84"/>
      <c r="H695" s="139"/>
      <c r="I695" s="84"/>
    </row>
    <row r="696" spans="1:9">
      <c r="A696" s="139"/>
      <c r="B696" s="139"/>
      <c r="C696" s="138"/>
      <c r="D696" s="140"/>
      <c r="E696" s="84"/>
      <c r="F696" s="84"/>
      <c r="G696" s="84"/>
      <c r="H696" s="139"/>
      <c r="I696" s="84"/>
    </row>
    <row r="697" spans="1:9">
      <c r="A697" s="139"/>
      <c r="B697" s="139"/>
      <c r="C697" s="138"/>
      <c r="D697" s="140"/>
      <c r="E697" s="84"/>
      <c r="F697" s="84"/>
      <c r="G697" s="84"/>
      <c r="H697" s="139"/>
      <c r="I697" s="84"/>
    </row>
    <row r="698" spans="1:9">
      <c r="A698" s="139"/>
      <c r="B698" s="139"/>
      <c r="C698" s="138"/>
      <c r="D698" s="140"/>
      <c r="E698" s="84"/>
      <c r="F698" s="84"/>
      <c r="G698" s="84"/>
      <c r="H698" s="139"/>
      <c r="I698" s="84"/>
    </row>
    <row r="699" spans="1:9">
      <c r="A699" s="139"/>
      <c r="B699" s="139"/>
      <c r="C699" s="138"/>
      <c r="D699" s="140"/>
      <c r="E699" s="84"/>
      <c r="F699" s="84"/>
      <c r="G699" s="84"/>
      <c r="H699" s="139"/>
      <c r="I699" s="84"/>
    </row>
    <row r="700" spans="1:9">
      <c r="A700" s="139"/>
      <c r="B700" s="139"/>
      <c r="C700" s="138"/>
      <c r="D700" s="140"/>
      <c r="E700" s="84"/>
      <c r="F700" s="84"/>
      <c r="G700" s="84"/>
      <c r="H700" s="139"/>
      <c r="I700" s="84"/>
    </row>
    <row r="701" spans="1:9">
      <c r="A701" s="139"/>
      <c r="B701" s="139"/>
      <c r="C701" s="138"/>
      <c r="D701" s="140"/>
      <c r="E701" s="84"/>
      <c r="F701" s="84"/>
      <c r="G701" s="84"/>
      <c r="H701" s="139"/>
      <c r="I701" s="84"/>
    </row>
    <row r="702" spans="1:9">
      <c r="A702" s="139"/>
      <c r="B702" s="139"/>
      <c r="C702" s="138"/>
      <c r="D702" s="140"/>
      <c r="E702" s="84"/>
      <c r="F702" s="84"/>
      <c r="G702" s="84"/>
      <c r="H702" s="139"/>
      <c r="I702" s="84"/>
    </row>
    <row r="703" spans="1:9">
      <c r="A703" s="139"/>
      <c r="B703" s="139"/>
      <c r="C703" s="138"/>
      <c r="D703" s="140"/>
      <c r="E703" s="84"/>
      <c r="F703" s="84"/>
      <c r="G703" s="84"/>
      <c r="H703" s="139"/>
      <c r="I703" s="84"/>
    </row>
    <row r="704" spans="1:9">
      <c r="A704" s="139"/>
      <c r="B704" s="139"/>
      <c r="C704" s="138"/>
      <c r="D704" s="140"/>
      <c r="E704" s="84"/>
      <c r="F704" s="84"/>
      <c r="G704" s="84"/>
      <c r="H704" s="139"/>
      <c r="I704" s="84"/>
    </row>
    <row r="705" spans="1:9">
      <c r="A705" s="139"/>
      <c r="B705" s="139"/>
      <c r="C705" s="138"/>
      <c r="D705" s="140"/>
      <c r="E705" s="84"/>
      <c r="F705" s="84"/>
      <c r="G705" s="84"/>
      <c r="H705" s="139"/>
      <c r="I705" s="84"/>
    </row>
    <row r="706" spans="1:9">
      <c r="A706" s="139"/>
      <c r="B706" s="139"/>
      <c r="C706" s="138"/>
      <c r="D706" s="140"/>
      <c r="E706" s="84"/>
      <c r="F706" s="84"/>
      <c r="G706" s="84"/>
      <c r="H706" s="139"/>
      <c r="I706" s="84"/>
    </row>
    <row r="707" spans="1:9">
      <c r="A707" s="139"/>
      <c r="B707" s="139"/>
      <c r="C707" s="138"/>
      <c r="D707" s="140"/>
      <c r="E707" s="84"/>
      <c r="F707" s="84"/>
      <c r="G707" s="84"/>
      <c r="H707" s="139"/>
      <c r="I707" s="84"/>
    </row>
    <row r="708" spans="1:9">
      <c r="A708" s="139"/>
      <c r="B708" s="139"/>
      <c r="C708" s="138"/>
      <c r="D708" s="140"/>
      <c r="E708" s="84"/>
      <c r="F708" s="84"/>
      <c r="G708" s="84"/>
      <c r="H708" s="139"/>
      <c r="I708" s="84"/>
    </row>
    <row r="709" spans="1:9">
      <c r="A709" s="139"/>
      <c r="B709" s="139"/>
      <c r="C709" s="138"/>
      <c r="D709" s="140"/>
      <c r="E709" s="84"/>
      <c r="F709" s="84"/>
      <c r="G709" s="84"/>
      <c r="H709" s="139"/>
      <c r="I709" s="84"/>
    </row>
    <row r="710" spans="1:9">
      <c r="A710" s="139"/>
      <c r="B710" s="139"/>
      <c r="C710" s="138"/>
      <c r="D710" s="140"/>
      <c r="E710" s="84"/>
      <c r="F710" s="84"/>
      <c r="G710" s="84"/>
      <c r="H710" s="139"/>
      <c r="I710" s="84"/>
    </row>
    <row r="711" spans="1:9">
      <c r="A711" s="139"/>
      <c r="B711" s="139"/>
      <c r="C711" s="138"/>
      <c r="D711" s="140"/>
      <c r="E711" s="84"/>
      <c r="F711" s="84"/>
      <c r="G711" s="84"/>
      <c r="H711" s="139"/>
      <c r="I711" s="84"/>
    </row>
    <row r="712" spans="1:9">
      <c r="A712" s="139"/>
      <c r="B712" s="139"/>
      <c r="C712" s="138"/>
      <c r="D712" s="140"/>
      <c r="E712" s="84"/>
      <c r="F712" s="84"/>
      <c r="G712" s="84"/>
      <c r="H712" s="139"/>
      <c r="I712" s="84"/>
    </row>
    <row r="713" spans="1:9">
      <c r="A713" s="139"/>
      <c r="B713" s="139"/>
      <c r="C713" s="138"/>
      <c r="D713" s="140"/>
      <c r="E713" s="84"/>
      <c r="F713" s="84"/>
      <c r="G713" s="84"/>
      <c r="H713" s="139"/>
      <c r="I713" s="84"/>
    </row>
    <row r="714" spans="1:9">
      <c r="A714" s="139"/>
      <c r="B714" s="139"/>
      <c r="C714" s="138"/>
      <c r="D714" s="140"/>
      <c r="E714" s="84"/>
      <c r="F714" s="84"/>
      <c r="G714" s="84"/>
      <c r="H714" s="139"/>
      <c r="I714" s="84"/>
    </row>
    <row r="715" spans="1:9">
      <c r="A715" s="139"/>
      <c r="B715" s="139"/>
      <c r="C715" s="138"/>
      <c r="D715" s="140"/>
      <c r="E715" s="84"/>
      <c r="F715" s="84"/>
      <c r="G715" s="84"/>
      <c r="H715" s="139"/>
      <c r="I715" s="84"/>
    </row>
    <row r="716" spans="1:9">
      <c r="A716" s="139"/>
      <c r="B716" s="139"/>
      <c r="C716" s="138"/>
      <c r="D716" s="140"/>
      <c r="E716" s="84"/>
      <c r="F716" s="84"/>
      <c r="G716" s="84"/>
      <c r="H716" s="139"/>
      <c r="I716" s="84"/>
    </row>
    <row r="717" spans="1:9">
      <c r="A717" s="139"/>
      <c r="B717" s="139"/>
      <c r="C717" s="138"/>
      <c r="D717" s="140"/>
      <c r="E717" s="84"/>
      <c r="F717" s="84"/>
      <c r="G717" s="84"/>
      <c r="H717" s="139"/>
      <c r="I717" s="84"/>
    </row>
    <row r="718" spans="1:9">
      <c r="A718" s="139"/>
      <c r="B718" s="139"/>
      <c r="C718" s="138"/>
      <c r="D718" s="140"/>
      <c r="E718" s="84"/>
      <c r="F718" s="84"/>
      <c r="G718" s="84"/>
      <c r="H718" s="139"/>
      <c r="I718" s="84"/>
    </row>
    <row r="719" spans="1:9">
      <c r="A719" s="139"/>
      <c r="B719" s="139"/>
      <c r="C719" s="138"/>
      <c r="D719" s="140"/>
      <c r="E719" s="84"/>
      <c r="F719" s="84"/>
      <c r="G719" s="84"/>
      <c r="H719" s="139"/>
      <c r="I719" s="84"/>
    </row>
    <row r="720" spans="1:9">
      <c r="A720" s="139"/>
      <c r="B720" s="139"/>
      <c r="C720" s="138"/>
      <c r="D720" s="140"/>
      <c r="E720" s="84"/>
      <c r="F720" s="84"/>
      <c r="G720" s="84"/>
      <c r="H720" s="139"/>
      <c r="I720" s="84"/>
    </row>
    <row r="721" spans="1:9">
      <c r="A721" s="139"/>
      <c r="B721" s="139"/>
      <c r="C721" s="138"/>
      <c r="D721" s="140"/>
      <c r="E721" s="84"/>
      <c r="F721" s="84"/>
      <c r="G721" s="84"/>
      <c r="H721" s="139"/>
      <c r="I721" s="84"/>
    </row>
    <row r="722" spans="1:9">
      <c r="A722" s="139"/>
      <c r="B722" s="139"/>
      <c r="C722" s="138"/>
      <c r="D722" s="140"/>
      <c r="E722" s="84"/>
      <c r="F722" s="84"/>
      <c r="G722" s="84"/>
      <c r="H722" s="139"/>
      <c r="I722" s="84"/>
    </row>
    <row r="723" spans="1:9">
      <c r="A723" s="139"/>
      <c r="B723" s="139"/>
      <c r="C723" s="138"/>
      <c r="D723" s="140"/>
      <c r="E723" s="84"/>
      <c r="F723" s="84"/>
      <c r="G723" s="84"/>
      <c r="H723" s="139"/>
      <c r="I723" s="84"/>
    </row>
    <row r="724" spans="1:9">
      <c r="A724" s="139"/>
      <c r="B724" s="139"/>
      <c r="C724" s="138"/>
      <c r="D724" s="140"/>
      <c r="E724" s="84"/>
      <c r="F724" s="84"/>
      <c r="G724" s="84"/>
      <c r="H724" s="139"/>
      <c r="I724" s="84"/>
    </row>
    <row r="725" spans="1:9">
      <c r="A725" s="139"/>
      <c r="B725" s="139"/>
      <c r="C725" s="138"/>
      <c r="D725" s="140"/>
      <c r="E725" s="84"/>
      <c r="F725" s="84"/>
      <c r="G725" s="84"/>
      <c r="H725" s="139"/>
      <c r="I725" s="84"/>
    </row>
    <row r="726" spans="1:9">
      <c r="A726" s="139"/>
      <c r="B726" s="139"/>
      <c r="C726" s="138"/>
      <c r="D726" s="140"/>
      <c r="E726" s="84"/>
      <c r="F726" s="84"/>
      <c r="G726" s="84"/>
      <c r="H726" s="139"/>
      <c r="I726" s="84"/>
    </row>
    <row r="727" spans="1:9">
      <c r="A727" s="139"/>
      <c r="B727" s="139"/>
      <c r="C727" s="138"/>
      <c r="D727" s="140"/>
      <c r="E727" s="84"/>
      <c r="F727" s="84"/>
      <c r="G727" s="84"/>
      <c r="H727" s="139"/>
      <c r="I727" s="84"/>
    </row>
    <row r="728" spans="1:9">
      <c r="A728" s="139"/>
      <c r="B728" s="139"/>
      <c r="C728" s="138"/>
      <c r="D728" s="140"/>
      <c r="E728" s="84"/>
      <c r="F728" s="84"/>
      <c r="G728" s="84"/>
      <c r="H728" s="139"/>
      <c r="I728" s="84"/>
    </row>
    <row r="729" spans="1:9">
      <c r="A729" s="139"/>
      <c r="B729" s="139"/>
      <c r="C729" s="138"/>
      <c r="D729" s="140"/>
      <c r="E729" s="84"/>
      <c r="F729" s="84"/>
      <c r="G729" s="84"/>
      <c r="H729" s="139"/>
      <c r="I729" s="84"/>
    </row>
    <row r="730" spans="1:9">
      <c r="A730" s="139"/>
      <c r="B730" s="139"/>
      <c r="C730" s="138"/>
      <c r="D730" s="140"/>
      <c r="E730" s="84"/>
      <c r="F730" s="84"/>
      <c r="G730" s="84"/>
      <c r="H730" s="139"/>
      <c r="I730" s="84"/>
    </row>
    <row r="731" spans="1:9">
      <c r="A731" s="139"/>
      <c r="B731" s="139"/>
      <c r="C731" s="138"/>
      <c r="D731" s="140"/>
      <c r="E731" s="84"/>
      <c r="F731" s="84"/>
      <c r="G731" s="84"/>
      <c r="H731" s="139"/>
      <c r="I731" s="84"/>
    </row>
    <row r="732" spans="1:9">
      <c r="A732" s="139"/>
      <c r="B732" s="139"/>
      <c r="C732" s="138"/>
      <c r="D732" s="140"/>
      <c r="E732" s="84"/>
      <c r="F732" s="84"/>
      <c r="G732" s="84"/>
      <c r="H732" s="139"/>
      <c r="I732" s="84"/>
    </row>
    <row r="733" spans="1:9">
      <c r="A733" s="139"/>
      <c r="B733" s="139"/>
      <c r="C733" s="138"/>
      <c r="D733" s="140"/>
      <c r="E733" s="84"/>
      <c r="F733" s="84"/>
      <c r="G733" s="84"/>
      <c r="H733" s="139"/>
      <c r="I733" s="84"/>
    </row>
    <row r="734" spans="1:9">
      <c r="A734" s="139"/>
      <c r="B734" s="139"/>
      <c r="C734" s="138"/>
      <c r="D734" s="140"/>
      <c r="E734" s="84"/>
      <c r="F734" s="84"/>
      <c r="G734" s="84"/>
      <c r="H734" s="139"/>
      <c r="I734" s="84"/>
    </row>
    <row r="735" spans="1:9">
      <c r="A735" s="139"/>
      <c r="B735" s="139"/>
      <c r="C735" s="138"/>
      <c r="D735" s="140"/>
      <c r="E735" s="84"/>
      <c r="F735" s="84"/>
      <c r="G735" s="84"/>
      <c r="H735" s="139"/>
      <c r="I735" s="84"/>
    </row>
    <row r="736" spans="1:9">
      <c r="A736" s="139"/>
      <c r="B736" s="139"/>
      <c r="C736" s="138"/>
      <c r="D736" s="140"/>
      <c r="E736" s="84"/>
      <c r="F736" s="84"/>
      <c r="G736" s="84"/>
      <c r="H736" s="139"/>
      <c r="I736" s="84"/>
    </row>
    <row r="737" spans="1:9">
      <c r="A737" s="139"/>
      <c r="B737" s="139"/>
      <c r="C737" s="138"/>
      <c r="D737" s="140"/>
      <c r="E737" s="84"/>
      <c r="F737" s="84"/>
      <c r="G737" s="84"/>
      <c r="H737" s="139"/>
      <c r="I737" s="84"/>
    </row>
    <row r="738" spans="1:9">
      <c r="A738" s="139"/>
      <c r="B738" s="139"/>
      <c r="C738" s="138"/>
      <c r="D738" s="140"/>
      <c r="E738" s="84"/>
      <c r="F738" s="84"/>
      <c r="G738" s="84"/>
      <c r="H738" s="139"/>
      <c r="I738" s="84"/>
    </row>
    <row r="739" spans="1:9">
      <c r="A739" s="139"/>
      <c r="B739" s="139"/>
      <c r="C739" s="138"/>
      <c r="D739" s="140"/>
      <c r="E739" s="84"/>
      <c r="F739" s="84"/>
      <c r="G739" s="84"/>
      <c r="H739" s="139"/>
      <c r="I739" s="84"/>
    </row>
    <row r="740" spans="1:9">
      <c r="A740" s="139"/>
      <c r="B740" s="139"/>
      <c r="C740" s="138"/>
      <c r="D740" s="140"/>
      <c r="E740" s="84"/>
      <c r="F740" s="84"/>
      <c r="G740" s="84"/>
      <c r="H740" s="139"/>
      <c r="I740" s="84"/>
    </row>
    <row r="741" spans="1:9">
      <c r="A741" s="139"/>
      <c r="B741" s="139"/>
      <c r="C741" s="138"/>
      <c r="D741" s="140"/>
      <c r="E741" s="84"/>
      <c r="F741" s="84"/>
      <c r="G741" s="84"/>
      <c r="H741" s="139"/>
      <c r="I741" s="84"/>
    </row>
    <row r="742" spans="1:9">
      <c r="A742" s="139"/>
      <c r="B742" s="139"/>
      <c r="C742" s="138"/>
      <c r="D742" s="140"/>
      <c r="E742" s="84"/>
      <c r="F742" s="84"/>
      <c r="G742" s="84"/>
      <c r="H742" s="139"/>
      <c r="I742" s="84"/>
    </row>
    <row r="743" spans="1:9">
      <c r="A743" s="139"/>
      <c r="B743" s="139"/>
      <c r="C743" s="138"/>
      <c r="D743" s="140"/>
      <c r="E743" s="84"/>
      <c r="F743" s="84"/>
      <c r="G743" s="84"/>
      <c r="H743" s="139"/>
      <c r="I743" s="84"/>
    </row>
    <row r="744" spans="1:9">
      <c r="A744" s="139"/>
      <c r="B744" s="139"/>
      <c r="C744" s="138"/>
      <c r="D744" s="140"/>
      <c r="E744" s="84"/>
      <c r="F744" s="84"/>
      <c r="G744" s="84"/>
      <c r="H744" s="139"/>
      <c r="I744" s="84"/>
    </row>
    <row r="745" spans="1:9">
      <c r="A745" s="139"/>
      <c r="B745" s="139"/>
      <c r="C745" s="138"/>
      <c r="D745" s="140"/>
      <c r="E745" s="84"/>
      <c r="F745" s="84"/>
      <c r="G745" s="84"/>
      <c r="H745" s="139"/>
      <c r="I745" s="84"/>
    </row>
    <row r="746" spans="1:9">
      <c r="A746" s="139"/>
      <c r="B746" s="139"/>
      <c r="C746" s="138"/>
      <c r="D746" s="140"/>
      <c r="E746" s="84"/>
      <c r="F746" s="84"/>
      <c r="G746" s="84"/>
      <c r="H746" s="139"/>
      <c r="I746" s="84"/>
    </row>
    <row r="747" spans="1:9">
      <c r="A747" s="139"/>
      <c r="B747" s="139"/>
      <c r="C747" s="138"/>
      <c r="D747" s="140"/>
      <c r="E747" s="84"/>
      <c r="F747" s="84"/>
      <c r="G747" s="84"/>
      <c r="H747" s="139"/>
      <c r="I747" s="84"/>
    </row>
    <row r="748" spans="1:9">
      <c r="A748" s="139"/>
      <c r="B748" s="139"/>
      <c r="C748" s="138"/>
      <c r="D748" s="140"/>
      <c r="E748" s="84"/>
      <c r="F748" s="84"/>
      <c r="G748" s="84"/>
      <c r="H748" s="139"/>
      <c r="I748" s="84"/>
    </row>
    <row r="749" spans="1:9">
      <c r="A749" s="139"/>
      <c r="B749" s="139"/>
      <c r="C749" s="138"/>
      <c r="D749" s="140"/>
      <c r="E749" s="84"/>
      <c r="F749" s="84"/>
      <c r="G749" s="84"/>
      <c r="H749" s="139"/>
      <c r="I749" s="84"/>
    </row>
    <row r="750" spans="1:9">
      <c r="A750" s="139"/>
      <c r="B750" s="139"/>
      <c r="C750" s="138"/>
      <c r="D750" s="140"/>
      <c r="E750" s="84"/>
      <c r="F750" s="84"/>
      <c r="G750" s="84"/>
      <c r="H750" s="139"/>
      <c r="I750" s="84"/>
    </row>
    <row r="751" spans="1:9">
      <c r="A751" s="139"/>
      <c r="B751" s="139"/>
      <c r="C751" s="138"/>
      <c r="D751" s="140"/>
      <c r="E751" s="84"/>
      <c r="F751" s="84"/>
      <c r="G751" s="84"/>
      <c r="H751" s="139"/>
      <c r="I751" s="84"/>
    </row>
    <row r="752" spans="1:9">
      <c r="A752" s="139"/>
      <c r="B752" s="139"/>
      <c r="C752" s="138"/>
      <c r="D752" s="140"/>
      <c r="E752" s="84"/>
      <c r="F752" s="84"/>
      <c r="G752" s="84"/>
      <c r="H752" s="139"/>
      <c r="I752" s="84"/>
    </row>
    <row r="753" spans="1:9">
      <c r="A753" s="139"/>
      <c r="B753" s="139"/>
      <c r="C753" s="138"/>
      <c r="D753" s="140"/>
      <c r="E753" s="84"/>
      <c r="F753" s="84"/>
      <c r="G753" s="84"/>
      <c r="H753" s="139"/>
      <c r="I753" s="84"/>
    </row>
    <row r="754" spans="1:9">
      <c r="A754" s="139"/>
      <c r="B754" s="139"/>
      <c r="C754" s="138"/>
      <c r="D754" s="140"/>
      <c r="E754" s="84"/>
      <c r="F754" s="84"/>
      <c r="G754" s="84"/>
      <c r="H754" s="139"/>
      <c r="I754" s="84"/>
    </row>
    <row r="755" spans="1:9">
      <c r="A755" s="139"/>
      <c r="B755" s="139"/>
      <c r="C755" s="138"/>
      <c r="D755" s="140"/>
      <c r="E755" s="84"/>
      <c r="F755" s="84"/>
      <c r="G755" s="84"/>
      <c r="H755" s="139"/>
      <c r="I755" s="84"/>
    </row>
    <row r="756" spans="1:9">
      <c r="A756" s="139"/>
      <c r="B756" s="139"/>
      <c r="C756" s="138"/>
      <c r="D756" s="140"/>
      <c r="E756" s="84"/>
      <c r="F756" s="84"/>
      <c r="G756" s="84"/>
      <c r="H756" s="139"/>
      <c r="I756" s="84"/>
    </row>
    <row r="757" spans="1:9">
      <c r="A757" s="139"/>
      <c r="B757" s="139"/>
      <c r="C757" s="138"/>
      <c r="D757" s="140"/>
      <c r="E757" s="84"/>
      <c r="F757" s="84"/>
      <c r="G757" s="84"/>
      <c r="H757" s="139"/>
      <c r="I757" s="84"/>
    </row>
    <row r="758" spans="1:9">
      <c r="A758" s="139"/>
      <c r="B758" s="139"/>
      <c r="C758" s="138"/>
      <c r="D758" s="140"/>
      <c r="E758" s="84"/>
      <c r="F758" s="84"/>
      <c r="G758" s="84"/>
      <c r="H758" s="139"/>
      <c r="I758" s="84"/>
    </row>
    <row r="759" spans="1:9">
      <c r="A759" s="139"/>
      <c r="B759" s="139"/>
      <c r="C759" s="138"/>
      <c r="D759" s="140"/>
      <c r="E759" s="84"/>
      <c r="F759" s="84"/>
      <c r="G759" s="84"/>
      <c r="H759" s="139"/>
      <c r="I759" s="84"/>
    </row>
    <row r="760" spans="1:9">
      <c r="A760" s="139"/>
      <c r="B760" s="139"/>
      <c r="C760" s="138"/>
      <c r="D760" s="140"/>
      <c r="E760" s="84"/>
      <c r="F760" s="84"/>
      <c r="G760" s="84"/>
      <c r="H760" s="139"/>
      <c r="I760" s="84"/>
    </row>
    <row r="761" spans="1:9">
      <c r="A761" s="139"/>
      <c r="B761" s="139"/>
      <c r="C761" s="138"/>
      <c r="D761" s="140"/>
      <c r="E761" s="84"/>
      <c r="F761" s="84"/>
      <c r="G761" s="84"/>
      <c r="H761" s="139"/>
      <c r="I761" s="84"/>
    </row>
    <row r="762" spans="1:9">
      <c r="A762" s="139"/>
      <c r="B762" s="139"/>
      <c r="C762" s="138"/>
      <c r="D762" s="140"/>
      <c r="E762" s="84"/>
      <c r="F762" s="84"/>
      <c r="G762" s="84"/>
      <c r="H762" s="139"/>
      <c r="I762" s="84"/>
    </row>
    <row r="763" spans="1:9">
      <c r="A763" s="139"/>
      <c r="B763" s="139"/>
      <c r="C763" s="138"/>
      <c r="D763" s="140"/>
      <c r="E763" s="84"/>
      <c r="F763" s="84"/>
      <c r="G763" s="84"/>
      <c r="H763" s="139"/>
      <c r="I763" s="84"/>
    </row>
    <row r="764" spans="1:9">
      <c r="A764" s="139"/>
      <c r="B764" s="139"/>
      <c r="C764" s="138"/>
      <c r="D764" s="140"/>
      <c r="E764" s="84"/>
      <c r="F764" s="84"/>
      <c r="G764" s="84"/>
      <c r="H764" s="139"/>
      <c r="I764" s="84"/>
    </row>
    <row r="765" spans="1:9">
      <c r="A765" s="139"/>
      <c r="B765" s="139"/>
      <c r="C765" s="138"/>
      <c r="D765" s="140"/>
      <c r="E765" s="84"/>
      <c r="F765" s="84"/>
      <c r="G765" s="84"/>
      <c r="H765" s="139"/>
      <c r="I765" s="84"/>
    </row>
    <row r="766" spans="1:9">
      <c r="A766" s="139"/>
      <c r="B766" s="139"/>
      <c r="C766" s="138"/>
      <c r="D766" s="140"/>
      <c r="E766" s="84"/>
      <c r="F766" s="84"/>
      <c r="G766" s="84"/>
      <c r="H766" s="139"/>
      <c r="I766" s="84"/>
    </row>
    <row r="767" spans="1:9">
      <c r="A767" s="139"/>
      <c r="B767" s="139"/>
      <c r="C767" s="138"/>
      <c r="D767" s="140"/>
      <c r="E767" s="84"/>
      <c r="F767" s="84"/>
      <c r="G767" s="84"/>
      <c r="H767" s="139"/>
      <c r="I767" s="84"/>
    </row>
    <row r="768" spans="1:9">
      <c r="A768" s="139"/>
      <c r="B768" s="139"/>
      <c r="C768" s="138"/>
      <c r="D768" s="140"/>
      <c r="E768" s="84"/>
      <c r="F768" s="84"/>
      <c r="G768" s="84"/>
      <c r="H768" s="139"/>
      <c r="I768" s="84"/>
    </row>
    <row r="769" spans="1:9">
      <c r="A769" s="139"/>
      <c r="B769" s="139"/>
      <c r="C769" s="138"/>
      <c r="D769" s="140"/>
      <c r="E769" s="84"/>
      <c r="F769" s="84"/>
      <c r="G769" s="84"/>
      <c r="H769" s="139"/>
      <c r="I769" s="84"/>
    </row>
    <row r="770" spans="1:9">
      <c r="A770" s="139"/>
      <c r="B770" s="139"/>
      <c r="C770" s="138"/>
      <c r="D770" s="140"/>
      <c r="E770" s="84"/>
      <c r="F770" s="84"/>
      <c r="G770" s="84"/>
      <c r="H770" s="139"/>
      <c r="I770" s="84"/>
    </row>
    <row r="771" spans="1:9">
      <c r="A771" s="139"/>
      <c r="B771" s="139"/>
      <c r="C771" s="138"/>
      <c r="D771" s="140"/>
      <c r="E771" s="84"/>
      <c r="F771" s="84"/>
      <c r="G771" s="84"/>
      <c r="H771" s="139"/>
      <c r="I771" s="84"/>
    </row>
    <row r="772" spans="1:9">
      <c r="A772" s="139"/>
      <c r="B772" s="139"/>
      <c r="C772" s="138"/>
      <c r="D772" s="140"/>
      <c r="E772" s="84"/>
      <c r="F772" s="84"/>
      <c r="G772" s="84"/>
      <c r="H772" s="139"/>
      <c r="I772" s="84"/>
    </row>
    <row r="773" spans="1:9">
      <c r="A773" s="139"/>
      <c r="B773" s="139"/>
      <c r="C773" s="138"/>
      <c r="D773" s="140"/>
      <c r="E773" s="84"/>
      <c r="F773" s="84"/>
      <c r="G773" s="84"/>
      <c r="H773" s="139"/>
      <c r="I773" s="84"/>
    </row>
    <row r="774" spans="1:9">
      <c r="A774" s="139"/>
      <c r="B774" s="139"/>
      <c r="C774" s="138"/>
      <c r="D774" s="140"/>
      <c r="E774" s="84"/>
      <c r="F774" s="84"/>
      <c r="G774" s="84"/>
      <c r="H774" s="139"/>
      <c r="I774" s="84"/>
    </row>
    <row r="775" spans="1:9">
      <c r="A775" s="139"/>
      <c r="B775" s="139"/>
      <c r="C775" s="138"/>
      <c r="D775" s="140"/>
      <c r="E775" s="84"/>
      <c r="F775" s="84"/>
      <c r="G775" s="84"/>
      <c r="H775" s="139"/>
      <c r="I775" s="84"/>
    </row>
    <row r="776" spans="1:9">
      <c r="A776" s="139"/>
      <c r="B776" s="139"/>
      <c r="C776" s="138"/>
      <c r="D776" s="140"/>
      <c r="E776" s="84"/>
      <c r="F776" s="84"/>
      <c r="G776" s="84"/>
      <c r="H776" s="139"/>
      <c r="I776" s="84"/>
    </row>
    <row r="777" spans="1:9">
      <c r="A777" s="139"/>
      <c r="B777" s="139"/>
      <c r="C777" s="138"/>
      <c r="D777" s="140"/>
      <c r="E777" s="84"/>
      <c r="F777" s="84"/>
      <c r="G777" s="84"/>
      <c r="H777" s="139"/>
      <c r="I777" s="84"/>
    </row>
    <row r="778" spans="1:9">
      <c r="A778" s="139"/>
      <c r="B778" s="139"/>
      <c r="C778" s="138"/>
      <c r="D778" s="140"/>
      <c r="E778" s="84"/>
      <c r="F778" s="84"/>
      <c r="G778" s="84"/>
      <c r="H778" s="139"/>
      <c r="I778" s="84"/>
    </row>
    <row r="779" spans="1:9">
      <c r="A779" s="139"/>
      <c r="B779" s="139"/>
      <c r="C779" s="138"/>
      <c r="D779" s="140"/>
      <c r="E779" s="84"/>
      <c r="F779" s="84"/>
      <c r="G779" s="84"/>
      <c r="H779" s="139"/>
      <c r="I779" s="84"/>
    </row>
    <row r="780" spans="1:9">
      <c r="A780" s="139"/>
      <c r="B780" s="139"/>
      <c r="C780" s="138"/>
      <c r="D780" s="140"/>
      <c r="E780" s="84"/>
      <c r="F780" s="84"/>
      <c r="G780" s="84"/>
      <c r="H780" s="139"/>
      <c r="I780" s="84"/>
    </row>
    <row r="781" spans="1:9">
      <c r="A781" s="139"/>
      <c r="B781" s="139"/>
      <c r="C781" s="138"/>
      <c r="D781" s="140"/>
      <c r="E781" s="84"/>
      <c r="F781" s="84"/>
      <c r="G781" s="84"/>
      <c r="H781" s="139"/>
      <c r="I781" s="84"/>
    </row>
    <row r="782" spans="1:9">
      <c r="A782" s="139"/>
      <c r="B782" s="139"/>
      <c r="C782" s="138"/>
      <c r="D782" s="140"/>
      <c r="E782" s="84"/>
      <c r="F782" s="84"/>
      <c r="G782" s="84"/>
      <c r="H782" s="139"/>
      <c r="I782" s="84"/>
    </row>
    <row r="783" spans="1:9">
      <c r="A783" s="139"/>
      <c r="B783" s="139"/>
      <c r="C783" s="138"/>
      <c r="D783" s="140"/>
      <c r="E783" s="84"/>
      <c r="F783" s="84"/>
      <c r="G783" s="84"/>
      <c r="H783" s="139"/>
      <c r="I783" s="84"/>
    </row>
    <row r="784" spans="1:9">
      <c r="A784" s="139"/>
      <c r="B784" s="139"/>
      <c r="C784" s="138"/>
      <c r="D784" s="140"/>
      <c r="E784" s="84"/>
      <c r="F784" s="84"/>
      <c r="G784" s="84"/>
      <c r="H784" s="139"/>
      <c r="I784" s="84"/>
    </row>
    <row r="785" spans="1:9">
      <c r="A785" s="139"/>
      <c r="B785" s="139"/>
      <c r="C785" s="138"/>
      <c r="D785" s="140"/>
      <c r="E785" s="84"/>
      <c r="F785" s="84"/>
      <c r="G785" s="84"/>
      <c r="H785" s="139"/>
      <c r="I785" s="84"/>
    </row>
    <row r="786" spans="1:9">
      <c r="A786" s="139"/>
      <c r="B786" s="139"/>
      <c r="C786" s="138"/>
      <c r="D786" s="140"/>
      <c r="E786" s="84"/>
      <c r="F786" s="84"/>
      <c r="G786" s="84"/>
      <c r="H786" s="139"/>
      <c r="I786" s="84"/>
    </row>
    <row r="787" spans="1:9">
      <c r="A787" s="139"/>
      <c r="B787" s="139"/>
      <c r="C787" s="138"/>
      <c r="D787" s="140"/>
      <c r="E787" s="84"/>
      <c r="F787" s="84"/>
      <c r="G787" s="84"/>
      <c r="H787" s="139"/>
      <c r="I787" s="84"/>
    </row>
    <row r="788" spans="1:9">
      <c r="A788" s="139"/>
      <c r="B788" s="139"/>
      <c r="C788" s="138"/>
      <c r="D788" s="140"/>
      <c r="E788" s="84"/>
      <c r="F788" s="84"/>
      <c r="G788" s="84"/>
      <c r="H788" s="139"/>
      <c r="I788" s="84"/>
    </row>
    <row r="789" spans="1:9">
      <c r="A789" s="139"/>
      <c r="B789" s="139"/>
      <c r="C789" s="138"/>
      <c r="D789" s="140"/>
      <c r="E789" s="84"/>
      <c r="F789" s="84"/>
      <c r="G789" s="84"/>
      <c r="H789" s="139"/>
      <c r="I789" s="84"/>
    </row>
    <row r="790" spans="1:9">
      <c r="A790" s="139"/>
      <c r="B790" s="139"/>
      <c r="C790" s="138"/>
      <c r="D790" s="140"/>
      <c r="E790" s="84"/>
      <c r="F790" s="84"/>
      <c r="G790" s="84"/>
      <c r="H790" s="139"/>
      <c r="I790" s="84"/>
    </row>
    <row r="791" spans="1:9">
      <c r="A791" s="139"/>
      <c r="B791" s="139"/>
      <c r="C791" s="138"/>
      <c r="D791" s="140"/>
      <c r="E791" s="84"/>
      <c r="F791" s="84"/>
      <c r="G791" s="84"/>
      <c r="H791" s="139"/>
      <c r="I791" s="84"/>
    </row>
    <row r="792" spans="1:9">
      <c r="A792" s="139"/>
      <c r="B792" s="139"/>
      <c r="C792" s="138"/>
      <c r="D792" s="140"/>
      <c r="E792" s="84"/>
      <c r="F792" s="84"/>
      <c r="G792" s="84"/>
      <c r="H792" s="139"/>
      <c r="I792" s="84"/>
    </row>
    <row r="793" spans="1:9">
      <c r="A793" s="139"/>
      <c r="B793" s="139"/>
      <c r="C793" s="138"/>
      <c r="D793" s="140"/>
      <c r="E793" s="84"/>
      <c r="F793" s="84"/>
      <c r="G793" s="84"/>
      <c r="H793" s="139"/>
      <c r="I793" s="84"/>
    </row>
    <row r="794" spans="1:9">
      <c r="A794" s="139"/>
      <c r="B794" s="139"/>
      <c r="C794" s="138"/>
      <c r="D794" s="140"/>
      <c r="E794" s="84"/>
      <c r="F794" s="84"/>
      <c r="G794" s="84"/>
      <c r="H794" s="139"/>
      <c r="I794" s="84"/>
    </row>
    <row r="795" spans="1:9">
      <c r="A795" s="139"/>
      <c r="B795" s="139"/>
      <c r="C795" s="138"/>
      <c r="D795" s="140"/>
      <c r="E795" s="84"/>
      <c r="F795" s="84"/>
      <c r="G795" s="84"/>
      <c r="H795" s="139"/>
      <c r="I795" s="84"/>
    </row>
    <row r="796" spans="1:9">
      <c r="A796" s="139"/>
      <c r="B796" s="139"/>
      <c r="C796" s="138"/>
      <c r="D796" s="140"/>
      <c r="E796" s="84"/>
      <c r="F796" s="84"/>
      <c r="G796" s="84"/>
      <c r="H796" s="139"/>
      <c r="I796" s="84"/>
    </row>
    <row r="797" spans="1:9">
      <c r="A797" s="139"/>
      <c r="B797" s="139"/>
      <c r="C797" s="138"/>
      <c r="D797" s="140"/>
      <c r="E797" s="84"/>
      <c r="F797" s="84"/>
      <c r="G797" s="84"/>
      <c r="H797" s="139"/>
      <c r="I797" s="84"/>
    </row>
    <row r="798" spans="1:9">
      <c r="A798" s="139"/>
      <c r="B798" s="139"/>
      <c r="C798" s="138"/>
      <c r="D798" s="140"/>
      <c r="E798" s="84"/>
      <c r="F798" s="84"/>
      <c r="G798" s="84"/>
      <c r="H798" s="139"/>
      <c r="I798" s="84"/>
    </row>
    <row r="799" spans="1:9">
      <c r="A799" s="139"/>
      <c r="B799" s="139"/>
      <c r="C799" s="138"/>
      <c r="D799" s="140"/>
      <c r="E799" s="84"/>
      <c r="F799" s="84"/>
      <c r="G799" s="84"/>
      <c r="H799" s="139"/>
      <c r="I799" s="84"/>
    </row>
    <row r="800" spans="1:9">
      <c r="A800" s="139"/>
      <c r="B800" s="139"/>
      <c r="C800" s="138"/>
      <c r="D800" s="140"/>
      <c r="E800" s="84"/>
      <c r="F800" s="84"/>
      <c r="G800" s="84"/>
      <c r="H800" s="139"/>
      <c r="I800" s="84"/>
    </row>
    <row r="801" spans="1:9">
      <c r="A801" s="139"/>
      <c r="B801" s="139"/>
      <c r="C801" s="138"/>
      <c r="D801" s="140"/>
      <c r="E801" s="84"/>
      <c r="F801" s="84"/>
      <c r="G801" s="84"/>
      <c r="H801" s="139"/>
      <c r="I801" s="84"/>
    </row>
    <row r="802" spans="1:9">
      <c r="A802" s="139"/>
      <c r="B802" s="139"/>
      <c r="C802" s="138"/>
      <c r="D802" s="140"/>
      <c r="E802" s="84"/>
      <c r="F802" s="84"/>
      <c r="G802" s="84"/>
      <c r="H802" s="139"/>
      <c r="I802" s="84"/>
    </row>
    <row r="803" spans="1:9">
      <c r="A803" s="139"/>
      <c r="B803" s="139"/>
      <c r="C803" s="138"/>
      <c r="D803" s="140"/>
      <c r="E803" s="84"/>
      <c r="F803" s="84"/>
      <c r="G803" s="84"/>
      <c r="H803" s="139"/>
      <c r="I803" s="84"/>
    </row>
    <row r="804" spans="1:9">
      <c r="A804" s="139"/>
      <c r="B804" s="139"/>
      <c r="C804" s="138"/>
      <c r="D804" s="140"/>
      <c r="E804" s="84"/>
      <c r="F804" s="84"/>
      <c r="G804" s="84"/>
      <c r="H804" s="139"/>
      <c r="I804" s="84"/>
    </row>
    <row r="805" spans="1:9">
      <c r="A805" s="139"/>
      <c r="B805" s="139"/>
      <c r="C805" s="138"/>
      <c r="D805" s="140"/>
      <c r="E805" s="84"/>
      <c r="F805" s="84"/>
      <c r="G805" s="84"/>
      <c r="H805" s="139"/>
      <c r="I805" s="84"/>
    </row>
    <row r="806" spans="1:9">
      <c r="A806" s="139"/>
      <c r="B806" s="139"/>
      <c r="C806" s="138"/>
      <c r="D806" s="140"/>
      <c r="E806" s="84"/>
      <c r="F806" s="84"/>
      <c r="G806" s="84"/>
      <c r="H806" s="139"/>
      <c r="I806" s="84"/>
    </row>
    <row r="807" spans="1:9">
      <c r="A807" s="139"/>
      <c r="B807" s="139"/>
      <c r="C807" s="138"/>
      <c r="D807" s="140"/>
      <c r="E807" s="84"/>
      <c r="F807" s="84"/>
      <c r="G807" s="84"/>
      <c r="H807" s="139"/>
      <c r="I807" s="84"/>
    </row>
    <row r="808" spans="1:9">
      <c r="A808" s="139"/>
      <c r="B808" s="139"/>
      <c r="C808" s="138"/>
      <c r="D808" s="140"/>
      <c r="E808" s="84"/>
      <c r="F808" s="84"/>
      <c r="G808" s="84"/>
      <c r="H808" s="139"/>
      <c r="I808" s="84"/>
    </row>
    <row r="809" spans="1:9">
      <c r="A809" s="139"/>
      <c r="B809" s="139"/>
      <c r="C809" s="138"/>
      <c r="D809" s="140"/>
      <c r="E809" s="84"/>
      <c r="F809" s="84"/>
      <c r="G809" s="84"/>
      <c r="H809" s="139"/>
      <c r="I809" s="84"/>
    </row>
    <row r="810" spans="1:9">
      <c r="A810" s="139"/>
      <c r="B810" s="139"/>
      <c r="C810" s="138"/>
      <c r="D810" s="140"/>
      <c r="E810" s="84"/>
      <c r="F810" s="84"/>
      <c r="G810" s="84"/>
      <c r="H810" s="139"/>
      <c r="I810" s="84"/>
    </row>
    <row r="811" spans="1:9">
      <c r="A811" s="139"/>
      <c r="B811" s="139"/>
      <c r="C811" s="138"/>
      <c r="D811" s="140"/>
      <c r="E811" s="84"/>
      <c r="F811" s="84"/>
      <c r="G811" s="84"/>
      <c r="H811" s="139"/>
      <c r="I811" s="84"/>
    </row>
    <row r="812" spans="1:9">
      <c r="A812" s="139"/>
      <c r="B812" s="139"/>
      <c r="C812" s="138"/>
      <c r="D812" s="140"/>
      <c r="E812" s="84"/>
      <c r="F812" s="84"/>
      <c r="G812" s="84"/>
      <c r="H812" s="139"/>
      <c r="I812" s="84"/>
    </row>
    <row r="813" spans="1:9">
      <c r="A813" s="139"/>
      <c r="B813" s="139"/>
      <c r="C813" s="138"/>
      <c r="D813" s="140"/>
      <c r="E813" s="84"/>
      <c r="F813" s="84"/>
      <c r="G813" s="84"/>
      <c r="H813" s="139"/>
      <c r="I813" s="84"/>
    </row>
    <row r="814" spans="1:9">
      <c r="A814" s="139"/>
      <c r="B814" s="139"/>
      <c r="C814" s="138"/>
      <c r="D814" s="140"/>
      <c r="E814" s="84"/>
      <c r="F814" s="84"/>
      <c r="G814" s="84"/>
      <c r="H814" s="139"/>
      <c r="I814" s="84"/>
    </row>
    <row r="815" spans="1:9">
      <c r="A815" s="139"/>
      <c r="B815" s="139"/>
      <c r="C815" s="138"/>
      <c r="D815" s="140"/>
      <c r="E815" s="84"/>
      <c r="F815" s="84"/>
      <c r="G815" s="84"/>
      <c r="H815" s="139"/>
      <c r="I815" s="84"/>
    </row>
    <row r="816" spans="1:9">
      <c r="A816" s="139"/>
      <c r="B816" s="139"/>
      <c r="C816" s="138"/>
      <c r="D816" s="140"/>
      <c r="E816" s="84"/>
      <c r="F816" s="84"/>
      <c r="G816" s="84"/>
      <c r="H816" s="139"/>
      <c r="I816" s="84"/>
    </row>
    <row r="817" spans="1:9">
      <c r="A817" s="139"/>
      <c r="B817" s="139"/>
      <c r="C817" s="138"/>
      <c r="D817" s="140"/>
      <c r="E817" s="84"/>
      <c r="F817" s="84"/>
      <c r="G817" s="84"/>
      <c r="H817" s="139"/>
      <c r="I817" s="84"/>
    </row>
    <row r="818" spans="1:9">
      <c r="A818" s="139"/>
      <c r="B818" s="139"/>
      <c r="C818" s="138"/>
      <c r="D818" s="140"/>
      <c r="E818" s="84"/>
      <c r="F818" s="84"/>
      <c r="G818" s="84"/>
      <c r="H818" s="139"/>
      <c r="I818" s="84"/>
    </row>
    <row r="819" spans="1:9">
      <c r="A819" s="139"/>
      <c r="B819" s="139"/>
      <c r="C819" s="138"/>
      <c r="D819" s="140"/>
      <c r="E819" s="84"/>
      <c r="F819" s="84"/>
      <c r="G819" s="84"/>
      <c r="H819" s="139"/>
      <c r="I819" s="84"/>
    </row>
    <row r="820" spans="1:9">
      <c r="A820" s="139"/>
      <c r="B820" s="139"/>
      <c r="C820" s="138"/>
      <c r="D820" s="140"/>
      <c r="E820" s="84"/>
      <c r="F820" s="84"/>
      <c r="G820" s="84"/>
      <c r="H820" s="139"/>
      <c r="I820" s="84"/>
    </row>
    <row r="821" spans="1:9">
      <c r="A821" s="139"/>
      <c r="B821" s="139"/>
      <c r="C821" s="138"/>
      <c r="D821" s="140"/>
      <c r="E821" s="84"/>
      <c r="F821" s="84"/>
      <c r="G821" s="84"/>
      <c r="H821" s="139"/>
      <c r="I821" s="84"/>
    </row>
    <row r="822" spans="1:9">
      <c r="A822" s="139"/>
      <c r="B822" s="139"/>
      <c r="C822" s="138"/>
      <c r="D822" s="140"/>
      <c r="E822" s="84"/>
      <c r="F822" s="84"/>
      <c r="G822" s="84"/>
      <c r="H822" s="139"/>
      <c r="I822" s="84"/>
    </row>
    <row r="823" spans="1:9">
      <c r="A823" s="139"/>
      <c r="B823" s="139"/>
      <c r="C823" s="138"/>
      <c r="D823" s="140"/>
      <c r="E823" s="84"/>
      <c r="F823" s="84"/>
      <c r="G823" s="84"/>
      <c r="H823" s="139"/>
      <c r="I823" s="84"/>
    </row>
    <row r="824" spans="1:9">
      <c r="A824" s="139"/>
      <c r="B824" s="139"/>
      <c r="C824" s="138"/>
      <c r="D824" s="140"/>
      <c r="E824" s="84"/>
      <c r="F824" s="84"/>
      <c r="G824" s="84"/>
      <c r="H824" s="139"/>
      <c r="I824" s="84"/>
    </row>
    <row r="825" spans="1:9">
      <c r="A825" s="139"/>
      <c r="B825" s="139"/>
      <c r="C825" s="138"/>
      <c r="D825" s="140"/>
      <c r="E825" s="84"/>
      <c r="F825" s="84"/>
      <c r="G825" s="84"/>
      <c r="H825" s="139"/>
      <c r="I825" s="84"/>
    </row>
    <row r="826" spans="1:9">
      <c r="A826" s="139"/>
      <c r="B826" s="139"/>
      <c r="C826" s="138"/>
      <c r="D826" s="140"/>
      <c r="E826" s="84"/>
      <c r="F826" s="84"/>
      <c r="G826" s="84"/>
      <c r="H826" s="139"/>
      <c r="I826" s="84"/>
    </row>
    <row r="827" spans="1:9">
      <c r="A827" s="139"/>
      <c r="B827" s="139"/>
      <c r="C827" s="138"/>
      <c r="D827" s="140"/>
      <c r="E827" s="84"/>
      <c r="F827" s="84"/>
      <c r="G827" s="84"/>
      <c r="H827" s="139"/>
      <c r="I827" s="84"/>
    </row>
    <row r="828" spans="1:9">
      <c r="A828" s="139"/>
      <c r="B828" s="139"/>
      <c r="C828" s="138"/>
      <c r="D828" s="140"/>
      <c r="E828" s="84"/>
      <c r="F828" s="84"/>
      <c r="G828" s="84"/>
      <c r="H828" s="139"/>
      <c r="I828" s="84"/>
    </row>
    <row r="829" spans="1:9">
      <c r="A829" s="139"/>
      <c r="B829" s="139"/>
      <c r="C829" s="138"/>
      <c r="D829" s="140"/>
      <c r="E829" s="84"/>
      <c r="F829" s="84"/>
      <c r="G829" s="84"/>
      <c r="H829" s="139"/>
      <c r="I829" s="84"/>
    </row>
    <row r="830" spans="1:9">
      <c r="A830" s="139"/>
      <c r="B830" s="139"/>
      <c r="C830" s="138"/>
      <c r="D830" s="140"/>
      <c r="E830" s="84"/>
      <c r="F830" s="84"/>
      <c r="G830" s="84"/>
      <c r="H830" s="139"/>
      <c r="I830" s="84"/>
    </row>
    <row r="831" spans="1:9">
      <c r="A831" s="139"/>
      <c r="B831" s="139"/>
      <c r="C831" s="138"/>
      <c r="D831" s="140"/>
      <c r="E831" s="84"/>
      <c r="F831" s="84"/>
      <c r="G831" s="84"/>
      <c r="H831" s="139"/>
      <c r="I831" s="84"/>
    </row>
    <row r="832" spans="1:9">
      <c r="A832" s="139"/>
      <c r="B832" s="139"/>
      <c r="C832" s="138"/>
      <c r="D832" s="140"/>
      <c r="E832" s="84"/>
      <c r="F832" s="84"/>
      <c r="G832" s="84"/>
      <c r="H832" s="139"/>
      <c r="I832" s="84"/>
    </row>
    <row r="833" spans="1:9">
      <c r="A833" s="139"/>
      <c r="B833" s="139"/>
      <c r="C833" s="138"/>
      <c r="D833" s="140"/>
      <c r="E833" s="84"/>
      <c r="F833" s="84"/>
      <c r="G833" s="84"/>
      <c r="H833" s="139"/>
      <c r="I833" s="84"/>
    </row>
    <row r="834" spans="1:9">
      <c r="A834" s="139"/>
      <c r="B834" s="139"/>
      <c r="C834" s="138"/>
      <c r="D834" s="140"/>
      <c r="E834" s="84"/>
      <c r="F834" s="84"/>
      <c r="G834" s="84"/>
      <c r="H834" s="139"/>
      <c r="I834" s="84"/>
    </row>
    <row r="835" spans="1:9">
      <c r="A835" s="139"/>
      <c r="B835" s="139"/>
      <c r="C835" s="138"/>
      <c r="D835" s="140"/>
      <c r="E835" s="84"/>
      <c r="F835" s="84"/>
      <c r="G835" s="84"/>
      <c r="H835" s="139"/>
      <c r="I835" s="84"/>
    </row>
    <row r="836" spans="1:9">
      <c r="A836" s="139"/>
      <c r="B836" s="139"/>
      <c r="C836" s="138"/>
      <c r="D836" s="140"/>
      <c r="E836" s="84"/>
      <c r="F836" s="84"/>
      <c r="G836" s="84"/>
      <c r="H836" s="139"/>
      <c r="I836" s="84"/>
    </row>
    <row r="837" spans="1:9">
      <c r="A837" s="139"/>
      <c r="B837" s="139"/>
      <c r="C837" s="138"/>
      <c r="D837" s="140"/>
      <c r="E837" s="84"/>
      <c r="F837" s="84"/>
      <c r="G837" s="84"/>
      <c r="H837" s="139"/>
      <c r="I837" s="84"/>
    </row>
    <row r="838" spans="1:9">
      <c r="A838" s="139"/>
      <c r="B838" s="139"/>
      <c r="C838" s="138"/>
      <c r="D838" s="140"/>
      <c r="E838" s="84"/>
      <c r="F838" s="84"/>
      <c r="G838" s="84"/>
      <c r="H838" s="139"/>
      <c r="I838" s="84"/>
    </row>
    <row r="839" spans="1:9">
      <c r="A839" s="139"/>
      <c r="B839" s="139"/>
      <c r="C839" s="138"/>
      <c r="D839" s="140"/>
      <c r="E839" s="84"/>
      <c r="F839" s="84"/>
      <c r="G839" s="84"/>
      <c r="H839" s="139"/>
      <c r="I839" s="84"/>
    </row>
    <row r="840" spans="1:9">
      <c r="A840" s="139"/>
      <c r="B840" s="139"/>
      <c r="C840" s="138"/>
      <c r="D840" s="140"/>
      <c r="E840" s="84"/>
      <c r="F840" s="84"/>
      <c r="G840" s="84"/>
      <c r="H840" s="139"/>
      <c r="I840" s="84"/>
    </row>
    <row r="841" spans="1:9">
      <c r="A841" s="139"/>
      <c r="B841" s="139"/>
      <c r="C841" s="138"/>
      <c r="D841" s="140"/>
      <c r="E841" s="84"/>
      <c r="F841" s="84"/>
      <c r="G841" s="84"/>
      <c r="H841" s="139"/>
      <c r="I841" s="84"/>
    </row>
    <row r="842" spans="1:9">
      <c r="A842" s="139"/>
      <c r="B842" s="139"/>
      <c r="C842" s="138"/>
      <c r="D842" s="140"/>
      <c r="E842" s="84"/>
      <c r="F842" s="84"/>
      <c r="G842" s="84"/>
      <c r="H842" s="139"/>
      <c r="I842" s="84"/>
    </row>
    <row r="843" spans="1:9">
      <c r="A843" s="139"/>
      <c r="B843" s="139"/>
      <c r="C843" s="138"/>
      <c r="D843" s="140"/>
      <c r="E843" s="84"/>
      <c r="F843" s="84"/>
      <c r="G843" s="84"/>
      <c r="H843" s="139"/>
      <c r="I843" s="84"/>
    </row>
    <row r="844" spans="1:9">
      <c r="A844" s="139"/>
      <c r="B844" s="139"/>
      <c r="C844" s="138"/>
      <c r="D844" s="140"/>
      <c r="E844" s="84"/>
      <c r="F844" s="84"/>
      <c r="G844" s="84"/>
      <c r="H844" s="139"/>
      <c r="I844" s="84"/>
    </row>
    <row r="845" spans="1:9">
      <c r="A845" s="139"/>
      <c r="B845" s="139"/>
      <c r="C845" s="138"/>
      <c r="D845" s="140"/>
      <c r="E845" s="84"/>
      <c r="F845" s="84"/>
      <c r="G845" s="84"/>
      <c r="H845" s="139"/>
      <c r="I845" s="84"/>
    </row>
    <row r="846" spans="1:9">
      <c r="A846" s="139"/>
      <c r="B846" s="139"/>
      <c r="C846" s="138"/>
      <c r="D846" s="140"/>
      <c r="E846" s="84"/>
      <c r="F846" s="84"/>
      <c r="G846" s="84"/>
      <c r="H846" s="139"/>
      <c r="I846" s="84"/>
    </row>
    <row r="847" spans="1:9">
      <c r="A847" s="139"/>
      <c r="B847" s="139"/>
      <c r="C847" s="138"/>
      <c r="D847" s="140"/>
      <c r="E847" s="84"/>
      <c r="F847" s="84"/>
      <c r="G847" s="84"/>
      <c r="H847" s="139"/>
      <c r="I847" s="84"/>
    </row>
    <row r="848" spans="1:9">
      <c r="A848" s="139"/>
      <c r="B848" s="139"/>
      <c r="C848" s="138"/>
      <c r="D848" s="140"/>
      <c r="E848" s="84"/>
      <c r="F848" s="84"/>
      <c r="G848" s="84"/>
      <c r="H848" s="139"/>
      <c r="I848" s="84"/>
    </row>
    <row r="849" spans="1:9">
      <c r="A849" s="139"/>
      <c r="B849" s="139"/>
      <c r="C849" s="138"/>
      <c r="D849" s="140"/>
      <c r="E849" s="84"/>
      <c r="F849" s="84"/>
      <c r="G849" s="84"/>
      <c r="H849" s="139"/>
      <c r="I849" s="84"/>
    </row>
    <row r="850" spans="1:9">
      <c r="A850" s="139"/>
      <c r="B850" s="139"/>
      <c r="C850" s="138"/>
      <c r="D850" s="140"/>
      <c r="E850" s="84"/>
      <c r="F850" s="84"/>
      <c r="G850" s="84"/>
      <c r="H850" s="139"/>
      <c r="I850" s="84"/>
    </row>
    <row r="851" spans="1:9">
      <c r="A851" s="139"/>
      <c r="B851" s="139"/>
      <c r="C851" s="138"/>
      <c r="D851" s="140"/>
      <c r="E851" s="84"/>
      <c r="F851" s="84"/>
      <c r="G851" s="84"/>
      <c r="H851" s="139"/>
      <c r="I851" s="84"/>
    </row>
    <row r="852" spans="1:9">
      <c r="A852" s="139"/>
      <c r="B852" s="139"/>
      <c r="C852" s="138"/>
      <c r="D852" s="140"/>
      <c r="E852" s="84"/>
      <c r="F852" s="84"/>
      <c r="G852" s="84"/>
      <c r="H852" s="139"/>
      <c r="I852" s="84"/>
    </row>
    <row r="853" spans="1:9">
      <c r="A853" s="139"/>
      <c r="B853" s="139"/>
      <c r="C853" s="138"/>
      <c r="D853" s="140"/>
      <c r="E853" s="84"/>
      <c r="F853" s="84"/>
      <c r="G853" s="84"/>
      <c r="H853" s="139"/>
      <c r="I853" s="84"/>
    </row>
    <row r="854" spans="1:9">
      <c r="A854" s="139"/>
      <c r="B854" s="139"/>
      <c r="C854" s="138"/>
      <c r="D854" s="140"/>
      <c r="E854" s="84"/>
      <c r="F854" s="84"/>
      <c r="G854" s="84"/>
      <c r="H854" s="139"/>
      <c r="I854" s="84"/>
    </row>
    <row r="855" spans="1:9">
      <c r="A855" s="139"/>
      <c r="B855" s="139"/>
      <c r="C855" s="138"/>
      <c r="D855" s="140"/>
      <c r="E855" s="84"/>
      <c r="F855" s="84"/>
      <c r="G855" s="84"/>
      <c r="H855" s="139"/>
      <c r="I855" s="84"/>
    </row>
    <row r="856" spans="1:9">
      <c r="A856" s="139"/>
      <c r="B856" s="139"/>
      <c r="C856" s="138"/>
      <c r="D856" s="140"/>
      <c r="E856" s="84"/>
      <c r="F856" s="84"/>
      <c r="G856" s="84"/>
      <c r="H856" s="139"/>
      <c r="I856" s="84"/>
    </row>
    <row r="857" spans="1:9">
      <c r="A857" s="139"/>
      <c r="B857" s="139"/>
      <c r="C857" s="138"/>
      <c r="D857" s="140"/>
      <c r="E857" s="84"/>
      <c r="F857" s="84"/>
      <c r="G857" s="84"/>
      <c r="H857" s="139"/>
      <c r="I857" s="84"/>
    </row>
    <row r="858" spans="1:9">
      <c r="A858" s="139"/>
      <c r="B858" s="139"/>
      <c r="C858" s="138"/>
      <c r="D858" s="140"/>
      <c r="E858" s="84"/>
      <c r="F858" s="84"/>
      <c r="G858" s="84"/>
      <c r="H858" s="139"/>
      <c r="I858" s="84"/>
    </row>
    <row r="859" spans="1:9">
      <c r="A859" s="139"/>
      <c r="B859" s="139"/>
      <c r="C859" s="138"/>
      <c r="D859" s="140"/>
      <c r="E859" s="84"/>
      <c r="F859" s="84"/>
      <c r="G859" s="84"/>
      <c r="H859" s="139"/>
      <c r="I859" s="84"/>
    </row>
    <row r="860" spans="1:9">
      <c r="A860" s="139"/>
      <c r="B860" s="139"/>
      <c r="C860" s="138"/>
      <c r="D860" s="140"/>
      <c r="E860" s="84"/>
      <c r="F860" s="84"/>
      <c r="G860" s="84"/>
      <c r="H860" s="139"/>
      <c r="I860" s="84"/>
    </row>
    <row r="861" spans="1:9">
      <c r="A861" s="139"/>
      <c r="B861" s="139"/>
      <c r="C861" s="138"/>
      <c r="D861" s="140"/>
      <c r="E861" s="84"/>
      <c r="F861" s="84"/>
      <c r="G861" s="84"/>
      <c r="H861" s="139"/>
      <c r="I861" s="84"/>
    </row>
    <row r="862" spans="1:9">
      <c r="A862" s="139"/>
      <c r="B862" s="139"/>
      <c r="C862" s="138"/>
      <c r="D862" s="140"/>
      <c r="E862" s="84"/>
      <c r="F862" s="84"/>
      <c r="G862" s="84"/>
      <c r="H862" s="139"/>
      <c r="I862" s="84"/>
    </row>
    <row r="863" spans="1:9">
      <c r="A863" s="139"/>
      <c r="B863" s="139"/>
      <c r="C863" s="138"/>
      <c r="D863" s="140"/>
      <c r="E863" s="84"/>
      <c r="F863" s="84"/>
      <c r="G863" s="84"/>
      <c r="H863" s="139"/>
      <c r="I863" s="84"/>
    </row>
    <row r="864" spans="1:9">
      <c r="A864" s="139"/>
      <c r="B864" s="139"/>
      <c r="C864" s="138"/>
      <c r="D864" s="140"/>
      <c r="E864" s="84"/>
      <c r="F864" s="84"/>
      <c r="G864" s="84"/>
      <c r="H864" s="139"/>
      <c r="I864" s="84"/>
    </row>
    <row r="865" spans="1:9">
      <c r="A865" s="139"/>
      <c r="B865" s="139"/>
      <c r="C865" s="138"/>
      <c r="D865" s="140"/>
      <c r="E865" s="84"/>
      <c r="F865" s="84"/>
      <c r="G865" s="84"/>
      <c r="H865" s="139"/>
      <c r="I865" s="84"/>
    </row>
    <row r="866" spans="1:9">
      <c r="A866" s="139"/>
      <c r="B866" s="139"/>
      <c r="C866" s="138"/>
      <c r="D866" s="140"/>
      <c r="E866" s="84"/>
      <c r="F866" s="84"/>
      <c r="G866" s="84"/>
      <c r="H866" s="139"/>
      <c r="I866" s="84"/>
    </row>
    <row r="867" spans="1:9">
      <c r="A867" s="139"/>
      <c r="B867" s="139"/>
      <c r="C867" s="138"/>
      <c r="D867" s="140"/>
      <c r="E867" s="84"/>
      <c r="F867" s="84"/>
      <c r="G867" s="84"/>
      <c r="H867" s="139"/>
      <c r="I867" s="84"/>
    </row>
    <row r="868" spans="1:9">
      <c r="A868" s="139"/>
      <c r="B868" s="139"/>
      <c r="C868" s="138"/>
      <c r="D868" s="140"/>
      <c r="E868" s="84"/>
      <c r="F868" s="84"/>
      <c r="G868" s="84"/>
      <c r="H868" s="139"/>
      <c r="I868" s="84"/>
    </row>
    <row r="869" spans="1:9">
      <c r="A869" s="139"/>
      <c r="B869" s="139"/>
      <c r="C869" s="138"/>
      <c r="D869" s="140"/>
      <c r="E869" s="84"/>
      <c r="F869" s="84"/>
      <c r="G869" s="84"/>
      <c r="H869" s="139"/>
      <c r="I869" s="84"/>
    </row>
    <row r="870" spans="1:9">
      <c r="A870" s="139"/>
      <c r="B870" s="139"/>
      <c r="C870" s="138"/>
      <c r="D870" s="140"/>
      <c r="E870" s="84"/>
      <c r="F870" s="84"/>
      <c r="G870" s="84"/>
      <c r="H870" s="139"/>
      <c r="I870" s="84"/>
    </row>
    <row r="871" spans="1:9">
      <c r="A871" s="139"/>
      <c r="B871" s="139"/>
      <c r="C871" s="138"/>
      <c r="D871" s="140"/>
      <c r="E871" s="84"/>
      <c r="F871" s="84"/>
      <c r="G871" s="84"/>
      <c r="H871" s="139"/>
      <c r="I871" s="84"/>
    </row>
    <row r="872" spans="1:9">
      <c r="A872" s="139"/>
      <c r="B872" s="139"/>
      <c r="C872" s="138"/>
      <c r="D872" s="140"/>
      <c r="E872" s="84"/>
      <c r="F872" s="84"/>
      <c r="G872" s="84"/>
      <c r="H872" s="139"/>
      <c r="I872" s="84"/>
    </row>
    <row r="873" spans="1:9">
      <c r="A873" s="139"/>
      <c r="B873" s="139"/>
      <c r="C873" s="138"/>
      <c r="D873" s="140"/>
      <c r="E873" s="84"/>
      <c r="F873" s="84"/>
      <c r="G873" s="84"/>
      <c r="H873" s="139"/>
      <c r="I873" s="84"/>
    </row>
    <row r="874" spans="1:9">
      <c r="A874" s="139"/>
      <c r="B874" s="139"/>
      <c r="C874" s="138"/>
      <c r="D874" s="140"/>
      <c r="E874" s="84"/>
      <c r="F874" s="84"/>
      <c r="G874" s="84"/>
      <c r="H874" s="139"/>
      <c r="I874" s="84"/>
    </row>
    <row r="875" spans="1:9">
      <c r="A875" s="139"/>
      <c r="B875" s="139"/>
      <c r="C875" s="138"/>
      <c r="D875" s="140"/>
      <c r="E875" s="84"/>
      <c r="F875" s="84"/>
      <c r="G875" s="84"/>
      <c r="H875" s="139"/>
      <c r="I875" s="84"/>
    </row>
    <row r="876" spans="1:9">
      <c r="A876" s="139"/>
      <c r="B876" s="139"/>
      <c r="C876" s="138"/>
      <c r="D876" s="140"/>
      <c r="E876" s="84"/>
      <c r="F876" s="84"/>
      <c r="G876" s="84"/>
      <c r="H876" s="139"/>
      <c r="I876" s="84"/>
    </row>
    <row r="877" spans="1:9">
      <c r="A877" s="139"/>
      <c r="B877" s="139"/>
      <c r="C877" s="138"/>
      <c r="D877" s="140"/>
      <c r="E877" s="84"/>
      <c r="F877" s="84"/>
      <c r="G877" s="84"/>
      <c r="H877" s="139"/>
      <c r="I877" s="84"/>
    </row>
    <row r="878" spans="1:9">
      <c r="A878" s="139"/>
      <c r="B878" s="139"/>
      <c r="C878" s="138"/>
      <c r="D878" s="140"/>
      <c r="E878" s="84"/>
      <c r="F878" s="84"/>
      <c r="G878" s="84"/>
      <c r="H878" s="139"/>
      <c r="I878" s="84"/>
    </row>
    <row r="879" spans="1:9">
      <c r="A879" s="139"/>
      <c r="B879" s="139"/>
      <c r="C879" s="138"/>
      <c r="D879" s="140"/>
      <c r="E879" s="84"/>
      <c r="F879" s="84"/>
      <c r="G879" s="84"/>
      <c r="H879" s="139"/>
      <c r="I879" s="84"/>
    </row>
    <row r="880" spans="1:9">
      <c r="A880" s="139"/>
      <c r="B880" s="139"/>
      <c r="C880" s="138"/>
      <c r="D880" s="140"/>
      <c r="E880" s="84"/>
      <c r="F880" s="84"/>
      <c r="G880" s="84"/>
      <c r="H880" s="139"/>
      <c r="I880" s="84"/>
    </row>
    <row r="881" spans="1:9">
      <c r="A881" s="139"/>
      <c r="B881" s="139"/>
      <c r="C881" s="138"/>
      <c r="D881" s="140"/>
      <c r="E881" s="84"/>
      <c r="F881" s="84"/>
      <c r="G881" s="84"/>
      <c r="H881" s="139"/>
      <c r="I881" s="84"/>
    </row>
    <row r="882" spans="1:9">
      <c r="A882" s="139"/>
      <c r="B882" s="139"/>
      <c r="C882" s="138"/>
      <c r="D882" s="140"/>
      <c r="E882" s="84"/>
      <c r="F882" s="84"/>
      <c r="G882" s="84"/>
      <c r="H882" s="139"/>
      <c r="I882" s="84"/>
    </row>
    <row r="883" spans="1:9">
      <c r="A883" s="139"/>
      <c r="B883" s="139"/>
      <c r="C883" s="138"/>
      <c r="D883" s="140"/>
      <c r="E883" s="84"/>
      <c r="F883" s="84"/>
      <c r="G883" s="84"/>
      <c r="H883" s="139"/>
      <c r="I883" s="84"/>
    </row>
    <row r="884" spans="1:9">
      <c r="A884" s="139"/>
      <c r="B884" s="139"/>
      <c r="C884" s="138"/>
      <c r="D884" s="140"/>
      <c r="E884" s="84"/>
      <c r="F884" s="84"/>
      <c r="G884" s="84"/>
      <c r="H884" s="139"/>
      <c r="I884" s="84"/>
    </row>
    <row r="885" spans="1:9">
      <c r="A885" s="139"/>
      <c r="B885" s="139"/>
      <c r="C885" s="138"/>
      <c r="D885" s="140"/>
      <c r="E885" s="84"/>
      <c r="F885" s="84"/>
      <c r="G885" s="84"/>
      <c r="H885" s="139"/>
      <c r="I885" s="84"/>
    </row>
    <row r="886" spans="1:9">
      <c r="A886" s="139"/>
      <c r="B886" s="139"/>
      <c r="C886" s="138"/>
      <c r="D886" s="140"/>
      <c r="E886" s="84"/>
      <c r="F886" s="84"/>
      <c r="G886" s="84"/>
      <c r="H886" s="139"/>
      <c r="I886" s="84"/>
    </row>
    <row r="887" spans="1:9">
      <c r="A887" s="139"/>
      <c r="B887" s="139"/>
      <c r="C887" s="138"/>
      <c r="D887" s="140"/>
      <c r="E887" s="84"/>
      <c r="F887" s="84"/>
      <c r="G887" s="84"/>
      <c r="H887" s="139"/>
      <c r="I887" s="84"/>
    </row>
    <row r="888" spans="1:9">
      <c r="A888" s="139"/>
      <c r="B888" s="139"/>
      <c r="C888" s="138"/>
      <c r="D888" s="140"/>
      <c r="E888" s="84"/>
      <c r="F888" s="84"/>
      <c r="G888" s="84"/>
      <c r="H888" s="139"/>
      <c r="I888" s="84"/>
    </row>
    <row r="889" spans="1:9">
      <c r="A889" s="139"/>
      <c r="B889" s="139"/>
      <c r="C889" s="138"/>
      <c r="D889" s="140"/>
      <c r="E889" s="84"/>
      <c r="F889" s="84"/>
      <c r="G889" s="84"/>
      <c r="H889" s="139"/>
      <c r="I889" s="84"/>
    </row>
    <row r="890" spans="1:9">
      <c r="A890" s="139"/>
      <c r="B890" s="139"/>
      <c r="C890" s="138"/>
      <c r="D890" s="140"/>
      <c r="E890" s="84"/>
      <c r="F890" s="84"/>
      <c r="G890" s="84"/>
      <c r="H890" s="139"/>
      <c r="I890" s="84"/>
    </row>
    <row r="891" spans="1:9">
      <c r="A891" s="139"/>
      <c r="B891" s="139"/>
      <c r="C891" s="138"/>
      <c r="D891" s="140"/>
      <c r="E891" s="84"/>
      <c r="F891" s="84"/>
      <c r="G891" s="84"/>
      <c r="H891" s="139"/>
      <c r="I891" s="84"/>
    </row>
    <row r="892" spans="1:9">
      <c r="A892" s="139"/>
      <c r="B892" s="139"/>
      <c r="C892" s="138"/>
      <c r="D892" s="140"/>
      <c r="E892" s="84"/>
      <c r="F892" s="84"/>
      <c r="G892" s="84"/>
      <c r="H892" s="139"/>
      <c r="I892" s="84"/>
    </row>
    <row r="893" spans="1:9">
      <c r="A893" s="139"/>
      <c r="B893" s="139"/>
      <c r="C893" s="138"/>
      <c r="D893" s="140"/>
      <c r="E893" s="84"/>
      <c r="F893" s="84"/>
      <c r="G893" s="84"/>
      <c r="H893" s="139"/>
      <c r="I893" s="84"/>
    </row>
    <row r="894" spans="1:9">
      <c r="A894" s="139"/>
      <c r="B894" s="139"/>
      <c r="C894" s="138"/>
      <c r="D894" s="140"/>
      <c r="E894" s="84"/>
      <c r="F894" s="84"/>
      <c r="G894" s="84"/>
      <c r="H894" s="139"/>
      <c r="I894" s="84"/>
    </row>
    <row r="895" spans="1:9">
      <c r="A895" s="139"/>
      <c r="B895" s="139"/>
      <c r="C895" s="138"/>
      <c r="D895" s="140"/>
      <c r="E895" s="84"/>
      <c r="F895" s="84"/>
      <c r="G895" s="84"/>
      <c r="H895" s="139"/>
      <c r="I895" s="84"/>
    </row>
    <row r="896" spans="1:9">
      <c r="A896" s="139"/>
      <c r="B896" s="139"/>
      <c r="C896" s="138"/>
      <c r="D896" s="140"/>
      <c r="E896" s="84"/>
      <c r="F896" s="84"/>
      <c r="G896" s="84"/>
      <c r="H896" s="139"/>
      <c r="I896" s="84"/>
    </row>
    <row r="897" spans="1:9">
      <c r="A897" s="139"/>
      <c r="B897" s="139"/>
      <c r="C897" s="138"/>
      <c r="D897" s="140"/>
      <c r="E897" s="84"/>
      <c r="F897" s="84"/>
      <c r="G897" s="84"/>
      <c r="H897" s="139"/>
      <c r="I897" s="84"/>
    </row>
    <row r="898" spans="1:9">
      <c r="A898" s="139"/>
      <c r="B898" s="139"/>
      <c r="C898" s="138"/>
      <c r="D898" s="140"/>
      <c r="E898" s="84"/>
      <c r="F898" s="84"/>
      <c r="G898" s="84"/>
      <c r="H898" s="139"/>
      <c r="I898" s="84"/>
    </row>
    <row r="899" spans="1:9">
      <c r="A899" s="139"/>
      <c r="B899" s="139"/>
      <c r="C899" s="138"/>
      <c r="D899" s="140"/>
      <c r="E899" s="84"/>
      <c r="F899" s="84"/>
      <c r="G899" s="84"/>
      <c r="H899" s="139"/>
      <c r="I899" s="84"/>
    </row>
    <row r="900" spans="1:9">
      <c r="A900" s="139"/>
      <c r="B900" s="139"/>
      <c r="C900" s="138"/>
      <c r="D900" s="140"/>
      <c r="E900" s="84"/>
      <c r="F900" s="84"/>
      <c r="G900" s="84"/>
      <c r="H900" s="139"/>
      <c r="I900" s="84"/>
    </row>
    <row r="901" spans="1:9">
      <c r="A901" s="139"/>
      <c r="B901" s="139"/>
      <c r="C901" s="138"/>
      <c r="D901" s="140"/>
      <c r="E901" s="84"/>
      <c r="F901" s="84"/>
      <c r="G901" s="84"/>
      <c r="H901" s="139"/>
      <c r="I901" s="84"/>
    </row>
    <row r="902" spans="1:9">
      <c r="A902" s="139"/>
      <c r="B902" s="139"/>
      <c r="C902" s="138"/>
      <c r="D902" s="140"/>
      <c r="E902" s="84"/>
      <c r="F902" s="84"/>
      <c r="G902" s="84"/>
      <c r="H902" s="139"/>
      <c r="I902" s="84"/>
    </row>
    <row r="903" spans="1:9">
      <c r="A903" s="139"/>
      <c r="B903" s="139"/>
      <c r="C903" s="138"/>
      <c r="D903" s="140"/>
      <c r="E903" s="84"/>
      <c r="F903" s="84"/>
      <c r="G903" s="84"/>
      <c r="H903" s="139"/>
      <c r="I903" s="84"/>
    </row>
    <row r="904" spans="1:9">
      <c r="A904" s="139"/>
      <c r="B904" s="139"/>
      <c r="C904" s="138"/>
      <c r="D904" s="140"/>
      <c r="E904" s="84"/>
      <c r="F904" s="84"/>
      <c r="G904" s="84"/>
      <c r="H904" s="139"/>
      <c r="I904" s="84"/>
    </row>
    <row r="905" spans="1:9">
      <c r="A905" s="139"/>
      <c r="B905" s="139"/>
      <c r="C905" s="138"/>
      <c r="D905" s="140"/>
      <c r="E905" s="84"/>
      <c r="F905" s="84"/>
      <c r="G905" s="84"/>
      <c r="H905" s="139"/>
      <c r="I905" s="84"/>
    </row>
    <row r="906" spans="1:9">
      <c r="A906" s="139"/>
      <c r="B906" s="139"/>
      <c r="C906" s="138"/>
      <c r="D906" s="140"/>
      <c r="E906" s="84"/>
      <c r="F906" s="84"/>
      <c r="G906" s="84"/>
      <c r="H906" s="139"/>
      <c r="I906" s="84"/>
    </row>
    <row r="907" spans="1:9">
      <c r="A907" s="139"/>
      <c r="B907" s="139"/>
      <c r="C907" s="138"/>
      <c r="D907" s="140"/>
      <c r="E907" s="84"/>
      <c r="F907" s="84"/>
      <c r="G907" s="84"/>
      <c r="H907" s="139"/>
      <c r="I907" s="84"/>
    </row>
    <row r="908" spans="1:9">
      <c r="A908" s="139"/>
      <c r="B908" s="139"/>
      <c r="C908" s="138"/>
      <c r="D908" s="140"/>
      <c r="E908" s="84"/>
      <c r="F908" s="84"/>
      <c r="G908" s="84"/>
      <c r="H908" s="139"/>
      <c r="I908" s="84"/>
    </row>
    <row r="909" spans="1:9">
      <c r="A909" s="139"/>
      <c r="B909" s="139"/>
      <c r="C909" s="138"/>
      <c r="D909" s="140"/>
      <c r="E909" s="84"/>
      <c r="F909" s="84"/>
      <c r="G909" s="84"/>
      <c r="H909" s="139"/>
      <c r="I909" s="84"/>
    </row>
    <row r="910" spans="1:9">
      <c r="A910" s="139"/>
      <c r="B910" s="139"/>
      <c r="C910" s="138"/>
      <c r="D910" s="140"/>
      <c r="E910" s="84"/>
      <c r="F910" s="84"/>
      <c r="G910" s="84"/>
      <c r="H910" s="139"/>
      <c r="I910" s="84"/>
    </row>
    <row r="911" spans="1:9">
      <c r="A911" s="139"/>
      <c r="B911" s="139"/>
      <c r="C911" s="138"/>
      <c r="D911" s="140"/>
      <c r="E911" s="84"/>
      <c r="F911" s="84"/>
      <c r="G911" s="84"/>
      <c r="H911" s="139"/>
      <c r="I911" s="84"/>
    </row>
    <row r="912" spans="1:9">
      <c r="A912" s="139"/>
      <c r="B912" s="139"/>
      <c r="C912" s="138"/>
      <c r="D912" s="140"/>
      <c r="E912" s="84"/>
      <c r="F912" s="84"/>
      <c r="G912" s="84"/>
      <c r="H912" s="139"/>
      <c r="I912" s="84"/>
    </row>
    <row r="913" spans="1:9">
      <c r="A913" s="139"/>
      <c r="B913" s="139"/>
      <c r="C913" s="138"/>
      <c r="D913" s="140"/>
      <c r="E913" s="84"/>
      <c r="F913" s="84"/>
      <c r="G913" s="84"/>
      <c r="H913" s="139"/>
      <c r="I913" s="84"/>
    </row>
    <row r="914" spans="1:9">
      <c r="A914" s="139"/>
      <c r="B914" s="139"/>
      <c r="C914" s="138"/>
      <c r="D914" s="140"/>
      <c r="E914" s="84"/>
      <c r="F914" s="84"/>
      <c r="G914" s="84"/>
      <c r="H914" s="139"/>
      <c r="I914" s="84"/>
    </row>
    <row r="915" spans="1:9">
      <c r="A915" s="139"/>
      <c r="B915" s="139"/>
      <c r="C915" s="138"/>
      <c r="D915" s="140"/>
      <c r="E915" s="84"/>
      <c r="F915" s="84"/>
      <c r="G915" s="84"/>
      <c r="H915" s="139"/>
      <c r="I915" s="84"/>
    </row>
    <row r="916" spans="1:9">
      <c r="A916" s="139"/>
      <c r="B916" s="139"/>
      <c r="C916" s="138"/>
      <c r="D916" s="140"/>
      <c r="E916" s="84"/>
      <c r="F916" s="84"/>
      <c r="G916" s="84"/>
      <c r="H916" s="139"/>
      <c r="I916" s="84"/>
    </row>
    <row r="917" spans="1:9">
      <c r="A917" s="139"/>
      <c r="B917" s="139"/>
      <c r="C917" s="138"/>
      <c r="D917" s="140"/>
      <c r="E917" s="84"/>
      <c r="F917" s="84"/>
      <c r="G917" s="84"/>
      <c r="H917" s="139"/>
      <c r="I917" s="84"/>
    </row>
    <row r="918" spans="1:9">
      <c r="A918" s="139"/>
      <c r="B918" s="139"/>
      <c r="C918" s="138"/>
      <c r="D918" s="140"/>
      <c r="E918" s="84"/>
      <c r="F918" s="84"/>
      <c r="G918" s="84"/>
      <c r="H918" s="139"/>
      <c r="I918" s="84"/>
    </row>
    <row r="919" spans="1:9">
      <c r="A919" s="139"/>
      <c r="B919" s="139"/>
      <c r="C919" s="138"/>
      <c r="D919" s="140"/>
      <c r="E919" s="84"/>
      <c r="F919" s="84"/>
      <c r="G919" s="84"/>
      <c r="H919" s="139"/>
      <c r="I919" s="84"/>
    </row>
    <row r="920" spans="1:9">
      <c r="A920" s="139"/>
      <c r="B920" s="139"/>
      <c r="C920" s="138"/>
      <c r="D920" s="140"/>
      <c r="E920" s="84"/>
      <c r="F920" s="84"/>
      <c r="G920" s="84"/>
      <c r="H920" s="139"/>
      <c r="I920" s="84"/>
    </row>
    <row r="921" spans="1:9">
      <c r="A921" s="139"/>
      <c r="B921" s="139"/>
      <c r="C921" s="138"/>
      <c r="D921" s="140"/>
      <c r="E921" s="84"/>
      <c r="F921" s="84"/>
      <c r="G921" s="84"/>
      <c r="H921" s="139"/>
      <c r="I921" s="84"/>
    </row>
    <row r="922" spans="1:9">
      <c r="A922" s="139"/>
      <c r="B922" s="139"/>
      <c r="C922" s="138"/>
      <c r="D922" s="140"/>
      <c r="E922" s="84"/>
      <c r="F922" s="84"/>
      <c r="G922" s="84"/>
      <c r="H922" s="139"/>
      <c r="I922" s="84"/>
    </row>
    <row r="923" spans="1:9">
      <c r="A923" s="139"/>
      <c r="B923" s="139"/>
      <c r="C923" s="138"/>
      <c r="D923" s="140"/>
      <c r="E923" s="84"/>
      <c r="F923" s="84"/>
      <c r="G923" s="84"/>
      <c r="H923" s="139"/>
      <c r="I923" s="84"/>
    </row>
    <row r="924" spans="1:9">
      <c r="A924" s="139"/>
      <c r="B924" s="139"/>
      <c r="C924" s="138"/>
      <c r="D924" s="140"/>
      <c r="E924" s="84"/>
      <c r="F924" s="84"/>
      <c r="G924" s="84"/>
      <c r="H924" s="139"/>
      <c r="I924" s="84"/>
    </row>
    <row r="925" spans="1:9">
      <c r="A925" s="139"/>
      <c r="B925" s="139"/>
      <c r="C925" s="138"/>
      <c r="D925" s="140"/>
      <c r="E925" s="84"/>
      <c r="F925" s="84"/>
      <c r="G925" s="84"/>
      <c r="H925" s="139"/>
      <c r="I925" s="84"/>
    </row>
    <row r="926" spans="1:9">
      <c r="A926" s="139"/>
      <c r="B926" s="139"/>
      <c r="C926" s="138"/>
      <c r="D926" s="140"/>
      <c r="E926" s="84"/>
      <c r="F926" s="84"/>
      <c r="G926" s="84"/>
      <c r="H926" s="139"/>
      <c r="I926" s="84"/>
    </row>
    <row r="927" spans="1:9">
      <c r="A927" s="139"/>
      <c r="B927" s="139"/>
      <c r="C927" s="138"/>
      <c r="D927" s="140"/>
      <c r="E927" s="84"/>
      <c r="F927" s="84"/>
      <c r="G927" s="84"/>
      <c r="H927" s="139"/>
      <c r="I927" s="84"/>
    </row>
    <row r="928" spans="1:9">
      <c r="A928" s="139"/>
      <c r="B928" s="139"/>
      <c r="C928" s="138"/>
      <c r="D928" s="140"/>
      <c r="E928" s="84"/>
      <c r="F928" s="84"/>
      <c r="G928" s="84"/>
      <c r="H928" s="139"/>
      <c r="I928" s="84"/>
    </row>
    <row r="929" spans="1:9">
      <c r="A929" s="139"/>
      <c r="B929" s="139"/>
      <c r="C929" s="138"/>
      <c r="D929" s="140"/>
      <c r="E929" s="84"/>
      <c r="F929" s="84"/>
      <c r="G929" s="84"/>
      <c r="H929" s="139"/>
      <c r="I929" s="84"/>
    </row>
    <row r="930" spans="1:9">
      <c r="A930" s="139"/>
      <c r="B930" s="139"/>
      <c r="C930" s="138"/>
      <c r="D930" s="140"/>
      <c r="E930" s="84"/>
      <c r="F930" s="84"/>
      <c r="G930" s="84"/>
      <c r="H930" s="139"/>
      <c r="I930" s="84"/>
    </row>
    <row r="931" spans="1:9">
      <c r="A931" s="139"/>
      <c r="B931" s="139"/>
      <c r="C931" s="138"/>
      <c r="D931" s="140"/>
      <c r="E931" s="84"/>
      <c r="F931" s="84"/>
      <c r="G931" s="84"/>
      <c r="H931" s="139"/>
      <c r="I931" s="84"/>
    </row>
    <row r="932" spans="1:9">
      <c r="A932" s="139"/>
      <c r="B932" s="139"/>
      <c r="C932" s="138"/>
      <c r="D932" s="140"/>
      <c r="E932" s="84"/>
      <c r="F932" s="84"/>
      <c r="G932" s="84"/>
      <c r="H932" s="139"/>
      <c r="I932" s="84"/>
    </row>
    <row r="933" spans="1:9">
      <c r="A933" s="139"/>
      <c r="B933" s="139"/>
      <c r="C933" s="138"/>
      <c r="D933" s="140"/>
      <c r="E933" s="84"/>
      <c r="F933" s="84"/>
      <c r="G933" s="84"/>
      <c r="H933" s="139"/>
      <c r="I933" s="84"/>
    </row>
    <row r="934" spans="1:9">
      <c r="A934" s="139"/>
      <c r="B934" s="139"/>
      <c r="C934" s="138"/>
      <c r="D934" s="140"/>
      <c r="E934" s="84"/>
      <c r="F934" s="84"/>
      <c r="G934" s="84"/>
      <c r="H934" s="139"/>
      <c r="I934" s="84"/>
    </row>
    <row r="935" spans="1:9">
      <c r="A935" s="139"/>
      <c r="B935" s="139"/>
      <c r="C935" s="138"/>
      <c r="D935" s="140"/>
      <c r="E935" s="84"/>
      <c r="F935" s="84"/>
      <c r="G935" s="84"/>
      <c r="H935" s="139"/>
      <c r="I935" s="84"/>
    </row>
    <row r="936" spans="1:9">
      <c r="A936" s="139"/>
      <c r="B936" s="139"/>
      <c r="C936" s="138"/>
      <c r="D936" s="140"/>
      <c r="E936" s="84"/>
      <c r="F936" s="84"/>
      <c r="G936" s="84"/>
      <c r="H936" s="139"/>
      <c r="I936" s="84"/>
    </row>
    <row r="937" spans="1:9">
      <c r="A937" s="139"/>
      <c r="B937" s="139"/>
      <c r="C937" s="138"/>
      <c r="D937" s="140"/>
      <c r="E937" s="84"/>
      <c r="F937" s="84"/>
      <c r="G937" s="84"/>
      <c r="H937" s="139"/>
      <c r="I937" s="84"/>
    </row>
    <row r="938" spans="1:9">
      <c r="A938" s="139"/>
      <c r="B938" s="139"/>
      <c r="C938" s="138"/>
      <c r="D938" s="140"/>
      <c r="E938" s="84"/>
      <c r="F938" s="84"/>
      <c r="G938" s="84"/>
      <c r="H938" s="139"/>
      <c r="I938" s="84"/>
    </row>
    <row r="939" spans="1:9">
      <c r="A939" s="139"/>
      <c r="B939" s="139"/>
      <c r="C939" s="138"/>
      <c r="D939" s="140"/>
      <c r="E939" s="84"/>
      <c r="F939" s="84"/>
      <c r="G939" s="84"/>
      <c r="H939" s="139"/>
      <c r="I939" s="84"/>
    </row>
    <row r="940" spans="1:9">
      <c r="A940" s="139"/>
      <c r="B940" s="139"/>
      <c r="C940" s="138"/>
      <c r="D940" s="140"/>
      <c r="E940" s="84"/>
      <c r="F940" s="84"/>
      <c r="G940" s="84"/>
      <c r="H940" s="139"/>
      <c r="I940" s="84"/>
    </row>
    <row r="941" spans="1:9">
      <c r="A941" s="139"/>
      <c r="B941" s="139"/>
      <c r="C941" s="138"/>
      <c r="D941" s="140"/>
      <c r="E941" s="84"/>
      <c r="F941" s="84"/>
      <c r="G941" s="84"/>
      <c r="H941" s="139"/>
      <c r="I941" s="84"/>
    </row>
    <row r="942" spans="1:9">
      <c r="A942" s="139"/>
      <c r="B942" s="139"/>
      <c r="C942" s="138"/>
      <c r="D942" s="140"/>
      <c r="E942" s="84"/>
      <c r="F942" s="84"/>
      <c r="G942" s="84"/>
      <c r="H942" s="139"/>
      <c r="I942" s="84"/>
    </row>
    <row r="943" spans="1:9">
      <c r="A943" s="139"/>
      <c r="B943" s="139"/>
      <c r="C943" s="138"/>
      <c r="D943" s="140"/>
      <c r="E943" s="84"/>
      <c r="F943" s="84"/>
      <c r="G943" s="84"/>
      <c r="H943" s="139"/>
      <c r="I943" s="84"/>
    </row>
    <row r="944" spans="1:9">
      <c r="A944" s="139"/>
      <c r="B944" s="139"/>
      <c r="C944" s="138"/>
      <c r="D944" s="140"/>
      <c r="E944" s="84"/>
      <c r="F944" s="84"/>
      <c r="G944" s="84"/>
      <c r="H944" s="139"/>
      <c r="I944" s="84"/>
    </row>
    <row r="945" spans="1:9">
      <c r="A945" s="139"/>
      <c r="B945" s="139"/>
      <c r="C945" s="138"/>
      <c r="D945" s="140"/>
      <c r="E945" s="84"/>
      <c r="F945" s="84"/>
      <c r="G945" s="84"/>
      <c r="H945" s="139"/>
      <c r="I945" s="84"/>
    </row>
    <row r="946" spans="1:9">
      <c r="A946" s="139"/>
      <c r="B946" s="139"/>
      <c r="C946" s="138"/>
      <c r="D946" s="140"/>
      <c r="E946" s="84"/>
      <c r="F946" s="84"/>
      <c r="G946" s="84"/>
      <c r="H946" s="139"/>
      <c r="I946" s="84"/>
    </row>
    <row r="947" spans="1:9">
      <c r="A947" s="139"/>
      <c r="B947" s="139"/>
      <c r="C947" s="138"/>
      <c r="D947" s="140"/>
      <c r="E947" s="84"/>
      <c r="F947" s="84"/>
      <c r="G947" s="84"/>
      <c r="H947" s="139"/>
      <c r="I947" s="84"/>
    </row>
    <row r="948" spans="1:9">
      <c r="A948" s="139"/>
      <c r="B948" s="139"/>
      <c r="C948" s="138"/>
      <c r="D948" s="140"/>
      <c r="E948" s="84"/>
      <c r="F948" s="84"/>
      <c r="G948" s="84"/>
      <c r="H948" s="139"/>
      <c r="I948" s="84"/>
    </row>
    <row r="949" spans="1:9">
      <c r="A949" s="139"/>
      <c r="B949" s="139"/>
      <c r="C949" s="138"/>
      <c r="D949" s="140"/>
      <c r="E949" s="84"/>
      <c r="F949" s="84"/>
      <c r="G949" s="84"/>
      <c r="H949" s="139"/>
      <c r="I949" s="84"/>
    </row>
    <row r="950" spans="1:9">
      <c r="A950" s="139"/>
      <c r="B950" s="139"/>
      <c r="C950" s="138"/>
      <c r="D950" s="140"/>
      <c r="E950" s="84"/>
      <c r="F950" s="84"/>
      <c r="G950" s="84"/>
      <c r="H950" s="139"/>
      <c r="I950" s="84"/>
    </row>
    <row r="951" spans="1:9">
      <c r="A951" s="139"/>
      <c r="B951" s="139"/>
      <c r="C951" s="138"/>
      <c r="D951" s="140"/>
      <c r="E951" s="84"/>
      <c r="F951" s="84"/>
      <c r="G951" s="84"/>
      <c r="H951" s="139"/>
      <c r="I951" s="84"/>
    </row>
    <row r="952" spans="1:9">
      <c r="A952" s="139"/>
      <c r="B952" s="139"/>
      <c r="C952" s="138"/>
      <c r="D952" s="140"/>
      <c r="E952" s="84"/>
      <c r="F952" s="84"/>
      <c r="G952" s="84"/>
      <c r="H952" s="139"/>
      <c r="I952" s="84"/>
    </row>
    <row r="953" spans="1:9">
      <c r="A953" s="139"/>
      <c r="B953" s="139"/>
      <c r="C953" s="138"/>
      <c r="D953" s="140"/>
      <c r="E953" s="84"/>
      <c r="F953" s="84"/>
      <c r="G953" s="84"/>
      <c r="H953" s="139"/>
      <c r="I953" s="84"/>
    </row>
    <row r="954" spans="1:9">
      <c r="A954" s="139"/>
      <c r="B954" s="139"/>
      <c r="C954" s="138"/>
      <c r="D954" s="140"/>
      <c r="E954" s="84"/>
      <c r="F954" s="84"/>
      <c r="G954" s="84"/>
      <c r="H954" s="139"/>
      <c r="I954" s="84"/>
    </row>
    <row r="955" spans="1:9">
      <c r="A955" s="139"/>
      <c r="B955" s="139"/>
      <c r="C955" s="138"/>
      <c r="D955" s="140"/>
      <c r="E955" s="84"/>
      <c r="F955" s="84"/>
      <c r="G955" s="84"/>
      <c r="H955" s="139"/>
      <c r="I955" s="84"/>
    </row>
    <row r="956" spans="1:9">
      <c r="A956" s="139"/>
      <c r="B956" s="139"/>
      <c r="C956" s="138"/>
      <c r="D956" s="140"/>
      <c r="E956" s="84"/>
      <c r="F956" s="84"/>
      <c r="G956" s="84"/>
      <c r="H956" s="139"/>
      <c r="I956" s="84"/>
    </row>
    <row r="957" spans="1:9">
      <c r="A957" s="139"/>
      <c r="B957" s="139"/>
      <c r="C957" s="138"/>
      <c r="D957" s="140"/>
      <c r="E957" s="84"/>
      <c r="F957" s="84"/>
      <c r="G957" s="84"/>
      <c r="H957" s="139"/>
      <c r="I957" s="84"/>
    </row>
    <row r="958" spans="1:9">
      <c r="A958" s="139"/>
      <c r="B958" s="139"/>
      <c r="C958" s="138"/>
      <c r="D958" s="140"/>
      <c r="E958" s="84"/>
      <c r="F958" s="84"/>
      <c r="G958" s="84"/>
      <c r="H958" s="139"/>
      <c r="I958" s="84"/>
    </row>
    <row r="959" spans="1:9">
      <c r="A959" s="139"/>
      <c r="B959" s="139"/>
      <c r="C959" s="138"/>
      <c r="D959" s="140"/>
      <c r="E959" s="84"/>
      <c r="F959" s="84"/>
      <c r="G959" s="84"/>
      <c r="H959" s="139"/>
      <c r="I959" s="84"/>
    </row>
    <row r="960" spans="1:9">
      <c r="A960" s="139"/>
      <c r="B960" s="139"/>
      <c r="C960" s="138"/>
      <c r="D960" s="140"/>
      <c r="E960" s="84"/>
      <c r="F960" s="84"/>
      <c r="G960" s="84"/>
      <c r="H960" s="139"/>
      <c r="I960" s="84"/>
    </row>
    <row r="961" spans="1:9">
      <c r="A961" s="139"/>
      <c r="B961" s="139"/>
      <c r="C961" s="138"/>
      <c r="D961" s="140"/>
      <c r="E961" s="84"/>
      <c r="F961" s="84"/>
      <c r="G961" s="84"/>
      <c r="H961" s="139"/>
      <c r="I961" s="84"/>
    </row>
    <row r="962" spans="1:9">
      <c r="A962" s="139"/>
      <c r="B962" s="139"/>
      <c r="C962" s="138"/>
      <c r="D962" s="140"/>
      <c r="E962" s="84"/>
      <c r="F962" s="84"/>
      <c r="G962" s="84"/>
      <c r="H962" s="139"/>
      <c r="I962" s="84"/>
    </row>
    <row r="963" spans="1:9">
      <c r="A963" s="139"/>
      <c r="B963" s="139"/>
      <c r="C963" s="138"/>
      <c r="D963" s="140"/>
      <c r="E963" s="84"/>
      <c r="F963" s="84"/>
      <c r="G963" s="84"/>
      <c r="H963" s="139"/>
      <c r="I963" s="84"/>
    </row>
    <row r="964" spans="1:9">
      <c r="A964" s="139"/>
      <c r="B964" s="139"/>
      <c r="C964" s="138"/>
      <c r="D964" s="140"/>
      <c r="E964" s="84"/>
      <c r="F964" s="84"/>
      <c r="G964" s="84"/>
      <c r="H964" s="139"/>
      <c r="I964" s="84"/>
    </row>
    <row r="965" spans="1:9">
      <c r="A965" s="139"/>
      <c r="B965" s="139"/>
      <c r="C965" s="138"/>
      <c r="D965" s="140"/>
      <c r="E965" s="84"/>
      <c r="F965" s="84"/>
      <c r="G965" s="84"/>
      <c r="H965" s="139"/>
      <c r="I965" s="84"/>
    </row>
    <row r="966" spans="1:9">
      <c r="A966" s="139"/>
      <c r="B966" s="139"/>
      <c r="C966" s="138"/>
      <c r="D966" s="140"/>
      <c r="E966" s="84"/>
      <c r="F966" s="84"/>
      <c r="G966" s="84"/>
      <c r="H966" s="139"/>
      <c r="I966" s="84"/>
    </row>
    <row r="967" spans="1:9">
      <c r="A967" s="139"/>
      <c r="B967" s="139"/>
      <c r="C967" s="138"/>
      <c r="D967" s="140"/>
      <c r="E967" s="84"/>
      <c r="F967" s="84"/>
      <c r="G967" s="84"/>
      <c r="H967" s="139"/>
      <c r="I967" s="84"/>
    </row>
    <row r="968" spans="1:9">
      <c r="A968" s="139"/>
      <c r="B968" s="139"/>
      <c r="C968" s="138"/>
      <c r="D968" s="140"/>
      <c r="E968" s="84"/>
      <c r="F968" s="84"/>
      <c r="G968" s="84"/>
      <c r="H968" s="139"/>
      <c r="I968" s="84"/>
    </row>
    <row r="969" spans="1:9">
      <c r="A969" s="139"/>
      <c r="B969" s="139"/>
      <c r="C969" s="138"/>
      <c r="D969" s="140"/>
      <c r="E969" s="84"/>
      <c r="F969" s="84"/>
      <c r="G969" s="84"/>
      <c r="H969" s="139"/>
      <c r="I969" s="84"/>
    </row>
    <row r="970" spans="1:9">
      <c r="A970" s="139"/>
      <c r="B970" s="139"/>
      <c r="C970" s="138"/>
      <c r="D970" s="140"/>
      <c r="E970" s="84"/>
      <c r="F970" s="84"/>
      <c r="G970" s="84"/>
      <c r="H970" s="139"/>
      <c r="I970" s="84"/>
    </row>
    <row r="971" spans="1:9">
      <c r="A971" s="139"/>
      <c r="B971" s="139"/>
      <c r="C971" s="138"/>
      <c r="D971" s="140"/>
      <c r="E971" s="84"/>
      <c r="F971" s="84"/>
      <c r="G971" s="84"/>
      <c r="H971" s="139"/>
      <c r="I971" s="84"/>
    </row>
    <row r="972" spans="1:9">
      <c r="A972" s="139"/>
      <c r="B972" s="139"/>
      <c r="C972" s="138"/>
      <c r="D972" s="140"/>
      <c r="E972" s="84"/>
      <c r="F972" s="84"/>
      <c r="G972" s="84"/>
      <c r="H972" s="139"/>
      <c r="I972" s="84"/>
    </row>
    <row r="973" spans="1:9">
      <c r="A973" s="139"/>
      <c r="B973" s="139"/>
      <c r="C973" s="138"/>
      <c r="D973" s="140"/>
      <c r="E973" s="84"/>
      <c r="F973" s="84"/>
      <c r="G973" s="84"/>
      <c r="H973" s="139"/>
      <c r="I973" s="84"/>
    </row>
    <row r="974" spans="1:9">
      <c r="A974" s="139"/>
      <c r="B974" s="139"/>
      <c r="C974" s="138"/>
      <c r="D974" s="140"/>
      <c r="E974" s="84"/>
      <c r="F974" s="84"/>
      <c r="G974" s="84"/>
      <c r="H974" s="139"/>
      <c r="I974" s="84"/>
    </row>
    <row r="975" spans="1:9">
      <c r="A975" s="139"/>
      <c r="B975" s="139"/>
      <c r="C975" s="138"/>
      <c r="D975" s="140"/>
      <c r="E975" s="84"/>
      <c r="F975" s="84"/>
      <c r="G975" s="84"/>
      <c r="H975" s="139"/>
      <c r="I975" s="84"/>
    </row>
    <row r="976" spans="1:9">
      <c r="A976" s="139"/>
      <c r="B976" s="139"/>
      <c r="C976" s="138"/>
      <c r="D976" s="140"/>
      <c r="E976" s="84"/>
      <c r="F976" s="84"/>
      <c r="G976" s="84"/>
      <c r="H976" s="139"/>
      <c r="I976" s="84"/>
    </row>
    <row r="977" spans="1:9">
      <c r="A977" s="139"/>
      <c r="B977" s="139"/>
      <c r="C977" s="138"/>
      <c r="D977" s="140"/>
      <c r="E977" s="84"/>
      <c r="F977" s="84"/>
      <c r="G977" s="84"/>
      <c r="H977" s="139"/>
      <c r="I977" s="84"/>
    </row>
    <row r="978" spans="1:9">
      <c r="A978" s="139"/>
      <c r="B978" s="139"/>
      <c r="C978" s="138"/>
      <c r="D978" s="140"/>
      <c r="E978" s="84"/>
      <c r="F978" s="84"/>
      <c r="G978" s="84"/>
      <c r="H978" s="139"/>
      <c r="I978" s="84"/>
    </row>
    <row r="979" spans="1:9">
      <c r="A979" s="139"/>
      <c r="B979" s="139"/>
      <c r="C979" s="138"/>
      <c r="D979" s="140"/>
      <c r="E979" s="84"/>
      <c r="F979" s="84"/>
      <c r="G979" s="84"/>
      <c r="H979" s="139"/>
      <c r="I979" s="84"/>
    </row>
    <row r="980" spans="1:9">
      <c r="A980" s="139"/>
      <c r="B980" s="139"/>
      <c r="C980" s="138"/>
      <c r="D980" s="140"/>
      <c r="E980" s="84"/>
      <c r="F980" s="84"/>
      <c r="G980" s="84"/>
      <c r="H980" s="139"/>
      <c r="I980" s="84"/>
    </row>
    <row r="981" spans="1:9">
      <c r="A981" s="139"/>
      <c r="B981" s="139"/>
      <c r="C981" s="138"/>
      <c r="D981" s="140"/>
      <c r="E981" s="84"/>
      <c r="F981" s="84"/>
      <c r="G981" s="84"/>
      <c r="H981" s="139"/>
      <c r="I981" s="84"/>
    </row>
    <row r="982" spans="1:9">
      <c r="A982" s="139"/>
      <c r="B982" s="139"/>
      <c r="C982" s="138"/>
      <c r="D982" s="140"/>
      <c r="E982" s="84"/>
      <c r="F982" s="84"/>
      <c r="G982" s="84"/>
      <c r="H982" s="139"/>
      <c r="I982" s="84"/>
    </row>
    <row r="983" spans="1:9">
      <c r="A983" s="139"/>
      <c r="B983" s="139"/>
      <c r="C983" s="138"/>
      <c r="D983" s="140"/>
      <c r="E983" s="84"/>
      <c r="F983" s="84"/>
      <c r="G983" s="84"/>
      <c r="H983" s="139"/>
      <c r="I983" s="84"/>
    </row>
    <row r="984" spans="1:9">
      <c r="A984" s="139"/>
      <c r="B984" s="139"/>
      <c r="C984" s="138"/>
      <c r="D984" s="140"/>
      <c r="E984" s="84"/>
      <c r="F984" s="84"/>
      <c r="G984" s="84"/>
      <c r="H984" s="139"/>
      <c r="I984" s="84"/>
    </row>
    <row r="985" spans="1:9">
      <c r="A985" s="139"/>
      <c r="B985" s="139"/>
      <c r="C985" s="138"/>
      <c r="D985" s="140"/>
      <c r="E985" s="84"/>
      <c r="F985" s="84"/>
      <c r="G985" s="84"/>
      <c r="H985" s="139"/>
      <c r="I985" s="84"/>
    </row>
    <row r="986" spans="1:9">
      <c r="A986" s="139"/>
      <c r="B986" s="139"/>
      <c r="C986" s="138"/>
      <c r="D986" s="140"/>
      <c r="E986" s="84"/>
      <c r="F986" s="84"/>
      <c r="G986" s="84"/>
      <c r="H986" s="139"/>
      <c r="I986" s="84"/>
    </row>
    <row r="987" spans="1:9">
      <c r="A987" s="139"/>
      <c r="B987" s="139"/>
      <c r="C987" s="138"/>
      <c r="D987" s="140"/>
      <c r="E987" s="84"/>
      <c r="F987" s="84"/>
      <c r="G987" s="84"/>
      <c r="H987" s="139"/>
      <c r="I987" s="84"/>
    </row>
    <row r="988" spans="1:9">
      <c r="A988" s="139"/>
      <c r="B988" s="139"/>
      <c r="C988" s="138"/>
      <c r="D988" s="140"/>
      <c r="E988" s="84"/>
      <c r="F988" s="84"/>
      <c r="G988" s="84"/>
      <c r="H988" s="139"/>
      <c r="I988" s="84"/>
    </row>
    <row r="989" spans="1:9">
      <c r="A989" s="139"/>
      <c r="B989" s="139"/>
      <c r="C989" s="138"/>
      <c r="D989" s="140"/>
      <c r="E989" s="84"/>
      <c r="F989" s="84"/>
      <c r="G989" s="84"/>
      <c r="H989" s="139"/>
      <c r="I989" s="84"/>
    </row>
    <row r="990" spans="1:9">
      <c r="A990" s="139"/>
      <c r="B990" s="139"/>
      <c r="C990" s="138"/>
      <c r="D990" s="140"/>
      <c r="E990" s="84"/>
      <c r="F990" s="84"/>
      <c r="G990" s="84"/>
      <c r="H990" s="139"/>
      <c r="I990" s="84"/>
    </row>
    <row r="991" spans="1:9">
      <c r="A991" s="139"/>
      <c r="B991" s="139"/>
      <c r="C991" s="138"/>
      <c r="D991" s="140"/>
      <c r="E991" s="84"/>
      <c r="F991" s="84"/>
      <c r="G991" s="84"/>
      <c r="H991" s="139"/>
      <c r="I991" s="84"/>
    </row>
    <row r="992" spans="1:9">
      <c r="A992" s="139"/>
      <c r="B992" s="139"/>
      <c r="C992" s="138"/>
      <c r="D992" s="140"/>
      <c r="E992" s="84"/>
      <c r="F992" s="84"/>
      <c r="G992" s="84"/>
      <c r="H992" s="139"/>
      <c r="I992" s="84"/>
    </row>
    <row r="993" spans="1:9">
      <c r="A993" s="139"/>
      <c r="B993" s="139"/>
      <c r="C993" s="138"/>
      <c r="D993" s="140"/>
      <c r="E993" s="84"/>
      <c r="F993" s="84"/>
      <c r="G993" s="84"/>
      <c r="H993" s="139"/>
      <c r="I993" s="84"/>
    </row>
    <row r="994" spans="1:9">
      <c r="A994" s="139"/>
      <c r="B994" s="139"/>
      <c r="C994" s="138"/>
      <c r="D994" s="140"/>
      <c r="E994" s="84"/>
      <c r="F994" s="84"/>
      <c r="G994" s="84"/>
      <c r="H994" s="139"/>
      <c r="I994" s="84"/>
    </row>
    <row r="995" spans="1:9">
      <c r="A995" s="139"/>
      <c r="B995" s="139"/>
      <c r="C995" s="138"/>
      <c r="D995" s="140"/>
      <c r="E995" s="84"/>
      <c r="F995" s="84"/>
      <c r="G995" s="84"/>
      <c r="H995" s="139"/>
      <c r="I995" s="84"/>
    </row>
    <row r="996" spans="1:9">
      <c r="A996" s="139"/>
      <c r="B996" s="139"/>
      <c r="C996" s="138"/>
      <c r="D996" s="140"/>
      <c r="E996" s="84"/>
      <c r="F996" s="84"/>
      <c r="G996" s="84"/>
      <c r="H996" s="139"/>
      <c r="I996" s="84"/>
    </row>
    <row r="997" spans="1:9">
      <c r="A997" s="139"/>
      <c r="B997" s="139"/>
      <c r="C997" s="138"/>
      <c r="D997" s="140"/>
      <c r="E997" s="84"/>
      <c r="F997" s="84"/>
      <c r="G997" s="84"/>
      <c r="H997" s="139"/>
      <c r="I997" s="84"/>
    </row>
    <row r="998" spans="1:9">
      <c r="A998" s="139"/>
      <c r="B998" s="139"/>
      <c r="C998" s="138"/>
      <c r="D998" s="140"/>
      <c r="E998" s="84"/>
      <c r="F998" s="84"/>
      <c r="G998" s="84"/>
      <c r="H998" s="139"/>
      <c r="I998" s="84"/>
    </row>
    <row r="999" spans="1:9">
      <c r="A999" s="139"/>
      <c r="B999" s="139"/>
      <c r="C999" s="138"/>
      <c r="D999" s="140"/>
      <c r="E999" s="84"/>
      <c r="F999" s="84"/>
      <c r="G999" s="84"/>
      <c r="H999" s="139"/>
      <c r="I999" s="84"/>
    </row>
    <row r="1000" spans="1:9">
      <c r="A1000" s="139"/>
      <c r="B1000" s="139"/>
      <c r="C1000" s="138"/>
      <c r="D1000" s="140"/>
      <c r="E1000" s="84"/>
      <c r="F1000" s="84"/>
      <c r="G1000" s="84"/>
      <c r="H1000" s="139"/>
      <c r="I1000" s="84"/>
    </row>
    <row r="1001" spans="1:9">
      <c r="A1001" s="139"/>
      <c r="B1001" s="139"/>
      <c r="C1001" s="138"/>
      <c r="D1001" s="140"/>
      <c r="E1001" s="84"/>
      <c r="F1001" s="84"/>
      <c r="G1001" s="84"/>
      <c r="H1001" s="139"/>
      <c r="I1001" s="84"/>
    </row>
    <row r="1002" spans="1:9">
      <c r="A1002" s="139"/>
      <c r="B1002" s="139"/>
      <c r="C1002" s="138"/>
      <c r="D1002" s="140"/>
      <c r="E1002" s="84"/>
      <c r="F1002" s="84"/>
      <c r="G1002" s="84"/>
      <c r="H1002" s="139"/>
      <c r="I1002" s="84"/>
    </row>
    <row r="1003" spans="1:9">
      <c r="A1003" s="139"/>
      <c r="B1003" s="139"/>
      <c r="C1003" s="138"/>
      <c r="D1003" s="140"/>
      <c r="E1003" s="84"/>
      <c r="F1003" s="84"/>
      <c r="G1003" s="84"/>
      <c r="H1003" s="139"/>
      <c r="I1003" s="84"/>
    </row>
    <row r="1004" spans="1:9">
      <c r="A1004" s="139"/>
      <c r="B1004" s="139"/>
      <c r="C1004" s="138"/>
      <c r="D1004" s="140"/>
      <c r="E1004" s="84"/>
      <c r="F1004" s="84"/>
      <c r="G1004" s="84"/>
      <c r="H1004" s="139"/>
      <c r="I1004" s="84"/>
    </row>
    <row r="1005" spans="1:9">
      <c r="A1005" s="139"/>
      <c r="B1005" s="139"/>
      <c r="C1005" s="138"/>
      <c r="D1005" s="140"/>
      <c r="E1005" s="84"/>
      <c r="F1005" s="84"/>
      <c r="G1005" s="84"/>
      <c r="H1005" s="139"/>
      <c r="I1005" s="84"/>
    </row>
    <row r="1006" spans="1:9">
      <c r="A1006" s="139"/>
      <c r="B1006" s="139"/>
      <c r="C1006" s="138"/>
      <c r="D1006" s="140"/>
      <c r="E1006" s="84"/>
      <c r="F1006" s="84"/>
      <c r="G1006" s="84"/>
      <c r="H1006" s="139"/>
      <c r="I1006" s="84"/>
    </row>
    <row r="1007" spans="1:9">
      <c r="A1007" s="139"/>
      <c r="B1007" s="139"/>
      <c r="C1007" s="138"/>
      <c r="D1007" s="140"/>
      <c r="E1007" s="84"/>
      <c r="F1007" s="84"/>
      <c r="G1007" s="84"/>
      <c r="H1007" s="139"/>
      <c r="I1007" s="84"/>
    </row>
    <row r="1008" spans="1:9">
      <c r="A1008" s="139"/>
      <c r="B1008" s="139"/>
      <c r="C1008" s="138"/>
      <c r="D1008" s="140"/>
      <c r="E1008" s="84"/>
      <c r="F1008" s="84"/>
      <c r="G1008" s="84"/>
      <c r="H1008" s="139"/>
      <c r="I1008" s="84"/>
    </row>
    <row r="1009" spans="1:9">
      <c r="A1009" s="139"/>
      <c r="B1009" s="139"/>
      <c r="C1009" s="138"/>
      <c r="D1009" s="140"/>
      <c r="E1009" s="84"/>
      <c r="F1009" s="84"/>
      <c r="G1009" s="84"/>
      <c r="H1009" s="139"/>
      <c r="I1009" s="84"/>
    </row>
    <row r="1010" spans="1:9">
      <c r="A1010" s="139"/>
      <c r="B1010" s="139"/>
      <c r="C1010" s="138"/>
      <c r="D1010" s="140"/>
      <c r="E1010" s="84"/>
      <c r="F1010" s="84"/>
      <c r="G1010" s="84"/>
      <c r="H1010" s="139"/>
      <c r="I1010" s="84"/>
    </row>
    <row r="1011" spans="1:9">
      <c r="A1011" s="139"/>
      <c r="B1011" s="139"/>
      <c r="C1011" s="138"/>
      <c r="D1011" s="140"/>
      <c r="E1011" s="84"/>
      <c r="F1011" s="84"/>
      <c r="G1011" s="84"/>
      <c r="H1011" s="139"/>
      <c r="I1011" s="84"/>
    </row>
    <row r="1012" spans="1:9">
      <c r="A1012" s="139"/>
      <c r="B1012" s="139"/>
      <c r="C1012" s="138"/>
      <c r="D1012" s="140"/>
      <c r="E1012" s="84"/>
      <c r="F1012" s="84"/>
      <c r="G1012" s="84"/>
      <c r="H1012" s="139"/>
      <c r="I1012" s="84"/>
    </row>
    <row r="1013" spans="1:9">
      <c r="A1013" s="139"/>
      <c r="B1013" s="139"/>
      <c r="C1013" s="138"/>
      <c r="D1013" s="140"/>
      <c r="E1013" s="84"/>
      <c r="F1013" s="84"/>
      <c r="G1013" s="84"/>
      <c r="H1013" s="139"/>
      <c r="I1013" s="84"/>
    </row>
    <row r="1014" spans="1:9">
      <c r="A1014" s="139"/>
      <c r="B1014" s="139"/>
      <c r="C1014" s="138"/>
      <c r="D1014" s="140"/>
      <c r="E1014" s="84"/>
      <c r="F1014" s="84"/>
      <c r="G1014" s="84"/>
      <c r="H1014" s="139"/>
      <c r="I1014" s="84"/>
    </row>
    <row r="1015" spans="1:9">
      <c r="A1015" s="139"/>
      <c r="B1015" s="139"/>
      <c r="C1015" s="138"/>
      <c r="D1015" s="140"/>
      <c r="E1015" s="84"/>
      <c r="F1015" s="84"/>
      <c r="G1015" s="84"/>
      <c r="H1015" s="139"/>
      <c r="I1015" s="84"/>
    </row>
    <row r="1016" spans="1:9">
      <c r="A1016" s="139"/>
      <c r="B1016" s="139"/>
      <c r="C1016" s="138"/>
      <c r="D1016" s="140"/>
      <c r="E1016" s="84"/>
      <c r="F1016" s="84"/>
      <c r="G1016" s="84"/>
      <c r="H1016" s="139"/>
      <c r="I1016" s="84"/>
    </row>
    <row r="1017" spans="1:9">
      <c r="A1017" s="139"/>
      <c r="B1017" s="139"/>
      <c r="C1017" s="138"/>
      <c r="D1017" s="140"/>
      <c r="E1017" s="84"/>
      <c r="F1017" s="84"/>
      <c r="G1017" s="84"/>
      <c r="H1017" s="139"/>
      <c r="I1017" s="84"/>
    </row>
    <row r="1018" spans="1:9">
      <c r="A1018" s="139"/>
      <c r="B1018" s="139"/>
      <c r="C1018" s="138"/>
      <c r="D1018" s="140"/>
      <c r="E1018" s="84"/>
      <c r="F1018" s="84"/>
      <c r="G1018" s="84"/>
      <c r="H1018" s="139"/>
      <c r="I1018" s="84"/>
    </row>
    <row r="1019" spans="1:9">
      <c r="A1019" s="139"/>
      <c r="B1019" s="139"/>
      <c r="C1019" s="138"/>
      <c r="D1019" s="140"/>
      <c r="E1019" s="84"/>
      <c r="F1019" s="84"/>
      <c r="G1019" s="84"/>
      <c r="H1019" s="139"/>
      <c r="I1019" s="84"/>
    </row>
    <row r="1020" spans="1:9">
      <c r="A1020" s="139"/>
      <c r="B1020" s="139"/>
      <c r="C1020" s="138"/>
      <c r="D1020" s="140"/>
      <c r="E1020" s="84"/>
      <c r="F1020" s="84"/>
      <c r="G1020" s="84"/>
      <c r="H1020" s="139"/>
      <c r="I1020" s="84"/>
    </row>
    <row r="1021" spans="1:9">
      <c r="A1021" s="139"/>
      <c r="B1021" s="139"/>
      <c r="C1021" s="138"/>
      <c r="D1021" s="140"/>
      <c r="E1021" s="84"/>
      <c r="F1021" s="84"/>
      <c r="G1021" s="84"/>
      <c r="H1021" s="139"/>
      <c r="I1021" s="84"/>
    </row>
    <row r="1022" spans="1:9">
      <c r="A1022" s="139"/>
      <c r="B1022" s="139"/>
      <c r="C1022" s="138"/>
      <c r="D1022" s="140"/>
      <c r="E1022" s="84"/>
      <c r="F1022" s="84"/>
      <c r="G1022" s="84"/>
      <c r="H1022" s="139"/>
      <c r="I1022" s="84"/>
    </row>
    <row r="1023" spans="1:9">
      <c r="A1023" s="139"/>
      <c r="B1023" s="139"/>
      <c r="C1023" s="138"/>
      <c r="D1023" s="140"/>
      <c r="E1023" s="84"/>
      <c r="F1023" s="84"/>
      <c r="G1023" s="84"/>
      <c r="H1023" s="139"/>
      <c r="I1023" s="84"/>
    </row>
    <row r="1024" spans="1:9">
      <c r="A1024" s="139"/>
      <c r="B1024" s="139"/>
      <c r="C1024" s="138"/>
      <c r="D1024" s="140"/>
      <c r="E1024" s="84"/>
      <c r="F1024" s="84"/>
      <c r="G1024" s="84"/>
      <c r="H1024" s="139"/>
      <c r="I1024" s="84"/>
    </row>
    <row r="1025" spans="1:9">
      <c r="A1025" s="139"/>
      <c r="B1025" s="139"/>
      <c r="C1025" s="138"/>
      <c r="D1025" s="140"/>
      <c r="E1025" s="84"/>
      <c r="F1025" s="84"/>
      <c r="G1025" s="84"/>
      <c r="H1025" s="139"/>
      <c r="I1025" s="84"/>
    </row>
    <row r="1026" spans="1:9">
      <c r="A1026" s="139"/>
      <c r="B1026" s="139"/>
      <c r="C1026" s="138"/>
      <c r="D1026" s="140"/>
      <c r="E1026" s="84"/>
      <c r="F1026" s="84"/>
      <c r="G1026" s="84"/>
      <c r="H1026" s="139"/>
      <c r="I1026" s="84"/>
    </row>
    <row r="1027" spans="1:9">
      <c r="A1027" s="139"/>
      <c r="B1027" s="139"/>
      <c r="C1027" s="138"/>
      <c r="D1027" s="140"/>
      <c r="E1027" s="84"/>
      <c r="F1027" s="84"/>
      <c r="G1027" s="84"/>
      <c r="H1027" s="139"/>
      <c r="I1027" s="84"/>
    </row>
    <row r="1028" spans="1:9">
      <c r="A1028" s="139"/>
      <c r="B1028" s="139"/>
      <c r="C1028" s="138"/>
      <c r="D1028" s="140"/>
      <c r="E1028" s="84"/>
      <c r="F1028" s="84"/>
      <c r="G1028" s="84"/>
      <c r="H1028" s="139"/>
      <c r="I1028" s="84"/>
    </row>
    <row r="1029" spans="1:9">
      <c r="A1029" s="139"/>
      <c r="B1029" s="139"/>
      <c r="C1029" s="138"/>
      <c r="D1029" s="140"/>
      <c r="E1029" s="84"/>
      <c r="F1029" s="84"/>
      <c r="G1029" s="84"/>
      <c r="H1029" s="139"/>
      <c r="I1029" s="84"/>
    </row>
    <row r="1030" spans="1:9">
      <c r="A1030" s="139"/>
      <c r="B1030" s="139"/>
      <c r="C1030" s="138"/>
      <c r="D1030" s="140"/>
      <c r="E1030" s="84"/>
      <c r="F1030" s="84"/>
      <c r="G1030" s="84"/>
      <c r="H1030" s="139"/>
      <c r="I1030" s="84"/>
    </row>
    <row r="1031" spans="1:9">
      <c r="A1031" s="139"/>
      <c r="B1031" s="139"/>
      <c r="C1031" s="138"/>
      <c r="D1031" s="140"/>
      <c r="E1031" s="84"/>
      <c r="F1031" s="84"/>
      <c r="G1031" s="84"/>
      <c r="H1031" s="139"/>
      <c r="I1031" s="84"/>
    </row>
    <row r="1032" spans="1:9">
      <c r="A1032" s="139"/>
      <c r="B1032" s="139"/>
      <c r="C1032" s="138"/>
      <c r="D1032" s="140"/>
      <c r="E1032" s="84"/>
      <c r="F1032" s="84"/>
      <c r="G1032" s="84"/>
      <c r="H1032" s="139"/>
      <c r="I1032" s="84"/>
    </row>
    <row r="1033" spans="1:9">
      <c r="A1033" s="139"/>
      <c r="B1033" s="139"/>
      <c r="C1033" s="138"/>
      <c r="D1033" s="140"/>
      <c r="E1033" s="84"/>
      <c r="F1033" s="84"/>
      <c r="G1033" s="84"/>
      <c r="H1033" s="139"/>
      <c r="I1033" s="84"/>
    </row>
    <row r="1034" spans="1:9">
      <c r="A1034" s="139"/>
      <c r="B1034" s="139"/>
      <c r="C1034" s="138"/>
      <c r="D1034" s="140"/>
      <c r="E1034" s="84"/>
      <c r="F1034" s="84"/>
      <c r="G1034" s="84"/>
      <c r="H1034" s="139"/>
      <c r="I1034" s="84"/>
    </row>
    <row r="1035" spans="1:9">
      <c r="A1035" s="139"/>
      <c r="B1035" s="139"/>
      <c r="C1035" s="138"/>
      <c r="D1035" s="140"/>
      <c r="E1035" s="84"/>
      <c r="F1035" s="84"/>
      <c r="G1035" s="84"/>
      <c r="H1035" s="139"/>
      <c r="I1035" s="84"/>
    </row>
    <row r="1036" spans="1:9">
      <c r="A1036" s="139"/>
      <c r="B1036" s="139"/>
      <c r="C1036" s="138"/>
      <c r="D1036" s="140"/>
      <c r="E1036" s="84"/>
      <c r="F1036" s="84"/>
      <c r="G1036" s="84"/>
      <c r="H1036" s="139"/>
      <c r="I1036" s="84"/>
    </row>
    <row r="1037" spans="1:9">
      <c r="A1037" s="139"/>
      <c r="B1037" s="139"/>
      <c r="C1037" s="138"/>
      <c r="D1037" s="140"/>
      <c r="E1037" s="84"/>
      <c r="F1037" s="84"/>
      <c r="G1037" s="84"/>
      <c r="H1037" s="139"/>
      <c r="I1037" s="84"/>
    </row>
    <row r="1038" spans="1:9">
      <c r="A1038" s="139"/>
      <c r="B1038" s="139"/>
      <c r="C1038" s="138"/>
      <c r="D1038" s="140"/>
      <c r="E1038" s="84"/>
      <c r="F1038" s="84"/>
      <c r="G1038" s="84"/>
      <c r="H1038" s="139"/>
      <c r="I1038" s="84"/>
    </row>
    <row r="1039" spans="1:9">
      <c r="A1039" s="139"/>
      <c r="B1039" s="139"/>
      <c r="C1039" s="138"/>
      <c r="D1039" s="140"/>
      <c r="E1039" s="84"/>
      <c r="F1039" s="84"/>
      <c r="G1039" s="84"/>
      <c r="H1039" s="139"/>
      <c r="I1039" s="84"/>
    </row>
    <row r="1040" spans="1:9">
      <c r="A1040" s="139"/>
      <c r="B1040" s="139"/>
      <c r="C1040" s="138"/>
      <c r="D1040" s="140"/>
      <c r="E1040" s="84"/>
      <c r="F1040" s="84"/>
      <c r="G1040" s="84"/>
      <c r="H1040" s="139"/>
      <c r="I1040" s="84"/>
    </row>
    <row r="1041" spans="1:9">
      <c r="A1041" s="139"/>
      <c r="B1041" s="139"/>
      <c r="C1041" s="138"/>
      <c r="D1041" s="140"/>
      <c r="E1041" s="84"/>
      <c r="F1041" s="84"/>
      <c r="G1041" s="84"/>
      <c r="H1041" s="139"/>
      <c r="I1041" s="84"/>
    </row>
    <row r="1042" spans="1:9">
      <c r="A1042" s="139"/>
      <c r="B1042" s="139"/>
      <c r="C1042" s="138"/>
      <c r="D1042" s="140"/>
      <c r="E1042" s="84"/>
      <c r="F1042" s="84"/>
      <c r="G1042" s="84"/>
      <c r="H1042" s="139"/>
      <c r="I1042" s="84"/>
    </row>
    <row r="1043" spans="1:9">
      <c r="A1043" s="139"/>
      <c r="B1043" s="139"/>
      <c r="C1043" s="138"/>
      <c r="D1043" s="140"/>
      <c r="E1043" s="84"/>
      <c r="F1043" s="84"/>
      <c r="G1043" s="84"/>
      <c r="H1043" s="139"/>
      <c r="I1043" s="84"/>
    </row>
    <row r="1044" spans="1:9">
      <c r="A1044" s="139"/>
      <c r="B1044" s="139"/>
      <c r="C1044" s="138"/>
      <c r="D1044" s="140"/>
      <c r="E1044" s="84"/>
      <c r="F1044" s="84"/>
      <c r="G1044" s="84"/>
      <c r="H1044" s="139"/>
      <c r="I1044" s="84"/>
    </row>
    <row r="1045" spans="1:9">
      <c r="A1045" s="139"/>
      <c r="B1045" s="139"/>
      <c r="C1045" s="138"/>
      <c r="D1045" s="140"/>
      <c r="E1045" s="84"/>
      <c r="F1045" s="84"/>
      <c r="G1045" s="84"/>
      <c r="H1045" s="139"/>
      <c r="I1045" s="84"/>
    </row>
    <row r="1046" spans="1:9">
      <c r="A1046" s="139"/>
      <c r="B1046" s="139"/>
      <c r="C1046" s="138"/>
      <c r="D1046" s="140"/>
      <c r="E1046" s="84"/>
      <c r="F1046" s="84"/>
      <c r="G1046" s="84"/>
      <c r="H1046" s="139"/>
      <c r="I1046" s="84"/>
    </row>
    <row r="1047" spans="1:9">
      <c r="A1047" s="139"/>
      <c r="B1047" s="139"/>
      <c r="C1047" s="138"/>
      <c r="D1047" s="140"/>
      <c r="E1047" s="84"/>
      <c r="F1047" s="84"/>
      <c r="G1047" s="84"/>
      <c r="H1047" s="139"/>
      <c r="I1047" s="84"/>
    </row>
    <row r="1048" spans="1:9">
      <c r="A1048" s="139"/>
      <c r="B1048" s="139"/>
      <c r="C1048" s="138"/>
      <c r="D1048" s="140"/>
      <c r="E1048" s="84"/>
      <c r="F1048" s="84"/>
      <c r="G1048" s="84"/>
      <c r="H1048" s="139"/>
      <c r="I1048" s="84"/>
    </row>
    <row r="1049" spans="1:9">
      <c r="A1049" s="139"/>
      <c r="B1049" s="139"/>
      <c r="C1049" s="138"/>
      <c r="D1049" s="140"/>
      <c r="E1049" s="84"/>
      <c r="F1049" s="84"/>
      <c r="G1049" s="84"/>
      <c r="H1049" s="139"/>
      <c r="I1049" s="84"/>
    </row>
    <row r="1050" spans="1:9">
      <c r="A1050" s="139"/>
      <c r="B1050" s="139"/>
      <c r="C1050" s="138"/>
      <c r="D1050" s="140"/>
      <c r="E1050" s="84"/>
      <c r="F1050" s="84"/>
      <c r="G1050" s="84"/>
      <c r="H1050" s="139"/>
      <c r="I1050" s="84"/>
    </row>
    <row r="1051" spans="1:9">
      <c r="A1051" s="139"/>
      <c r="B1051" s="139"/>
      <c r="C1051" s="138"/>
      <c r="D1051" s="140"/>
      <c r="E1051" s="84"/>
      <c r="F1051" s="84"/>
      <c r="G1051" s="84"/>
      <c r="H1051" s="139"/>
      <c r="I1051" s="84"/>
    </row>
    <row r="1052" spans="1:9">
      <c r="A1052" s="139"/>
      <c r="B1052" s="139"/>
      <c r="C1052" s="138"/>
      <c r="D1052" s="140"/>
      <c r="E1052" s="84"/>
      <c r="F1052" s="84"/>
      <c r="G1052" s="84"/>
      <c r="H1052" s="139"/>
      <c r="I1052" s="84"/>
    </row>
    <row r="1053" spans="1:9">
      <c r="A1053" s="139"/>
      <c r="B1053" s="139"/>
      <c r="C1053" s="138"/>
      <c r="D1053" s="140"/>
      <c r="E1053" s="84"/>
      <c r="F1053" s="84"/>
      <c r="G1053" s="84"/>
      <c r="H1053" s="139"/>
      <c r="I1053" s="84"/>
    </row>
    <row r="1054" spans="1:9">
      <c r="A1054" s="139"/>
      <c r="B1054" s="139"/>
      <c r="C1054" s="138"/>
      <c r="D1054" s="140"/>
      <c r="E1054" s="84"/>
      <c r="F1054" s="84"/>
      <c r="G1054" s="84"/>
      <c r="H1054" s="139"/>
      <c r="I1054" s="84"/>
    </row>
    <row r="1055" spans="1:9">
      <c r="A1055" s="139"/>
      <c r="B1055" s="139"/>
      <c r="C1055" s="138"/>
      <c r="D1055" s="140"/>
      <c r="E1055" s="84"/>
      <c r="F1055" s="84"/>
      <c r="G1055" s="84"/>
      <c r="H1055" s="139"/>
      <c r="I1055" s="84"/>
    </row>
    <row r="1056" spans="1:9">
      <c r="A1056" s="139"/>
      <c r="B1056" s="139"/>
      <c r="C1056" s="138"/>
      <c r="D1056" s="140"/>
      <c r="E1056" s="84"/>
      <c r="F1056" s="84"/>
      <c r="G1056" s="84"/>
      <c r="H1056" s="139"/>
      <c r="I1056" s="84"/>
    </row>
    <row r="1057" spans="1:9">
      <c r="A1057" s="139"/>
      <c r="B1057" s="139"/>
      <c r="C1057" s="138"/>
      <c r="D1057" s="140"/>
      <c r="E1057" s="84"/>
      <c r="F1057" s="84"/>
      <c r="G1057" s="84"/>
      <c r="H1057" s="139"/>
      <c r="I1057" s="84"/>
    </row>
    <row r="1058" spans="1:9">
      <c r="A1058" s="139"/>
      <c r="B1058" s="139"/>
      <c r="C1058" s="138"/>
      <c r="D1058" s="140"/>
      <c r="E1058" s="84"/>
      <c r="F1058" s="84"/>
      <c r="G1058" s="84"/>
      <c r="H1058" s="139"/>
      <c r="I1058" s="84"/>
    </row>
    <row r="1059" spans="1:9">
      <c r="A1059" s="139"/>
      <c r="B1059" s="139"/>
      <c r="C1059" s="138"/>
      <c r="D1059" s="140"/>
      <c r="E1059" s="84"/>
      <c r="F1059" s="84"/>
      <c r="G1059" s="84"/>
      <c r="H1059" s="139"/>
      <c r="I1059" s="84"/>
    </row>
    <row r="1060" spans="1:9">
      <c r="A1060" s="139"/>
      <c r="B1060" s="139"/>
      <c r="C1060" s="138"/>
      <c r="D1060" s="140"/>
      <c r="E1060" s="84"/>
      <c r="F1060" s="84"/>
      <c r="G1060" s="84"/>
      <c r="H1060" s="139"/>
      <c r="I1060" s="84"/>
    </row>
    <row r="1061" spans="1:9">
      <c r="A1061" s="139"/>
      <c r="B1061" s="139"/>
      <c r="C1061" s="138"/>
      <c r="D1061" s="140"/>
      <c r="E1061" s="84"/>
      <c r="F1061" s="84"/>
      <c r="G1061" s="84"/>
      <c r="H1061" s="139"/>
      <c r="I1061" s="84"/>
    </row>
    <row r="1062" spans="1:9">
      <c r="A1062" s="139"/>
      <c r="B1062" s="139"/>
      <c r="C1062" s="138"/>
      <c r="D1062" s="140"/>
      <c r="E1062" s="84"/>
      <c r="F1062" s="84"/>
      <c r="G1062" s="84"/>
      <c r="H1062" s="139"/>
      <c r="I1062" s="84"/>
    </row>
    <row r="1063" spans="1:9">
      <c r="A1063" s="139"/>
      <c r="B1063" s="139"/>
      <c r="C1063" s="138"/>
      <c r="D1063" s="140"/>
      <c r="E1063" s="84"/>
      <c r="F1063" s="84"/>
      <c r="G1063" s="84"/>
      <c r="H1063" s="139"/>
      <c r="I1063" s="84"/>
    </row>
    <row r="1064" spans="1:9">
      <c r="A1064" s="139"/>
      <c r="B1064" s="139"/>
      <c r="C1064" s="138"/>
      <c r="D1064" s="140"/>
      <c r="E1064" s="84"/>
      <c r="F1064" s="84"/>
      <c r="G1064" s="84"/>
      <c r="H1064" s="139"/>
      <c r="I1064" s="84"/>
    </row>
    <row r="1065" spans="1:9">
      <c r="A1065" s="139"/>
      <c r="B1065" s="139"/>
      <c r="C1065" s="138"/>
      <c r="D1065" s="140"/>
      <c r="E1065" s="84"/>
      <c r="F1065" s="84"/>
      <c r="G1065" s="84"/>
      <c r="H1065" s="139"/>
      <c r="I1065" s="84"/>
    </row>
    <row r="1066" spans="1:9">
      <c r="A1066" s="139"/>
      <c r="B1066" s="139"/>
      <c r="C1066" s="138"/>
      <c r="D1066" s="140"/>
      <c r="E1066" s="84"/>
      <c r="F1066" s="84"/>
      <c r="G1066" s="84"/>
      <c r="H1066" s="139"/>
      <c r="I1066" s="84"/>
    </row>
    <row r="1067" spans="1:9">
      <c r="A1067" s="139"/>
      <c r="B1067" s="139"/>
      <c r="C1067" s="138"/>
      <c r="D1067" s="140"/>
      <c r="E1067" s="84"/>
      <c r="F1067" s="84"/>
      <c r="G1067" s="84"/>
      <c r="H1067" s="139"/>
      <c r="I1067" s="84"/>
    </row>
    <row r="1068" spans="1:9">
      <c r="A1068" s="139"/>
      <c r="B1068" s="139"/>
      <c r="C1068" s="138"/>
      <c r="D1068" s="140"/>
      <c r="E1068" s="84"/>
      <c r="F1068" s="84"/>
      <c r="G1068" s="84"/>
      <c r="H1068" s="139"/>
      <c r="I1068" s="84"/>
    </row>
    <row r="1069" spans="1:9">
      <c r="A1069" s="139"/>
      <c r="B1069" s="139"/>
      <c r="C1069" s="138"/>
      <c r="D1069" s="140"/>
      <c r="E1069" s="84"/>
      <c r="F1069" s="84"/>
      <c r="G1069" s="84"/>
      <c r="H1069" s="139"/>
      <c r="I1069" s="84"/>
    </row>
    <row r="1070" spans="1:9">
      <c r="A1070" s="139"/>
      <c r="B1070" s="139"/>
      <c r="C1070" s="138"/>
      <c r="D1070" s="140"/>
      <c r="E1070" s="84"/>
      <c r="F1070" s="84"/>
      <c r="G1070" s="84"/>
      <c r="H1070" s="139"/>
      <c r="I1070" s="84"/>
    </row>
    <row r="1071" spans="1:9">
      <c r="A1071" s="139"/>
      <c r="B1071" s="139"/>
      <c r="C1071" s="138"/>
      <c r="D1071" s="140"/>
      <c r="E1071" s="84"/>
      <c r="F1071" s="84"/>
      <c r="G1071" s="84"/>
      <c r="H1071" s="139"/>
      <c r="I1071" s="84"/>
    </row>
    <row r="1072" spans="1:9">
      <c r="A1072" s="139"/>
      <c r="B1072" s="139"/>
      <c r="C1072" s="138"/>
      <c r="D1072" s="140"/>
      <c r="E1072" s="84"/>
      <c r="F1072" s="84"/>
      <c r="G1072" s="84"/>
      <c r="H1072" s="139"/>
      <c r="I1072" s="84"/>
    </row>
    <row r="1073" spans="1:9">
      <c r="A1073" s="139"/>
      <c r="B1073" s="139"/>
      <c r="C1073" s="138"/>
      <c r="D1073" s="140"/>
      <c r="E1073" s="84"/>
      <c r="F1073" s="84"/>
      <c r="G1073" s="84"/>
      <c r="H1073" s="139"/>
      <c r="I1073" s="84"/>
    </row>
    <row r="1074" spans="1:9">
      <c r="A1074" s="139"/>
      <c r="B1074" s="139"/>
      <c r="C1074" s="138"/>
      <c r="D1074" s="140"/>
      <c r="E1074" s="84"/>
      <c r="F1074" s="84"/>
      <c r="G1074" s="84"/>
      <c r="H1074" s="139"/>
      <c r="I1074" s="84"/>
    </row>
    <row r="1075" spans="1:9">
      <c r="A1075" s="139"/>
      <c r="B1075" s="139"/>
      <c r="C1075" s="138"/>
      <c r="D1075" s="140"/>
      <c r="E1075" s="84"/>
      <c r="F1075" s="84"/>
      <c r="G1075" s="84"/>
      <c r="H1075" s="139"/>
      <c r="I1075" s="84"/>
    </row>
    <row r="1076" spans="1:9">
      <c r="A1076" s="139"/>
      <c r="B1076" s="139"/>
      <c r="C1076" s="138"/>
      <c r="D1076" s="140"/>
      <c r="E1076" s="84"/>
      <c r="F1076" s="84"/>
      <c r="G1076" s="84"/>
      <c r="H1076" s="139"/>
      <c r="I1076" s="84"/>
    </row>
    <row r="1077" spans="1:9">
      <c r="A1077" s="139"/>
      <c r="B1077" s="139"/>
      <c r="C1077" s="138"/>
      <c r="D1077" s="140"/>
      <c r="E1077" s="84"/>
      <c r="F1077" s="84"/>
      <c r="G1077" s="84"/>
      <c r="H1077" s="139"/>
      <c r="I1077" s="84"/>
    </row>
    <row r="1078" spans="1:9">
      <c r="A1078" s="139"/>
      <c r="B1078" s="139"/>
      <c r="C1078" s="138"/>
      <c r="D1078" s="140"/>
      <c r="E1078" s="84"/>
      <c r="F1078" s="84"/>
      <c r="G1078" s="84"/>
      <c r="H1078" s="139"/>
      <c r="I1078" s="84"/>
    </row>
    <row r="1079" spans="1:9">
      <c r="A1079" s="139"/>
      <c r="B1079" s="139"/>
      <c r="C1079" s="138"/>
      <c r="D1079" s="140"/>
      <c r="E1079" s="84"/>
      <c r="F1079" s="84"/>
      <c r="G1079" s="84"/>
      <c r="H1079" s="139"/>
      <c r="I1079" s="84"/>
    </row>
    <row r="1080" spans="1:9">
      <c r="A1080" s="139"/>
      <c r="B1080" s="139"/>
      <c r="C1080" s="138"/>
      <c r="D1080" s="140"/>
      <c r="E1080" s="84"/>
      <c r="F1080" s="84"/>
      <c r="G1080" s="84"/>
      <c r="H1080" s="139"/>
      <c r="I1080" s="84"/>
    </row>
    <row r="1081" spans="1:9">
      <c r="A1081" s="139"/>
      <c r="B1081" s="139"/>
      <c r="C1081" s="138"/>
      <c r="D1081" s="140"/>
      <c r="E1081" s="84"/>
      <c r="F1081" s="84"/>
      <c r="G1081" s="84"/>
      <c r="H1081" s="139"/>
      <c r="I1081" s="84"/>
    </row>
    <row r="1082" spans="1:9">
      <c r="A1082" s="139"/>
      <c r="B1082" s="139"/>
      <c r="C1082" s="138"/>
      <c r="D1082" s="140"/>
      <c r="E1082" s="84"/>
      <c r="F1082" s="84"/>
      <c r="G1082" s="84"/>
      <c r="H1082" s="139"/>
      <c r="I1082" s="84"/>
    </row>
    <row r="1083" spans="1:9">
      <c r="A1083" s="139"/>
      <c r="B1083" s="139"/>
      <c r="C1083" s="138"/>
      <c r="D1083" s="140"/>
      <c r="E1083" s="84"/>
      <c r="F1083" s="84"/>
      <c r="G1083" s="84"/>
      <c r="H1083" s="139"/>
      <c r="I1083" s="84"/>
    </row>
    <row r="1084" spans="1:9">
      <c r="A1084" s="139"/>
      <c r="B1084" s="139"/>
      <c r="C1084" s="138"/>
      <c r="D1084" s="140"/>
      <c r="E1084" s="84"/>
      <c r="F1084" s="84"/>
      <c r="G1084" s="84"/>
      <c r="H1084" s="139"/>
      <c r="I1084" s="84"/>
    </row>
    <row r="1085" spans="1:9">
      <c r="A1085" s="139"/>
      <c r="B1085" s="139"/>
      <c r="C1085" s="138"/>
      <c r="D1085" s="140"/>
      <c r="E1085" s="84"/>
      <c r="F1085" s="84"/>
      <c r="G1085" s="84"/>
      <c r="H1085" s="139"/>
      <c r="I1085" s="84"/>
    </row>
    <row r="1086" spans="1:9">
      <c r="A1086" s="139"/>
      <c r="B1086" s="139"/>
      <c r="C1086" s="138"/>
      <c r="D1086" s="140"/>
      <c r="E1086" s="84"/>
      <c r="F1086" s="84"/>
      <c r="G1086" s="84"/>
      <c r="H1086" s="139"/>
      <c r="I1086" s="84"/>
    </row>
    <row r="1087" spans="1:9">
      <c r="A1087" s="139"/>
      <c r="B1087" s="139"/>
      <c r="C1087" s="138"/>
      <c r="D1087" s="140"/>
      <c r="E1087" s="84"/>
      <c r="F1087" s="84"/>
      <c r="G1087" s="84"/>
      <c r="H1087" s="139"/>
      <c r="I1087" s="84"/>
    </row>
    <row r="1088" spans="1:9">
      <c r="A1088" s="139"/>
      <c r="B1088" s="139"/>
      <c r="C1088" s="138"/>
      <c r="D1088" s="140"/>
      <c r="E1088" s="84"/>
      <c r="F1088" s="84"/>
      <c r="G1088" s="84"/>
      <c r="H1088" s="139"/>
      <c r="I1088" s="84"/>
    </row>
    <row r="1089" spans="1:9">
      <c r="A1089" s="139"/>
      <c r="B1089" s="139"/>
      <c r="C1089" s="138"/>
      <c r="D1089" s="140"/>
      <c r="E1089" s="84"/>
      <c r="F1089" s="84"/>
      <c r="G1089" s="84"/>
      <c r="H1089" s="139"/>
      <c r="I1089" s="84"/>
    </row>
    <row r="1090" spans="1:9">
      <c r="A1090" s="139"/>
      <c r="B1090" s="139"/>
      <c r="C1090" s="138"/>
      <c r="D1090" s="140"/>
      <c r="E1090" s="84"/>
      <c r="F1090" s="84"/>
      <c r="G1090" s="84"/>
      <c r="H1090" s="139"/>
      <c r="I1090" s="84"/>
    </row>
    <row r="1091" spans="1:9">
      <c r="A1091" s="139"/>
      <c r="B1091" s="139"/>
      <c r="C1091" s="138"/>
      <c r="D1091" s="140"/>
      <c r="E1091" s="84"/>
      <c r="F1091" s="84"/>
      <c r="G1091" s="84"/>
      <c r="H1091" s="139"/>
      <c r="I1091" s="84"/>
    </row>
    <row r="1092" spans="1:9">
      <c r="A1092" s="139"/>
      <c r="B1092" s="139"/>
      <c r="C1092" s="138"/>
      <c r="D1092" s="140"/>
      <c r="E1092" s="84"/>
      <c r="F1092" s="84"/>
      <c r="G1092" s="84"/>
      <c r="H1092" s="139"/>
      <c r="I1092" s="84"/>
    </row>
    <row r="1093" spans="1:9">
      <c r="A1093" s="139"/>
      <c r="B1093" s="139"/>
      <c r="C1093" s="138"/>
      <c r="D1093" s="140"/>
      <c r="E1093" s="84"/>
      <c r="F1093" s="84"/>
      <c r="G1093" s="84"/>
      <c r="H1093" s="139"/>
      <c r="I1093" s="84"/>
    </row>
    <row r="1094" spans="1:9">
      <c r="A1094" s="139"/>
      <c r="B1094" s="139"/>
      <c r="C1094" s="138"/>
      <c r="D1094" s="140"/>
      <c r="E1094" s="84"/>
      <c r="F1094" s="84"/>
      <c r="G1094" s="84"/>
      <c r="H1094" s="139"/>
      <c r="I1094" s="84"/>
    </row>
    <row r="1095" spans="1:9">
      <c r="A1095" s="139"/>
      <c r="B1095" s="139"/>
      <c r="C1095" s="138"/>
      <c r="D1095" s="140"/>
      <c r="E1095" s="84"/>
      <c r="F1095" s="84"/>
      <c r="G1095" s="84"/>
      <c r="H1095" s="139"/>
      <c r="I1095" s="84"/>
    </row>
    <row r="1096" spans="1:9">
      <c r="A1096" s="139"/>
      <c r="B1096" s="139"/>
      <c r="C1096" s="138"/>
      <c r="D1096" s="140"/>
      <c r="E1096" s="84"/>
      <c r="F1096" s="84"/>
      <c r="G1096" s="84"/>
      <c r="H1096" s="139"/>
      <c r="I1096" s="84"/>
    </row>
    <row r="1097" spans="1:9">
      <c r="A1097" s="139"/>
      <c r="B1097" s="139"/>
      <c r="C1097" s="138"/>
      <c r="D1097" s="140"/>
      <c r="E1097" s="84"/>
      <c r="F1097" s="84"/>
      <c r="G1097" s="84"/>
      <c r="H1097" s="139"/>
      <c r="I1097" s="84"/>
    </row>
    <row r="1098" spans="1:9">
      <c r="A1098" s="139"/>
      <c r="B1098" s="139"/>
      <c r="C1098" s="138"/>
      <c r="D1098" s="140"/>
      <c r="E1098" s="84"/>
      <c r="F1098" s="84"/>
      <c r="G1098" s="84"/>
      <c r="H1098" s="139"/>
      <c r="I1098" s="84"/>
    </row>
    <row r="1099" spans="1:9">
      <c r="A1099" s="139"/>
      <c r="B1099" s="139"/>
      <c r="C1099" s="138"/>
      <c r="D1099" s="140"/>
      <c r="E1099" s="84"/>
      <c r="F1099" s="84"/>
      <c r="G1099" s="84"/>
      <c r="H1099" s="139"/>
      <c r="I1099" s="84"/>
    </row>
    <row r="1100" spans="1:9">
      <c r="A1100" s="139"/>
      <c r="B1100" s="139"/>
      <c r="C1100" s="138"/>
      <c r="D1100" s="140"/>
      <c r="E1100" s="84"/>
      <c r="F1100" s="84"/>
      <c r="G1100" s="84"/>
      <c r="H1100" s="139"/>
      <c r="I1100" s="84"/>
    </row>
    <row r="1101" spans="1:9">
      <c r="A1101" s="139"/>
      <c r="B1101" s="139"/>
      <c r="C1101" s="138"/>
      <c r="D1101" s="140"/>
      <c r="E1101" s="84"/>
      <c r="F1101" s="84"/>
      <c r="G1101" s="84"/>
      <c r="H1101" s="139"/>
      <c r="I1101" s="84"/>
    </row>
    <row r="1102" spans="1:9">
      <c r="A1102" s="139"/>
      <c r="B1102" s="139"/>
      <c r="C1102" s="138"/>
      <c r="D1102" s="140"/>
      <c r="E1102" s="84"/>
      <c r="F1102" s="84"/>
      <c r="G1102" s="84"/>
      <c r="H1102" s="139"/>
      <c r="I1102" s="84"/>
    </row>
    <row r="1103" spans="1:9">
      <c r="A1103" s="139"/>
      <c r="B1103" s="139"/>
      <c r="C1103" s="138"/>
      <c r="D1103" s="140"/>
      <c r="E1103" s="84"/>
      <c r="F1103" s="84"/>
      <c r="G1103" s="84"/>
      <c r="H1103" s="139"/>
      <c r="I1103" s="84"/>
    </row>
    <row r="1104" spans="1:9">
      <c r="A1104" s="139"/>
      <c r="B1104" s="139"/>
      <c r="C1104" s="138"/>
      <c r="D1104" s="140"/>
      <c r="E1104" s="84"/>
      <c r="F1104" s="84"/>
      <c r="G1104" s="84"/>
      <c r="H1104" s="139"/>
      <c r="I1104" s="84"/>
    </row>
    <row r="1105" spans="1:9">
      <c r="A1105" s="139"/>
      <c r="B1105" s="139"/>
      <c r="C1105" s="138"/>
      <c r="D1105" s="140"/>
      <c r="E1105" s="84"/>
      <c r="F1105" s="84"/>
      <c r="G1105" s="84"/>
      <c r="H1105" s="139"/>
      <c r="I1105" s="84"/>
    </row>
    <row r="1106" spans="1:9">
      <c r="A1106" s="139"/>
      <c r="B1106" s="139"/>
      <c r="C1106" s="138"/>
      <c r="D1106" s="140"/>
      <c r="E1106" s="84"/>
      <c r="F1106" s="84"/>
      <c r="G1106" s="84"/>
      <c r="H1106" s="139"/>
      <c r="I1106" s="84"/>
    </row>
    <row r="1107" spans="1:9">
      <c r="A1107" s="139"/>
      <c r="B1107" s="139"/>
      <c r="C1107" s="138"/>
      <c r="D1107" s="140"/>
      <c r="E1107" s="84"/>
      <c r="F1107" s="84"/>
      <c r="G1107" s="84"/>
      <c r="H1107" s="139"/>
      <c r="I1107" s="84"/>
    </row>
    <row r="1108" spans="1:9">
      <c r="A1108" s="139"/>
      <c r="B1108" s="139"/>
      <c r="C1108" s="138"/>
      <c r="D1108" s="140"/>
      <c r="E1108" s="84"/>
      <c r="F1108" s="84"/>
      <c r="G1108" s="84"/>
      <c r="H1108" s="139"/>
      <c r="I1108" s="84"/>
    </row>
    <row r="1109" spans="1:9">
      <c r="A1109" s="139"/>
      <c r="B1109" s="139"/>
      <c r="C1109" s="138"/>
      <c r="D1109" s="140"/>
      <c r="E1109" s="84"/>
      <c r="F1109" s="84"/>
      <c r="G1109" s="84"/>
      <c r="H1109" s="139"/>
      <c r="I1109" s="84"/>
    </row>
    <row r="1110" spans="1:9">
      <c r="A1110" s="139"/>
      <c r="B1110" s="139"/>
      <c r="C1110" s="138"/>
      <c r="D1110" s="140"/>
      <c r="E1110" s="84"/>
      <c r="F1110" s="84"/>
      <c r="G1110" s="84"/>
      <c r="H1110" s="139"/>
      <c r="I1110" s="84"/>
    </row>
    <row r="1111" spans="1:9">
      <c r="A1111" s="139"/>
      <c r="B1111" s="139"/>
      <c r="C1111" s="138"/>
      <c r="D1111" s="140"/>
      <c r="E1111" s="84"/>
      <c r="F1111" s="84"/>
      <c r="G1111" s="84"/>
      <c r="H1111" s="139"/>
      <c r="I1111" s="84"/>
    </row>
    <row r="1112" spans="1:9">
      <c r="A1112" s="139"/>
      <c r="B1112" s="139"/>
      <c r="C1112" s="138"/>
      <c r="D1112" s="140"/>
      <c r="E1112" s="84"/>
      <c r="F1112" s="84"/>
      <c r="G1112" s="84"/>
      <c r="H1112" s="139"/>
      <c r="I1112" s="84"/>
    </row>
    <row r="1113" spans="1:9">
      <c r="A1113" s="139"/>
      <c r="B1113" s="139"/>
      <c r="C1113" s="138"/>
      <c r="D1113" s="140"/>
      <c r="E1113" s="84"/>
      <c r="F1113" s="84"/>
      <c r="G1113" s="84"/>
      <c r="H1113" s="139"/>
      <c r="I1113" s="84"/>
    </row>
    <row r="1114" spans="1:9">
      <c r="A1114" s="139"/>
      <c r="B1114" s="139"/>
      <c r="C1114" s="138"/>
      <c r="D1114" s="140"/>
      <c r="E1114" s="84"/>
      <c r="F1114" s="84"/>
      <c r="G1114" s="84"/>
      <c r="H1114" s="139"/>
      <c r="I1114" s="84"/>
    </row>
    <row r="1115" spans="1:9">
      <c r="A1115" s="139"/>
      <c r="B1115" s="139"/>
      <c r="C1115" s="138"/>
      <c r="D1115" s="140"/>
      <c r="E1115" s="84"/>
      <c r="F1115" s="84"/>
      <c r="G1115" s="84"/>
      <c r="H1115" s="139"/>
      <c r="I1115" s="84"/>
    </row>
    <row r="1116" spans="1:9">
      <c r="A1116" s="139"/>
      <c r="B1116" s="139"/>
      <c r="C1116" s="138"/>
      <c r="D1116" s="140"/>
      <c r="E1116" s="84"/>
      <c r="F1116" s="84"/>
      <c r="G1116" s="84"/>
      <c r="H1116" s="139"/>
      <c r="I1116" s="84"/>
    </row>
    <row r="1117" spans="1:9">
      <c r="A1117" s="139"/>
      <c r="B1117" s="139"/>
      <c r="C1117" s="138"/>
      <c r="D1117" s="140"/>
      <c r="E1117" s="84"/>
      <c r="F1117" s="84"/>
      <c r="G1117" s="84"/>
      <c r="H1117" s="139"/>
      <c r="I1117" s="84"/>
    </row>
    <row r="1118" spans="1:9">
      <c r="A1118" s="139"/>
      <c r="B1118" s="139"/>
      <c r="C1118" s="138"/>
      <c r="D1118" s="140"/>
      <c r="E1118" s="84"/>
      <c r="F1118" s="84"/>
      <c r="G1118" s="84"/>
      <c r="H1118" s="139"/>
      <c r="I1118" s="84"/>
    </row>
    <row r="1119" spans="1:9">
      <c r="A1119" s="139"/>
      <c r="B1119" s="139"/>
      <c r="C1119" s="138"/>
      <c r="D1119" s="140"/>
      <c r="E1119" s="84"/>
      <c r="F1119" s="84"/>
      <c r="G1119" s="84"/>
      <c r="H1119" s="139"/>
      <c r="I1119" s="84"/>
    </row>
    <row r="1120" spans="1:9">
      <c r="A1120" s="139"/>
      <c r="B1120" s="139"/>
      <c r="C1120" s="138"/>
      <c r="D1120" s="140"/>
      <c r="E1120" s="84"/>
      <c r="F1120" s="84"/>
      <c r="G1120" s="84"/>
      <c r="H1120" s="139"/>
      <c r="I1120" s="84"/>
    </row>
    <row r="1121" spans="1:9">
      <c r="A1121" s="139"/>
      <c r="B1121" s="139"/>
      <c r="C1121" s="138"/>
      <c r="D1121" s="140"/>
      <c r="E1121" s="84"/>
      <c r="F1121" s="84"/>
      <c r="G1121" s="84"/>
      <c r="H1121" s="139"/>
      <c r="I1121" s="84"/>
    </row>
    <row r="1122" spans="1:9">
      <c r="A1122" s="139"/>
      <c r="B1122" s="139"/>
      <c r="C1122" s="138"/>
      <c r="D1122" s="140"/>
      <c r="E1122" s="84"/>
      <c r="F1122" s="84"/>
      <c r="G1122" s="84"/>
      <c r="H1122" s="139"/>
      <c r="I1122" s="84"/>
    </row>
    <row r="1123" spans="1:9">
      <c r="A1123" s="139"/>
      <c r="B1123" s="139"/>
      <c r="C1123" s="138"/>
      <c r="D1123" s="140"/>
      <c r="E1123" s="84"/>
      <c r="F1123" s="84"/>
      <c r="G1123" s="84"/>
      <c r="H1123" s="139"/>
      <c r="I1123" s="84"/>
    </row>
    <row r="1124" spans="1:9">
      <c r="A1124" s="139"/>
      <c r="B1124" s="139"/>
      <c r="C1124" s="138"/>
      <c r="D1124" s="140"/>
      <c r="E1124" s="84"/>
      <c r="F1124" s="84"/>
      <c r="G1124" s="84"/>
      <c r="H1124" s="139"/>
      <c r="I1124" s="84"/>
    </row>
    <row r="1125" spans="1:9">
      <c r="A1125" s="139"/>
      <c r="B1125" s="139"/>
      <c r="C1125" s="138"/>
      <c r="D1125" s="140"/>
      <c r="E1125" s="84"/>
      <c r="F1125" s="84"/>
      <c r="G1125" s="84"/>
      <c r="H1125" s="139"/>
      <c r="I1125" s="84"/>
    </row>
    <row r="1126" spans="1:9">
      <c r="A1126" s="139"/>
      <c r="B1126" s="139"/>
      <c r="C1126" s="138"/>
      <c r="D1126" s="140"/>
      <c r="E1126" s="84"/>
      <c r="F1126" s="84"/>
      <c r="G1126" s="84"/>
      <c r="H1126" s="139"/>
      <c r="I1126" s="84"/>
    </row>
    <row r="1127" spans="1:9">
      <c r="A1127" s="139"/>
      <c r="B1127" s="139"/>
      <c r="C1127" s="138"/>
      <c r="D1127" s="140"/>
      <c r="E1127" s="84"/>
      <c r="F1127" s="84"/>
      <c r="G1127" s="84"/>
      <c r="H1127" s="139"/>
      <c r="I1127" s="84"/>
    </row>
    <row r="1128" spans="1:9">
      <c r="A1128" s="139"/>
      <c r="B1128" s="139"/>
      <c r="C1128" s="138"/>
      <c r="D1128" s="140"/>
      <c r="E1128" s="84"/>
      <c r="F1128" s="84"/>
      <c r="G1128" s="84"/>
      <c r="H1128" s="139"/>
      <c r="I1128" s="84"/>
    </row>
    <row r="1129" spans="1:9">
      <c r="A1129" s="139"/>
      <c r="B1129" s="139"/>
      <c r="C1129" s="138"/>
      <c r="D1129" s="140"/>
      <c r="E1129" s="84"/>
      <c r="F1129" s="84"/>
      <c r="G1129" s="84"/>
      <c r="H1129" s="139"/>
      <c r="I1129" s="84"/>
    </row>
    <row r="1130" spans="1:9">
      <c r="A1130" s="139"/>
      <c r="B1130" s="139"/>
      <c r="C1130" s="138"/>
      <c r="D1130" s="140"/>
      <c r="E1130" s="84"/>
      <c r="F1130" s="84"/>
      <c r="G1130" s="84"/>
      <c r="H1130" s="139"/>
      <c r="I1130" s="84"/>
    </row>
    <row r="1131" spans="1:9">
      <c r="A1131" s="139"/>
      <c r="B1131" s="139"/>
      <c r="C1131" s="138"/>
      <c r="D1131" s="140"/>
      <c r="E1131" s="84"/>
      <c r="F1131" s="84"/>
      <c r="G1131" s="84"/>
      <c r="H1131" s="139"/>
      <c r="I1131" s="84"/>
    </row>
    <row r="1132" spans="1:9">
      <c r="A1132" s="139"/>
      <c r="B1132" s="139"/>
      <c r="C1132" s="138"/>
      <c r="D1132" s="140"/>
      <c r="E1132" s="84"/>
      <c r="F1132" s="84"/>
      <c r="G1132" s="84"/>
      <c r="H1132" s="139"/>
      <c r="I1132" s="84"/>
    </row>
    <row r="1133" spans="1:9">
      <c r="A1133" s="139"/>
      <c r="B1133" s="139"/>
      <c r="C1133" s="138"/>
      <c r="D1133" s="140"/>
      <c r="E1133" s="84"/>
      <c r="F1133" s="84"/>
      <c r="G1133" s="84"/>
      <c r="H1133" s="139"/>
      <c r="I1133" s="84"/>
    </row>
    <row r="1134" spans="1:9">
      <c r="A1134" s="139"/>
      <c r="B1134" s="139"/>
      <c r="C1134" s="138"/>
      <c r="D1134" s="140"/>
      <c r="E1134" s="84"/>
      <c r="F1134" s="84"/>
      <c r="G1134" s="84"/>
      <c r="H1134" s="139"/>
      <c r="I1134" s="84"/>
    </row>
    <row r="1135" spans="1:9">
      <c r="A1135" s="139"/>
      <c r="B1135" s="139"/>
      <c r="C1135" s="138"/>
      <c r="D1135" s="140"/>
      <c r="E1135" s="84"/>
      <c r="F1135" s="84"/>
      <c r="G1135" s="84"/>
      <c r="H1135" s="139"/>
      <c r="I1135" s="84"/>
    </row>
    <row r="1136" spans="1:9">
      <c r="A1136" s="139"/>
      <c r="B1136" s="139"/>
      <c r="C1136" s="138"/>
      <c r="D1136" s="140"/>
      <c r="E1136" s="84"/>
      <c r="F1136" s="84"/>
      <c r="G1136" s="84"/>
      <c r="H1136" s="139"/>
      <c r="I1136" s="84"/>
    </row>
    <row r="1137" spans="1:9">
      <c r="A1137" s="139"/>
      <c r="B1137" s="139"/>
      <c r="C1137" s="138"/>
      <c r="D1137" s="140"/>
      <c r="E1137" s="84"/>
      <c r="F1137" s="84"/>
      <c r="G1137" s="84"/>
      <c r="H1137" s="139"/>
      <c r="I1137" s="84"/>
    </row>
    <row r="1138" spans="1:9">
      <c r="A1138" s="139"/>
      <c r="B1138" s="139"/>
      <c r="C1138" s="138"/>
      <c r="D1138" s="140"/>
      <c r="E1138" s="84"/>
      <c r="F1138" s="84"/>
      <c r="G1138" s="84"/>
      <c r="H1138" s="139"/>
      <c r="I1138" s="84"/>
    </row>
    <row r="1139" spans="1:9">
      <c r="A1139" s="139"/>
      <c r="B1139" s="139"/>
      <c r="C1139" s="138"/>
      <c r="D1139" s="140"/>
      <c r="E1139" s="84"/>
      <c r="F1139" s="84"/>
      <c r="G1139" s="84"/>
      <c r="H1139" s="139"/>
      <c r="I1139" s="84"/>
    </row>
    <row r="1140" spans="1:9">
      <c r="A1140" s="139"/>
      <c r="B1140" s="139"/>
      <c r="C1140" s="138"/>
      <c r="D1140" s="140"/>
      <c r="E1140" s="84"/>
      <c r="F1140" s="84"/>
      <c r="G1140" s="84"/>
      <c r="H1140" s="139"/>
      <c r="I1140" s="84"/>
    </row>
    <row r="1141" spans="1:9">
      <c r="A1141" s="139"/>
      <c r="B1141" s="139"/>
      <c r="C1141" s="138"/>
      <c r="D1141" s="140"/>
      <c r="E1141" s="84"/>
      <c r="F1141" s="84"/>
      <c r="G1141" s="84"/>
      <c r="H1141" s="139"/>
      <c r="I1141" s="84"/>
    </row>
    <row r="1142" spans="1:9">
      <c r="A1142" s="139"/>
      <c r="B1142" s="139"/>
      <c r="C1142" s="138"/>
      <c r="D1142" s="140"/>
      <c r="E1142" s="84"/>
      <c r="F1142" s="84"/>
      <c r="G1142" s="84"/>
      <c r="H1142" s="139"/>
      <c r="I1142" s="84"/>
    </row>
    <row r="1143" spans="1:9">
      <c r="A1143" s="139"/>
      <c r="B1143" s="139"/>
      <c r="C1143" s="138"/>
      <c r="D1143" s="140"/>
      <c r="E1143" s="84"/>
      <c r="F1143" s="84"/>
      <c r="G1143" s="84"/>
      <c r="H1143" s="139"/>
      <c r="I1143" s="84"/>
    </row>
    <row r="1144" spans="1:9">
      <c r="A1144" s="139"/>
      <c r="B1144" s="139"/>
      <c r="C1144" s="138"/>
      <c r="D1144" s="140"/>
      <c r="E1144" s="84"/>
      <c r="F1144" s="84"/>
      <c r="G1144" s="84"/>
      <c r="H1144" s="139"/>
      <c r="I1144" s="84"/>
    </row>
    <row r="1145" spans="1:9">
      <c r="A1145" s="139"/>
      <c r="B1145" s="139"/>
      <c r="C1145" s="138"/>
      <c r="D1145" s="140"/>
      <c r="E1145" s="84"/>
      <c r="F1145" s="84"/>
      <c r="G1145" s="84"/>
      <c r="H1145" s="139"/>
      <c r="I1145" s="84"/>
    </row>
    <row r="1146" spans="1:9">
      <c r="A1146" s="139"/>
      <c r="B1146" s="139"/>
      <c r="C1146" s="138"/>
      <c r="D1146" s="140"/>
      <c r="E1146" s="84"/>
      <c r="F1146" s="84"/>
      <c r="G1146" s="84"/>
      <c r="H1146" s="139"/>
      <c r="I1146" s="84"/>
    </row>
    <row r="1147" spans="1:9">
      <c r="A1147" s="139"/>
      <c r="B1147" s="139"/>
      <c r="C1147" s="138"/>
      <c r="D1147" s="140"/>
      <c r="E1147" s="84"/>
      <c r="F1147" s="84"/>
      <c r="G1147" s="84"/>
      <c r="H1147" s="139"/>
      <c r="I1147" s="84"/>
    </row>
    <row r="1148" spans="1:9">
      <c r="A1148" s="139"/>
      <c r="B1148" s="139"/>
      <c r="C1148" s="138"/>
      <c r="D1148" s="140"/>
      <c r="E1148" s="84"/>
      <c r="F1148" s="84"/>
      <c r="G1148" s="84"/>
      <c r="H1148" s="139"/>
      <c r="I1148" s="84"/>
    </row>
    <row r="1149" spans="1:9">
      <c r="A1149" s="139"/>
      <c r="B1149" s="139"/>
      <c r="C1149" s="138"/>
      <c r="D1149" s="140"/>
      <c r="E1149" s="84"/>
      <c r="F1149" s="84"/>
      <c r="G1149" s="84"/>
      <c r="H1149" s="139"/>
      <c r="I1149" s="84"/>
    </row>
    <row r="1150" spans="1:9">
      <c r="A1150" s="139"/>
      <c r="B1150" s="139"/>
      <c r="C1150" s="138"/>
      <c r="D1150" s="140"/>
      <c r="E1150" s="84"/>
      <c r="F1150" s="84"/>
      <c r="G1150" s="84"/>
      <c r="H1150" s="139"/>
      <c r="I1150" s="84"/>
    </row>
    <row r="1151" spans="1:9">
      <c r="A1151" s="139"/>
      <c r="B1151" s="139"/>
      <c r="C1151" s="138"/>
      <c r="D1151" s="140"/>
      <c r="E1151" s="84"/>
      <c r="F1151" s="84"/>
      <c r="G1151" s="84"/>
      <c r="H1151" s="139"/>
      <c r="I1151" s="84"/>
    </row>
    <row r="1152" spans="1:9">
      <c r="A1152" s="139"/>
      <c r="B1152" s="139"/>
      <c r="C1152" s="138"/>
      <c r="D1152" s="140"/>
      <c r="E1152" s="84"/>
      <c r="F1152" s="84"/>
      <c r="G1152" s="84"/>
      <c r="H1152" s="139"/>
      <c r="I1152" s="84"/>
    </row>
    <row r="1153" spans="1:9">
      <c r="A1153" s="139"/>
      <c r="B1153" s="139"/>
      <c r="C1153" s="138"/>
      <c r="D1153" s="140"/>
      <c r="E1153" s="84"/>
      <c r="F1153" s="84"/>
      <c r="G1153" s="84"/>
      <c r="H1153" s="139"/>
      <c r="I1153" s="84"/>
    </row>
    <row r="1154" spans="1:9">
      <c r="A1154" s="139"/>
      <c r="B1154" s="139"/>
      <c r="C1154" s="138"/>
      <c r="D1154" s="140"/>
      <c r="E1154" s="84"/>
      <c r="F1154" s="84"/>
      <c r="G1154" s="84"/>
      <c r="H1154" s="139"/>
      <c r="I1154" s="84"/>
    </row>
    <row r="1155" spans="1:9">
      <c r="A1155" s="139"/>
      <c r="B1155" s="139"/>
      <c r="C1155" s="138"/>
      <c r="D1155" s="140"/>
      <c r="E1155" s="84"/>
      <c r="F1155" s="84"/>
      <c r="G1155" s="84"/>
      <c r="H1155" s="139"/>
      <c r="I1155" s="84"/>
    </row>
    <row r="1156" spans="1:9">
      <c r="A1156" s="139"/>
      <c r="B1156" s="139"/>
      <c r="C1156" s="138"/>
      <c r="D1156" s="140"/>
      <c r="E1156" s="84"/>
      <c r="F1156" s="84"/>
      <c r="G1156" s="84"/>
      <c r="H1156" s="139"/>
      <c r="I1156" s="84"/>
    </row>
    <row r="1157" spans="1:9">
      <c r="A1157" s="139"/>
      <c r="B1157" s="139"/>
      <c r="C1157" s="138"/>
      <c r="D1157" s="140"/>
      <c r="E1157" s="84"/>
      <c r="F1157" s="84"/>
      <c r="G1157" s="84"/>
      <c r="H1157" s="139"/>
      <c r="I1157" s="84"/>
    </row>
    <row r="1158" spans="1:9">
      <c r="A1158" s="139"/>
      <c r="B1158" s="139"/>
      <c r="C1158" s="138"/>
      <c r="D1158" s="140"/>
      <c r="E1158" s="84"/>
      <c r="F1158" s="84"/>
      <c r="G1158" s="84"/>
      <c r="H1158" s="139"/>
      <c r="I1158" s="84"/>
    </row>
    <row r="1159" spans="1:9">
      <c r="A1159" s="139"/>
      <c r="B1159" s="139"/>
      <c r="C1159" s="138"/>
      <c r="D1159" s="140"/>
      <c r="E1159" s="84"/>
      <c r="F1159" s="84"/>
      <c r="G1159" s="84"/>
      <c r="H1159" s="139"/>
      <c r="I1159" s="84"/>
    </row>
    <row r="1160" spans="1:9">
      <c r="A1160" s="139"/>
      <c r="B1160" s="139"/>
      <c r="C1160" s="138"/>
      <c r="D1160" s="140"/>
      <c r="E1160" s="84"/>
      <c r="F1160" s="84"/>
      <c r="G1160" s="84"/>
      <c r="H1160" s="139"/>
      <c r="I1160" s="84"/>
    </row>
    <row r="1161" spans="1:9">
      <c r="A1161" s="139"/>
      <c r="B1161" s="139"/>
      <c r="C1161" s="138"/>
      <c r="D1161" s="140"/>
      <c r="E1161" s="84"/>
      <c r="F1161" s="84"/>
      <c r="G1161" s="84"/>
      <c r="H1161" s="139"/>
      <c r="I1161" s="84"/>
    </row>
    <row r="1162" spans="1:9">
      <c r="A1162" s="139"/>
      <c r="B1162" s="139"/>
      <c r="C1162" s="138"/>
      <c r="D1162" s="140"/>
      <c r="E1162" s="84"/>
      <c r="F1162" s="84"/>
      <c r="G1162" s="84"/>
      <c r="H1162" s="139"/>
      <c r="I1162" s="84"/>
    </row>
    <row r="1163" spans="1:9">
      <c r="A1163" s="139"/>
      <c r="B1163" s="139"/>
      <c r="C1163" s="138"/>
      <c r="D1163" s="140"/>
      <c r="E1163" s="84"/>
      <c r="F1163" s="84"/>
      <c r="G1163" s="84"/>
      <c r="H1163" s="139"/>
      <c r="I1163" s="84"/>
    </row>
    <row r="1164" spans="1:9">
      <c r="A1164" s="139"/>
      <c r="B1164" s="139"/>
      <c r="C1164" s="138"/>
      <c r="D1164" s="140"/>
      <c r="E1164" s="84"/>
      <c r="F1164" s="84"/>
      <c r="G1164" s="84"/>
      <c r="H1164" s="139"/>
      <c r="I1164" s="84"/>
    </row>
    <row r="1165" spans="1:9">
      <c r="A1165" s="139"/>
      <c r="B1165" s="139"/>
      <c r="C1165" s="138"/>
      <c r="D1165" s="140"/>
      <c r="E1165" s="84"/>
      <c r="F1165" s="84"/>
      <c r="G1165" s="84"/>
      <c r="H1165" s="139"/>
      <c r="I1165" s="84"/>
    </row>
    <row r="1166" spans="1:9">
      <c r="A1166" s="139"/>
      <c r="B1166" s="139"/>
      <c r="C1166" s="138"/>
      <c r="D1166" s="140"/>
      <c r="E1166" s="84"/>
      <c r="F1166" s="84"/>
      <c r="G1166" s="84"/>
      <c r="H1166" s="139"/>
      <c r="I1166" s="84"/>
    </row>
    <row r="1167" spans="1:9">
      <c r="A1167" s="139"/>
      <c r="B1167" s="139"/>
      <c r="C1167" s="138"/>
      <c r="D1167" s="140"/>
      <c r="E1167" s="84"/>
      <c r="F1167" s="84"/>
      <c r="G1167" s="84"/>
      <c r="H1167" s="139"/>
      <c r="I1167" s="84"/>
    </row>
    <row r="1168" spans="1:9">
      <c r="A1168" s="139"/>
      <c r="B1168" s="139"/>
      <c r="C1168" s="138"/>
      <c r="D1168" s="140"/>
      <c r="E1168" s="84"/>
      <c r="F1168" s="84"/>
      <c r="G1168" s="84"/>
      <c r="H1168" s="139"/>
      <c r="I1168" s="84"/>
    </row>
    <row r="1169" spans="1:9">
      <c r="A1169" s="139"/>
      <c r="B1169" s="139"/>
      <c r="C1169" s="138"/>
      <c r="D1169" s="140"/>
      <c r="E1169" s="84"/>
      <c r="F1169" s="84"/>
      <c r="G1169" s="84"/>
      <c r="H1169" s="139"/>
      <c r="I1169" s="84"/>
    </row>
    <row r="1170" spans="1:9">
      <c r="A1170" s="139"/>
      <c r="B1170" s="139"/>
      <c r="C1170" s="138"/>
      <c r="D1170" s="140"/>
      <c r="E1170" s="84"/>
      <c r="F1170" s="84"/>
      <c r="G1170" s="84"/>
      <c r="H1170" s="139"/>
      <c r="I1170" s="84"/>
    </row>
    <row r="1171" spans="1:9">
      <c r="A1171" s="139"/>
      <c r="B1171" s="139"/>
      <c r="C1171" s="138"/>
      <c r="D1171" s="140"/>
      <c r="E1171" s="84"/>
      <c r="F1171" s="84"/>
      <c r="G1171" s="84"/>
      <c r="H1171" s="139"/>
      <c r="I1171" s="84"/>
    </row>
    <row r="1172" spans="1:9">
      <c r="A1172" s="139"/>
      <c r="B1172" s="139"/>
      <c r="C1172" s="138"/>
      <c r="D1172" s="140"/>
      <c r="E1172" s="84"/>
      <c r="F1172" s="84"/>
      <c r="G1172" s="84"/>
      <c r="H1172" s="139"/>
      <c r="I1172" s="84"/>
    </row>
    <row r="1173" spans="1:9">
      <c r="A1173" s="139"/>
      <c r="B1173" s="139"/>
      <c r="C1173" s="138"/>
      <c r="D1173" s="140"/>
      <c r="E1173" s="84"/>
      <c r="F1173" s="84"/>
      <c r="G1173" s="84"/>
      <c r="H1173" s="139"/>
      <c r="I1173" s="84"/>
    </row>
    <row r="1174" spans="1:9">
      <c r="A1174" s="139"/>
      <c r="B1174" s="139"/>
      <c r="C1174" s="138"/>
      <c r="D1174" s="140"/>
      <c r="E1174" s="84"/>
      <c r="F1174" s="84"/>
      <c r="G1174" s="84"/>
      <c r="H1174" s="139"/>
      <c r="I1174" s="84"/>
    </row>
    <row r="1175" spans="1:9">
      <c r="A1175" s="139"/>
      <c r="B1175" s="139"/>
      <c r="C1175" s="138"/>
      <c r="D1175" s="140"/>
      <c r="E1175" s="84"/>
      <c r="F1175" s="84"/>
      <c r="G1175" s="84"/>
      <c r="H1175" s="139"/>
      <c r="I1175" s="84"/>
    </row>
    <row r="1176" spans="1:9">
      <c r="A1176" s="139"/>
      <c r="B1176" s="139"/>
      <c r="C1176" s="138"/>
      <c r="D1176" s="140"/>
      <c r="E1176" s="84"/>
      <c r="F1176" s="84"/>
      <c r="G1176" s="84"/>
      <c r="H1176" s="139"/>
      <c r="I1176" s="84"/>
    </row>
    <row r="1177" spans="1:9">
      <c r="A1177" s="139"/>
      <c r="B1177" s="139"/>
      <c r="C1177" s="138"/>
      <c r="D1177" s="140"/>
      <c r="E1177" s="84"/>
      <c r="F1177" s="84"/>
      <c r="G1177" s="84"/>
      <c r="H1177" s="139"/>
      <c r="I1177" s="84"/>
    </row>
    <row r="1178" spans="1:9">
      <c r="A1178" s="139"/>
      <c r="B1178" s="139"/>
      <c r="C1178" s="138"/>
      <c r="D1178" s="140"/>
      <c r="E1178" s="84"/>
      <c r="F1178" s="84"/>
      <c r="G1178" s="84"/>
      <c r="H1178" s="139"/>
      <c r="I1178" s="84"/>
    </row>
    <row r="1179" spans="1:9">
      <c r="A1179" s="139"/>
      <c r="B1179" s="139"/>
      <c r="C1179" s="138"/>
      <c r="D1179" s="140"/>
      <c r="E1179" s="84"/>
      <c r="F1179" s="84"/>
      <c r="G1179" s="84"/>
      <c r="H1179" s="139"/>
      <c r="I1179" s="84"/>
    </row>
    <row r="1180" spans="1:9">
      <c r="A1180" s="139"/>
      <c r="B1180" s="139"/>
      <c r="C1180" s="138"/>
      <c r="D1180" s="140"/>
      <c r="E1180" s="84"/>
      <c r="F1180" s="84"/>
      <c r="G1180" s="84"/>
      <c r="H1180" s="139"/>
      <c r="I1180" s="84"/>
    </row>
    <row r="1181" spans="1:9">
      <c r="A1181" s="139"/>
      <c r="B1181" s="139"/>
      <c r="C1181" s="138"/>
      <c r="D1181" s="140"/>
      <c r="E1181" s="84"/>
      <c r="F1181" s="84"/>
      <c r="G1181" s="84"/>
      <c r="H1181" s="139"/>
      <c r="I1181" s="84"/>
    </row>
    <row r="1182" spans="1:9">
      <c r="A1182" s="139"/>
      <c r="B1182" s="139"/>
      <c r="C1182" s="138"/>
      <c r="D1182" s="140"/>
      <c r="E1182" s="84"/>
      <c r="F1182" s="84"/>
      <c r="G1182" s="84"/>
      <c r="H1182" s="139"/>
      <c r="I1182" s="84"/>
    </row>
    <row r="1183" spans="1:9">
      <c r="A1183" s="139"/>
      <c r="B1183" s="139"/>
      <c r="C1183" s="138"/>
      <c r="D1183" s="140"/>
      <c r="E1183" s="84"/>
      <c r="F1183" s="84"/>
      <c r="G1183" s="84"/>
      <c r="H1183" s="139"/>
      <c r="I1183" s="84"/>
    </row>
    <row r="1184" spans="1:9">
      <c r="A1184" s="139"/>
      <c r="B1184" s="139"/>
      <c r="C1184" s="138"/>
      <c r="D1184" s="140"/>
      <c r="E1184" s="84"/>
      <c r="F1184" s="84"/>
      <c r="G1184" s="84"/>
      <c r="H1184" s="139"/>
      <c r="I1184" s="84"/>
    </row>
    <row r="1185" spans="1:9">
      <c r="A1185" s="139"/>
      <c r="B1185" s="139"/>
      <c r="C1185" s="138"/>
      <c r="D1185" s="140"/>
      <c r="E1185" s="84"/>
      <c r="F1185" s="84"/>
      <c r="G1185" s="84"/>
      <c r="H1185" s="139"/>
      <c r="I1185" s="84"/>
    </row>
    <row r="1186" spans="1:9">
      <c r="A1186" s="139"/>
      <c r="B1186" s="139"/>
      <c r="C1186" s="138"/>
      <c r="D1186" s="140"/>
      <c r="E1186" s="84"/>
      <c r="F1186" s="84"/>
      <c r="G1186" s="84"/>
      <c r="H1186" s="139"/>
      <c r="I1186" s="84"/>
    </row>
    <row r="1187" spans="1:9">
      <c r="A1187" s="139"/>
      <c r="B1187" s="139"/>
      <c r="C1187" s="138"/>
      <c r="D1187" s="140"/>
      <c r="E1187" s="84"/>
      <c r="F1187" s="84"/>
      <c r="G1187" s="84"/>
      <c r="H1187" s="139"/>
      <c r="I1187" s="84"/>
    </row>
    <row r="1188" spans="1:9">
      <c r="A1188" s="139"/>
      <c r="B1188" s="139"/>
      <c r="C1188" s="138"/>
      <c r="D1188" s="140"/>
      <c r="E1188" s="84"/>
      <c r="F1188" s="84"/>
      <c r="G1188" s="84"/>
      <c r="H1188" s="139"/>
      <c r="I1188" s="84"/>
    </row>
    <row r="1189" spans="1:9">
      <c r="A1189" s="139"/>
      <c r="B1189" s="139"/>
      <c r="C1189" s="138"/>
      <c r="D1189" s="140"/>
      <c r="E1189" s="84"/>
      <c r="F1189" s="84"/>
      <c r="G1189" s="84"/>
      <c r="H1189" s="139"/>
      <c r="I1189" s="84"/>
    </row>
    <row r="1190" spans="1:9">
      <c r="A1190" s="139"/>
      <c r="B1190" s="139"/>
      <c r="C1190" s="138"/>
      <c r="D1190" s="140"/>
      <c r="E1190" s="84"/>
      <c r="F1190" s="84"/>
      <c r="G1190" s="84"/>
      <c r="H1190" s="139"/>
      <c r="I1190" s="84"/>
    </row>
    <row r="1191" spans="1:9">
      <c r="A1191" s="139"/>
      <c r="B1191" s="139"/>
      <c r="C1191" s="138"/>
      <c r="D1191" s="140"/>
      <c r="E1191" s="84"/>
      <c r="F1191" s="84"/>
      <c r="G1191" s="84"/>
      <c r="H1191" s="139"/>
      <c r="I1191" s="84"/>
    </row>
    <row r="1192" spans="1:9">
      <c r="A1192" s="139"/>
      <c r="B1192" s="139"/>
      <c r="C1192" s="138"/>
      <c r="D1192" s="140"/>
      <c r="E1192" s="84"/>
      <c r="F1192" s="84"/>
      <c r="G1192" s="84"/>
      <c r="H1192" s="139"/>
      <c r="I1192" s="84"/>
    </row>
    <row r="1193" spans="1:9">
      <c r="A1193" s="139"/>
      <c r="B1193" s="139"/>
      <c r="C1193" s="138"/>
      <c r="D1193" s="140"/>
      <c r="E1193" s="84"/>
      <c r="F1193" s="84"/>
      <c r="G1193" s="84"/>
      <c r="H1193" s="139"/>
      <c r="I1193" s="84"/>
    </row>
    <row r="1194" spans="1:9">
      <c r="A1194" s="139"/>
      <c r="B1194" s="139"/>
      <c r="C1194" s="138"/>
      <c r="D1194" s="140"/>
      <c r="E1194" s="84"/>
      <c r="F1194" s="84"/>
      <c r="G1194" s="84"/>
      <c r="H1194" s="139"/>
      <c r="I1194" s="84"/>
    </row>
    <row r="1195" spans="1:9">
      <c r="A1195" s="139"/>
      <c r="B1195" s="139"/>
      <c r="C1195" s="138"/>
      <c r="D1195" s="140"/>
      <c r="E1195" s="84"/>
      <c r="F1195" s="84"/>
      <c r="G1195" s="84"/>
      <c r="H1195" s="139"/>
      <c r="I1195" s="84"/>
    </row>
    <row r="1196" spans="1:9">
      <c r="A1196" s="139"/>
      <c r="B1196" s="139"/>
      <c r="C1196" s="138"/>
      <c r="D1196" s="140"/>
      <c r="E1196" s="84"/>
      <c r="F1196" s="84"/>
      <c r="G1196" s="84"/>
      <c r="H1196" s="139"/>
      <c r="I1196" s="84"/>
    </row>
    <row r="1197" spans="1:9">
      <c r="A1197" s="139"/>
      <c r="B1197" s="139"/>
      <c r="C1197" s="138"/>
      <c r="D1197" s="140"/>
      <c r="E1197" s="84"/>
      <c r="F1197" s="84"/>
      <c r="G1197" s="84"/>
      <c r="H1197" s="139"/>
      <c r="I1197" s="84"/>
    </row>
    <row r="1198" spans="1:9">
      <c r="A1198" s="139"/>
      <c r="B1198" s="139"/>
      <c r="C1198" s="138"/>
      <c r="D1198" s="140"/>
      <c r="E1198" s="84"/>
      <c r="F1198" s="84"/>
      <c r="G1198" s="84"/>
      <c r="H1198" s="139"/>
      <c r="I1198" s="84"/>
    </row>
    <row r="1199" spans="1:9">
      <c r="A1199" s="139"/>
      <c r="B1199" s="139"/>
      <c r="C1199" s="138"/>
      <c r="D1199" s="140"/>
      <c r="E1199" s="84"/>
      <c r="F1199" s="84"/>
      <c r="G1199" s="84"/>
      <c r="H1199" s="139"/>
      <c r="I1199" s="84"/>
    </row>
    <row r="1200" spans="1:9">
      <c r="A1200" s="139"/>
      <c r="B1200" s="139"/>
      <c r="C1200" s="138"/>
      <c r="D1200" s="140"/>
      <c r="E1200" s="84"/>
      <c r="F1200" s="84"/>
      <c r="G1200" s="84"/>
      <c r="H1200" s="139"/>
      <c r="I1200" s="84"/>
    </row>
    <row r="1201" spans="1:9">
      <c r="A1201" s="139"/>
      <c r="B1201" s="139"/>
      <c r="C1201" s="138"/>
      <c r="D1201" s="140"/>
      <c r="E1201" s="84"/>
      <c r="F1201" s="84"/>
      <c r="G1201" s="84"/>
      <c r="H1201" s="139"/>
      <c r="I1201" s="84"/>
    </row>
    <row r="1202" spans="1:9">
      <c r="A1202" s="139"/>
      <c r="B1202" s="139"/>
      <c r="C1202" s="138"/>
      <c r="D1202" s="140"/>
      <c r="E1202" s="84"/>
      <c r="F1202" s="84"/>
      <c r="G1202" s="84"/>
      <c r="H1202" s="139"/>
      <c r="I1202" s="84"/>
    </row>
    <row r="1203" spans="1:9">
      <c r="A1203" s="139"/>
      <c r="B1203" s="139"/>
      <c r="C1203" s="138"/>
      <c r="D1203" s="140"/>
      <c r="E1203" s="84"/>
      <c r="F1203" s="84"/>
      <c r="G1203" s="84"/>
      <c r="H1203" s="139"/>
      <c r="I1203" s="84"/>
    </row>
    <row r="1204" spans="1:9">
      <c r="A1204" s="139"/>
      <c r="B1204" s="139"/>
      <c r="C1204" s="138"/>
      <c r="D1204" s="140"/>
      <c r="E1204" s="84"/>
      <c r="F1204" s="84"/>
      <c r="G1204" s="84"/>
      <c r="H1204" s="139"/>
      <c r="I1204" s="84"/>
    </row>
    <row r="1205" spans="1:9">
      <c r="A1205" s="139"/>
      <c r="B1205" s="139"/>
      <c r="C1205" s="138"/>
      <c r="D1205" s="140"/>
      <c r="E1205" s="84"/>
      <c r="F1205" s="84"/>
      <c r="G1205" s="84"/>
      <c r="H1205" s="139"/>
      <c r="I1205" s="84"/>
    </row>
    <row r="1206" spans="1:9">
      <c r="A1206" s="139"/>
      <c r="B1206" s="139"/>
      <c r="C1206" s="138"/>
      <c r="D1206" s="140"/>
      <c r="E1206" s="84"/>
      <c r="F1206" s="84"/>
      <c r="G1206" s="84"/>
      <c r="H1206" s="139"/>
      <c r="I1206" s="84"/>
    </row>
    <row r="1207" spans="1:9">
      <c r="A1207" s="139"/>
      <c r="B1207" s="139"/>
      <c r="C1207" s="138"/>
      <c r="D1207" s="140"/>
      <c r="E1207" s="84"/>
      <c r="F1207" s="84"/>
      <c r="G1207" s="84"/>
      <c r="H1207" s="139"/>
      <c r="I1207" s="84"/>
    </row>
    <row r="1208" spans="1:9">
      <c r="A1208" s="139"/>
      <c r="B1208" s="139"/>
      <c r="C1208" s="138"/>
      <c r="D1208" s="140"/>
      <c r="E1208" s="84"/>
      <c r="F1208" s="84"/>
      <c r="G1208" s="84"/>
      <c r="H1208" s="139"/>
      <c r="I1208" s="84"/>
    </row>
    <row r="1209" spans="1:9">
      <c r="A1209" s="139"/>
      <c r="B1209" s="139"/>
      <c r="C1209" s="138"/>
      <c r="D1209" s="140"/>
      <c r="E1209" s="84"/>
      <c r="F1209" s="84"/>
      <c r="G1209" s="84"/>
      <c r="H1209" s="139"/>
      <c r="I1209" s="84"/>
    </row>
    <row r="1210" spans="1:9">
      <c r="A1210" s="139"/>
      <c r="B1210" s="139"/>
      <c r="C1210" s="138"/>
      <c r="D1210" s="140"/>
      <c r="E1210" s="84"/>
      <c r="F1210" s="84"/>
      <c r="G1210" s="84"/>
      <c r="H1210" s="139"/>
      <c r="I1210" s="84"/>
    </row>
    <row r="1211" spans="1:9">
      <c r="A1211" s="139"/>
      <c r="B1211" s="139"/>
      <c r="C1211" s="138"/>
      <c r="D1211" s="140"/>
      <c r="E1211" s="84"/>
      <c r="F1211" s="84"/>
      <c r="G1211" s="84"/>
      <c r="H1211" s="139"/>
      <c r="I1211" s="84"/>
    </row>
    <row r="1212" spans="1:9">
      <c r="A1212" s="139"/>
      <c r="B1212" s="139"/>
      <c r="C1212" s="138"/>
      <c r="D1212" s="140"/>
      <c r="E1212" s="84"/>
      <c r="F1212" s="84"/>
      <c r="G1212" s="84"/>
      <c r="H1212" s="139"/>
      <c r="I1212" s="84"/>
    </row>
    <row r="1213" spans="1:9">
      <c r="A1213" s="139"/>
      <c r="B1213" s="139"/>
      <c r="C1213" s="138"/>
      <c r="D1213" s="140"/>
      <c r="E1213" s="84"/>
      <c r="F1213" s="84"/>
      <c r="G1213" s="84"/>
      <c r="H1213" s="139"/>
      <c r="I1213" s="84"/>
    </row>
    <row r="1214" spans="1:9">
      <c r="A1214" s="139"/>
      <c r="B1214" s="139"/>
      <c r="C1214" s="138"/>
      <c r="D1214" s="140"/>
      <c r="E1214" s="84"/>
      <c r="F1214" s="84"/>
      <c r="G1214" s="84"/>
      <c r="H1214" s="139"/>
      <c r="I1214" s="84"/>
    </row>
    <row r="1215" spans="1:9">
      <c r="A1215" s="139"/>
      <c r="B1215" s="139"/>
      <c r="C1215" s="138"/>
      <c r="D1215" s="140"/>
      <c r="E1215" s="84"/>
      <c r="F1215" s="84"/>
      <c r="G1215" s="84"/>
      <c r="H1215" s="139"/>
      <c r="I1215" s="84"/>
    </row>
    <row r="1216" spans="1:9">
      <c r="A1216" s="139"/>
      <c r="B1216" s="139"/>
      <c r="C1216" s="138"/>
      <c r="D1216" s="140"/>
      <c r="E1216" s="84"/>
      <c r="F1216" s="84"/>
      <c r="G1216" s="84"/>
      <c r="H1216" s="139"/>
      <c r="I1216" s="84"/>
    </row>
    <row r="1217" spans="1:9">
      <c r="A1217" s="139"/>
      <c r="B1217" s="139"/>
      <c r="C1217" s="138"/>
      <c r="D1217" s="140"/>
      <c r="E1217" s="84"/>
      <c r="F1217" s="84"/>
      <c r="G1217" s="84"/>
      <c r="H1217" s="139"/>
      <c r="I1217" s="84"/>
    </row>
    <row r="1218" spans="1:9">
      <c r="A1218" s="139"/>
      <c r="B1218" s="139"/>
      <c r="C1218" s="138"/>
      <c r="D1218" s="140"/>
      <c r="E1218" s="84"/>
      <c r="F1218" s="84"/>
      <c r="G1218" s="84"/>
      <c r="H1218" s="139"/>
      <c r="I1218" s="84"/>
    </row>
    <row r="1219" spans="1:9">
      <c r="A1219" s="139"/>
      <c r="B1219" s="139"/>
      <c r="C1219" s="138"/>
      <c r="D1219" s="140"/>
      <c r="E1219" s="84"/>
      <c r="F1219" s="84"/>
      <c r="G1219" s="84"/>
      <c r="H1219" s="139"/>
      <c r="I1219" s="84"/>
    </row>
    <row r="1220" spans="1:9">
      <c r="A1220" s="139"/>
      <c r="B1220" s="139"/>
      <c r="C1220" s="138"/>
      <c r="D1220" s="140"/>
      <c r="E1220" s="84"/>
      <c r="F1220" s="84"/>
      <c r="G1220" s="84"/>
      <c r="H1220" s="139"/>
      <c r="I1220" s="84"/>
    </row>
    <row r="1221" spans="1:9">
      <c r="A1221" s="139"/>
      <c r="B1221" s="139"/>
      <c r="C1221" s="138"/>
      <c r="D1221" s="140"/>
      <c r="E1221" s="84"/>
      <c r="F1221" s="84"/>
      <c r="G1221" s="84"/>
      <c r="H1221" s="139"/>
      <c r="I1221" s="84"/>
    </row>
    <row r="1222" spans="1:9">
      <c r="A1222" s="139"/>
      <c r="B1222" s="139"/>
      <c r="C1222" s="138"/>
      <c r="D1222" s="140"/>
      <c r="E1222" s="84"/>
      <c r="F1222" s="84"/>
      <c r="G1222" s="84"/>
      <c r="H1222" s="139"/>
      <c r="I1222" s="84"/>
    </row>
    <row r="1223" spans="1:9">
      <c r="A1223" s="139"/>
      <c r="B1223" s="139"/>
      <c r="C1223" s="138"/>
      <c r="D1223" s="140"/>
      <c r="E1223" s="84"/>
      <c r="F1223" s="84"/>
      <c r="G1223" s="84"/>
      <c r="H1223" s="139"/>
      <c r="I1223" s="84"/>
    </row>
    <row r="1224" spans="1:9">
      <c r="A1224" s="139"/>
      <c r="B1224" s="139"/>
      <c r="C1224" s="138"/>
      <c r="D1224" s="140"/>
      <c r="E1224" s="84"/>
      <c r="F1224" s="84"/>
      <c r="G1224" s="84"/>
      <c r="H1224" s="139"/>
      <c r="I1224" s="84"/>
    </row>
    <row r="1225" spans="1:9">
      <c r="A1225" s="139"/>
      <c r="B1225" s="139"/>
      <c r="C1225" s="138"/>
      <c r="D1225" s="140"/>
      <c r="E1225" s="84"/>
      <c r="F1225" s="84"/>
      <c r="G1225" s="84"/>
      <c r="H1225" s="139"/>
      <c r="I1225" s="84"/>
    </row>
    <row r="1226" spans="1:9">
      <c r="A1226" s="139"/>
      <c r="B1226" s="139"/>
      <c r="C1226" s="138"/>
      <c r="D1226" s="140"/>
      <c r="E1226" s="84"/>
      <c r="F1226" s="84"/>
      <c r="G1226" s="84"/>
      <c r="H1226" s="139"/>
      <c r="I1226" s="84"/>
    </row>
    <row r="1227" spans="1:9">
      <c r="A1227" s="139"/>
      <c r="B1227" s="139"/>
      <c r="C1227" s="138"/>
      <c r="D1227" s="140"/>
      <c r="E1227" s="84"/>
      <c r="F1227" s="84"/>
      <c r="G1227" s="84"/>
      <c r="H1227" s="139"/>
      <c r="I1227" s="84"/>
    </row>
    <row r="1228" spans="1:9">
      <c r="A1228" s="139"/>
      <c r="B1228" s="139"/>
      <c r="C1228" s="138"/>
      <c r="D1228" s="140"/>
      <c r="E1228" s="84"/>
      <c r="F1228" s="84"/>
      <c r="G1228" s="84"/>
      <c r="H1228" s="139"/>
      <c r="I1228" s="84"/>
    </row>
    <row r="1229" spans="1:9">
      <c r="A1229" s="139"/>
      <c r="B1229" s="139"/>
      <c r="C1229" s="138"/>
      <c r="D1229" s="140"/>
      <c r="E1229" s="84"/>
      <c r="F1229" s="84"/>
      <c r="G1229" s="84"/>
      <c r="H1229" s="139"/>
      <c r="I1229" s="84"/>
    </row>
    <row r="1230" spans="1:9">
      <c r="A1230" s="139"/>
      <c r="B1230" s="139"/>
      <c r="C1230" s="138"/>
      <c r="D1230" s="140"/>
      <c r="E1230" s="84"/>
      <c r="F1230" s="84"/>
      <c r="G1230" s="84"/>
      <c r="H1230" s="139"/>
      <c r="I1230" s="84"/>
    </row>
    <row r="1231" spans="1:9">
      <c r="A1231" s="139"/>
      <c r="B1231" s="139"/>
      <c r="C1231" s="138"/>
      <c r="D1231" s="140"/>
      <c r="E1231" s="84"/>
      <c r="F1231" s="84"/>
      <c r="G1231" s="84"/>
      <c r="H1231" s="139"/>
      <c r="I1231" s="84"/>
    </row>
    <row r="1232" spans="1:9">
      <c r="A1232" s="139"/>
      <c r="B1232" s="139"/>
      <c r="C1232" s="138"/>
      <c r="D1232" s="140"/>
      <c r="E1232" s="84"/>
      <c r="F1232" s="84"/>
      <c r="G1232" s="84"/>
      <c r="H1232" s="139"/>
      <c r="I1232" s="84"/>
    </row>
    <row r="1233" spans="1:9">
      <c r="A1233" s="139"/>
      <c r="B1233" s="139"/>
      <c r="C1233" s="138"/>
      <c r="D1233" s="140"/>
      <c r="E1233" s="84"/>
      <c r="F1233" s="84"/>
      <c r="G1233" s="84"/>
      <c r="H1233" s="139"/>
      <c r="I1233" s="84"/>
    </row>
    <row r="1234" spans="1:9">
      <c r="A1234" s="139"/>
      <c r="B1234" s="139"/>
      <c r="C1234" s="138"/>
      <c r="D1234" s="140"/>
      <c r="E1234" s="84"/>
      <c r="F1234" s="84"/>
      <c r="G1234" s="84"/>
      <c r="H1234" s="139"/>
      <c r="I1234" s="84"/>
    </row>
    <row r="1235" spans="1:9">
      <c r="A1235" s="139"/>
      <c r="B1235" s="139"/>
      <c r="C1235" s="138"/>
      <c r="D1235" s="140"/>
      <c r="E1235" s="84"/>
      <c r="F1235" s="84"/>
      <c r="G1235" s="84"/>
      <c r="H1235" s="139"/>
      <c r="I1235" s="84"/>
    </row>
    <row r="1236" spans="1:9">
      <c r="A1236" s="139"/>
      <c r="B1236" s="139"/>
      <c r="C1236" s="138"/>
      <c r="D1236" s="140"/>
      <c r="E1236" s="84"/>
      <c r="F1236" s="84"/>
      <c r="G1236" s="84"/>
      <c r="H1236" s="139"/>
      <c r="I1236" s="84"/>
    </row>
    <row r="1237" spans="1:9">
      <c r="A1237" s="139"/>
      <c r="B1237" s="139"/>
      <c r="C1237" s="138"/>
      <c r="D1237" s="140"/>
      <c r="E1237" s="84"/>
      <c r="F1237" s="84"/>
      <c r="G1237" s="84"/>
      <c r="H1237" s="139"/>
      <c r="I1237" s="84"/>
    </row>
    <row r="1238" spans="1:9">
      <c r="A1238" s="139"/>
      <c r="B1238" s="139"/>
      <c r="C1238" s="138"/>
      <c r="D1238" s="140"/>
      <c r="E1238" s="84"/>
      <c r="F1238" s="84"/>
      <c r="G1238" s="84"/>
      <c r="H1238" s="139"/>
      <c r="I1238" s="84"/>
    </row>
    <row r="1239" spans="1:9">
      <c r="A1239" s="139"/>
      <c r="B1239" s="139"/>
      <c r="C1239" s="138"/>
      <c r="D1239" s="140"/>
      <c r="E1239" s="84"/>
      <c r="F1239" s="84"/>
      <c r="G1239" s="84"/>
      <c r="H1239" s="139"/>
      <c r="I1239" s="84"/>
    </row>
    <row r="1240" spans="1:9">
      <c r="A1240" s="139"/>
      <c r="B1240" s="139"/>
      <c r="C1240" s="138"/>
      <c r="D1240" s="140"/>
      <c r="E1240" s="84"/>
      <c r="F1240" s="84"/>
      <c r="G1240" s="84"/>
      <c r="H1240" s="139"/>
      <c r="I1240" s="84"/>
    </row>
    <row r="1241" spans="1:9">
      <c r="A1241" s="139"/>
      <c r="B1241" s="139"/>
      <c r="C1241" s="138"/>
      <c r="D1241" s="140"/>
      <c r="E1241" s="84"/>
      <c r="F1241" s="84"/>
      <c r="G1241" s="84"/>
      <c r="H1241" s="139"/>
      <c r="I1241" s="84"/>
    </row>
    <row r="1242" spans="1:9">
      <c r="A1242" s="139"/>
      <c r="B1242" s="139"/>
      <c r="C1242" s="138"/>
      <c r="D1242" s="140"/>
      <c r="E1242" s="84"/>
      <c r="F1242" s="84"/>
      <c r="G1242" s="84"/>
      <c r="H1242" s="139"/>
      <c r="I1242" s="84"/>
    </row>
    <row r="1243" spans="1:9">
      <c r="A1243" s="139"/>
      <c r="B1243" s="139"/>
      <c r="C1243" s="138"/>
      <c r="D1243" s="140"/>
      <c r="E1243" s="84"/>
      <c r="F1243" s="84"/>
      <c r="G1243" s="84"/>
      <c r="H1243" s="139"/>
      <c r="I1243" s="84"/>
    </row>
    <row r="1244" spans="1:9">
      <c r="A1244" s="139"/>
      <c r="B1244" s="139"/>
      <c r="C1244" s="138"/>
      <c r="D1244" s="140"/>
      <c r="E1244" s="84"/>
      <c r="F1244" s="84"/>
      <c r="G1244" s="84"/>
      <c r="H1244" s="139"/>
      <c r="I1244" s="84"/>
    </row>
    <row r="1245" spans="1:9">
      <c r="A1245" s="139"/>
      <c r="B1245" s="139"/>
      <c r="C1245" s="138"/>
      <c r="D1245" s="140"/>
      <c r="E1245" s="84"/>
      <c r="F1245" s="84"/>
      <c r="G1245" s="84"/>
      <c r="H1245" s="139"/>
      <c r="I1245" s="84"/>
    </row>
    <row r="1246" spans="1:9">
      <c r="A1246" s="139"/>
      <c r="B1246" s="139"/>
      <c r="C1246" s="138"/>
      <c r="D1246" s="140"/>
      <c r="E1246" s="84"/>
      <c r="F1246" s="84"/>
      <c r="G1246" s="84"/>
      <c r="H1246" s="139"/>
      <c r="I1246" s="84"/>
    </row>
    <row r="1247" spans="1:9">
      <c r="A1247" s="139"/>
      <c r="B1247" s="139"/>
      <c r="C1247" s="138"/>
      <c r="D1247" s="140"/>
      <c r="E1247" s="84"/>
      <c r="F1247" s="84"/>
      <c r="G1247" s="84"/>
      <c r="H1247" s="139"/>
      <c r="I1247" s="84"/>
    </row>
    <row r="1248" spans="1:9">
      <c r="A1248" s="139"/>
      <c r="B1248" s="139"/>
      <c r="C1248" s="138"/>
      <c r="D1248" s="140"/>
      <c r="E1248" s="84"/>
      <c r="F1248" s="84"/>
      <c r="G1248" s="84"/>
      <c r="H1248" s="139"/>
      <c r="I1248" s="84"/>
    </row>
    <row r="1249" spans="1:9">
      <c r="A1249" s="139"/>
      <c r="B1249" s="139"/>
      <c r="C1249" s="138"/>
      <c r="D1249" s="140"/>
      <c r="E1249" s="84"/>
      <c r="F1249" s="84"/>
      <c r="G1249" s="84"/>
      <c r="H1249" s="139"/>
      <c r="I1249" s="84"/>
    </row>
    <row r="1250" spans="1:9">
      <c r="A1250" s="139"/>
      <c r="B1250" s="139"/>
      <c r="C1250" s="138"/>
      <c r="D1250" s="140"/>
      <c r="E1250" s="84"/>
      <c r="F1250" s="84"/>
      <c r="G1250" s="84"/>
      <c r="H1250" s="139"/>
      <c r="I1250" s="84"/>
    </row>
    <row r="1251" spans="1:9">
      <c r="A1251" s="139"/>
      <c r="B1251" s="139"/>
      <c r="C1251" s="138"/>
      <c r="D1251" s="140"/>
      <c r="E1251" s="84"/>
      <c r="F1251" s="84"/>
      <c r="G1251" s="84"/>
      <c r="H1251" s="139"/>
      <c r="I1251" s="84"/>
    </row>
    <row r="1252" spans="1:9">
      <c r="A1252" s="139"/>
      <c r="B1252" s="139"/>
      <c r="C1252" s="138"/>
      <c r="D1252" s="140"/>
      <c r="E1252" s="84"/>
      <c r="F1252" s="84"/>
      <c r="G1252" s="84"/>
      <c r="H1252" s="139"/>
      <c r="I1252" s="84"/>
    </row>
    <row r="1253" spans="1:9">
      <c r="A1253" s="139"/>
      <c r="B1253" s="139"/>
      <c r="C1253" s="138"/>
      <c r="D1253" s="140"/>
      <c r="E1253" s="84"/>
      <c r="F1253" s="84"/>
      <c r="G1253" s="84"/>
      <c r="H1253" s="139"/>
      <c r="I1253" s="84"/>
    </row>
    <row r="1254" spans="1:9">
      <c r="A1254" s="139"/>
      <c r="B1254" s="139"/>
      <c r="C1254" s="138"/>
      <c r="D1254" s="140"/>
      <c r="E1254" s="84"/>
      <c r="F1254" s="84"/>
      <c r="G1254" s="84"/>
      <c r="H1254" s="139"/>
      <c r="I1254" s="84"/>
    </row>
    <row r="1255" spans="1:9">
      <c r="A1255" s="139"/>
      <c r="B1255" s="139"/>
      <c r="C1255" s="138"/>
      <c r="D1255" s="140"/>
      <c r="E1255" s="84"/>
      <c r="F1255" s="84"/>
      <c r="G1255" s="84"/>
      <c r="H1255" s="139"/>
      <c r="I1255" s="84"/>
    </row>
    <row r="1256" spans="1:9">
      <c r="A1256" s="139"/>
      <c r="B1256" s="139"/>
      <c r="C1256" s="138"/>
      <c r="D1256" s="140"/>
      <c r="E1256" s="84"/>
      <c r="F1256" s="84"/>
      <c r="G1256" s="84"/>
      <c r="H1256" s="139"/>
      <c r="I1256" s="84"/>
    </row>
    <row r="1257" spans="1:9">
      <c r="A1257" s="139"/>
      <c r="B1257" s="139"/>
      <c r="C1257" s="138"/>
      <c r="D1257" s="140"/>
      <c r="E1257" s="84"/>
      <c r="F1257" s="84"/>
      <c r="G1257" s="84"/>
      <c r="H1257" s="139"/>
      <c r="I1257" s="84"/>
    </row>
    <row r="1258" spans="1:9">
      <c r="A1258" s="139"/>
      <c r="B1258" s="139"/>
      <c r="C1258" s="138"/>
      <c r="D1258" s="140"/>
      <c r="E1258" s="84"/>
      <c r="F1258" s="84"/>
      <c r="G1258" s="84"/>
      <c r="H1258" s="139"/>
      <c r="I1258" s="84"/>
    </row>
    <row r="1259" spans="1:9">
      <c r="A1259" s="139"/>
      <c r="B1259" s="139"/>
      <c r="C1259" s="138"/>
      <c r="D1259" s="140"/>
      <c r="E1259" s="84"/>
      <c r="F1259" s="84"/>
      <c r="G1259" s="84"/>
      <c r="H1259" s="139"/>
      <c r="I1259" s="84"/>
    </row>
    <row r="1260" spans="1:9">
      <c r="A1260" s="139"/>
      <c r="B1260" s="139"/>
      <c r="C1260" s="138"/>
      <c r="D1260" s="140"/>
      <c r="E1260" s="84"/>
      <c r="F1260" s="84"/>
      <c r="G1260" s="84"/>
      <c r="H1260" s="139"/>
      <c r="I1260" s="84"/>
    </row>
    <row r="1261" spans="1:9">
      <c r="A1261" s="139"/>
      <c r="B1261" s="139"/>
      <c r="C1261" s="138"/>
      <c r="D1261" s="140"/>
      <c r="E1261" s="84"/>
      <c r="F1261" s="84"/>
      <c r="G1261" s="84"/>
      <c r="H1261" s="139"/>
      <c r="I1261" s="84"/>
    </row>
    <row r="1262" spans="1:9">
      <c r="A1262" s="139"/>
      <c r="B1262" s="139"/>
      <c r="C1262" s="138"/>
      <c r="D1262" s="140"/>
      <c r="E1262" s="84"/>
      <c r="F1262" s="84"/>
      <c r="G1262" s="84"/>
      <c r="H1262" s="139"/>
      <c r="I1262" s="84"/>
    </row>
    <row r="1263" spans="1:9">
      <c r="A1263" s="139"/>
      <c r="B1263" s="139"/>
      <c r="C1263" s="138"/>
      <c r="D1263" s="140"/>
      <c r="E1263" s="84"/>
      <c r="F1263" s="84"/>
      <c r="G1263" s="84"/>
      <c r="H1263" s="139"/>
      <c r="I1263" s="84"/>
    </row>
    <row r="1264" spans="1:9">
      <c r="A1264" s="139"/>
      <c r="B1264" s="139"/>
      <c r="C1264" s="138"/>
      <c r="D1264" s="140"/>
      <c r="E1264" s="84"/>
      <c r="F1264" s="84"/>
      <c r="G1264" s="84"/>
      <c r="H1264" s="139"/>
      <c r="I1264" s="84"/>
    </row>
    <row r="1265" spans="1:9">
      <c r="A1265" s="139"/>
      <c r="B1265" s="139"/>
      <c r="C1265" s="138"/>
      <c r="D1265" s="140"/>
      <c r="E1265" s="84"/>
      <c r="F1265" s="84"/>
      <c r="G1265" s="84"/>
      <c r="H1265" s="139"/>
      <c r="I1265" s="84"/>
    </row>
    <row r="1266" spans="1:9">
      <c r="A1266" s="139"/>
      <c r="B1266" s="139"/>
      <c r="C1266" s="138"/>
      <c r="D1266" s="140"/>
      <c r="E1266" s="84"/>
      <c r="F1266" s="84"/>
      <c r="G1266" s="84"/>
      <c r="H1266" s="139"/>
      <c r="I1266" s="84"/>
    </row>
    <row r="1267" spans="1:9">
      <c r="A1267" s="139"/>
      <c r="B1267" s="139"/>
      <c r="C1267" s="138"/>
      <c r="D1267" s="140"/>
      <c r="E1267" s="84"/>
      <c r="F1267" s="84"/>
      <c r="G1267" s="84"/>
      <c r="H1267" s="139"/>
      <c r="I1267" s="84"/>
    </row>
    <row r="1268" spans="1:9">
      <c r="A1268" s="139"/>
      <c r="B1268" s="139"/>
      <c r="C1268" s="138"/>
      <c r="D1268" s="140"/>
      <c r="E1268" s="84"/>
      <c r="F1268" s="84"/>
      <c r="G1268" s="84"/>
      <c r="H1268" s="139"/>
      <c r="I1268" s="84"/>
    </row>
    <row r="1269" spans="1:9">
      <c r="A1269" s="139"/>
      <c r="B1269" s="139"/>
      <c r="C1269" s="138"/>
      <c r="D1269" s="140"/>
      <c r="E1269" s="84"/>
      <c r="F1269" s="84"/>
      <c r="G1269" s="84"/>
      <c r="H1269" s="139"/>
      <c r="I1269" s="84"/>
    </row>
    <row r="1270" spans="1:9">
      <c r="A1270" s="139"/>
      <c r="B1270" s="139"/>
      <c r="C1270" s="138"/>
      <c r="D1270" s="140"/>
      <c r="E1270" s="84"/>
      <c r="F1270" s="84"/>
      <c r="G1270" s="84"/>
      <c r="H1270" s="139"/>
      <c r="I1270" s="84"/>
    </row>
    <row r="1271" spans="1:9">
      <c r="A1271" s="139"/>
      <c r="B1271" s="139"/>
      <c r="C1271" s="138"/>
      <c r="D1271" s="140"/>
      <c r="E1271" s="84"/>
      <c r="F1271" s="84"/>
      <c r="G1271" s="84"/>
      <c r="H1271" s="139"/>
      <c r="I1271" s="84"/>
    </row>
    <row r="1272" spans="1:9">
      <c r="A1272" s="139"/>
      <c r="B1272" s="139"/>
      <c r="C1272" s="138"/>
      <c r="D1272" s="140"/>
      <c r="E1272" s="84"/>
      <c r="F1272" s="84"/>
      <c r="G1272" s="84"/>
      <c r="H1272" s="139"/>
      <c r="I1272" s="84"/>
    </row>
    <row r="1273" spans="1:9">
      <c r="A1273" s="139"/>
      <c r="B1273" s="139"/>
      <c r="C1273" s="138"/>
      <c r="D1273" s="140"/>
      <c r="E1273" s="84"/>
      <c r="F1273" s="84"/>
      <c r="G1273" s="84"/>
      <c r="H1273" s="139"/>
      <c r="I1273" s="84"/>
    </row>
    <row r="1274" spans="1:9">
      <c r="A1274" s="139"/>
      <c r="B1274" s="139"/>
      <c r="C1274" s="138"/>
      <c r="D1274" s="140"/>
      <c r="E1274" s="84"/>
      <c r="F1274" s="84"/>
      <c r="G1274" s="84"/>
      <c r="H1274" s="139"/>
      <c r="I1274" s="84"/>
    </row>
    <row r="1275" spans="1:9">
      <c r="A1275" s="139"/>
      <c r="B1275" s="139"/>
      <c r="C1275" s="138"/>
      <c r="D1275" s="140"/>
      <c r="E1275" s="84"/>
      <c r="F1275" s="84"/>
      <c r="G1275" s="84"/>
      <c r="H1275" s="139"/>
      <c r="I1275" s="84"/>
    </row>
    <row r="1276" spans="1:9">
      <c r="A1276" s="139"/>
      <c r="B1276" s="139"/>
      <c r="C1276" s="138"/>
      <c r="D1276" s="140"/>
      <c r="E1276" s="84"/>
      <c r="F1276" s="84"/>
      <c r="G1276" s="84"/>
      <c r="H1276" s="139"/>
      <c r="I1276" s="84"/>
    </row>
    <row r="1277" spans="1:9">
      <c r="A1277" s="139"/>
      <c r="B1277" s="139"/>
      <c r="C1277" s="138"/>
      <c r="D1277" s="140"/>
      <c r="E1277" s="84"/>
      <c r="F1277" s="84"/>
      <c r="G1277" s="84"/>
      <c r="H1277" s="139"/>
      <c r="I1277" s="84"/>
    </row>
    <row r="1278" spans="1:9">
      <c r="A1278" s="139"/>
      <c r="B1278" s="139"/>
      <c r="C1278" s="138"/>
      <c r="D1278" s="140"/>
      <c r="E1278" s="84"/>
      <c r="F1278" s="84"/>
      <c r="G1278" s="84"/>
      <c r="H1278" s="139"/>
      <c r="I1278" s="84"/>
    </row>
    <row r="1279" spans="1:9">
      <c r="A1279" s="139"/>
      <c r="B1279" s="139"/>
      <c r="C1279" s="138"/>
      <c r="D1279" s="140"/>
      <c r="E1279" s="84"/>
      <c r="F1279" s="84"/>
      <c r="G1279" s="84"/>
      <c r="H1279" s="139"/>
      <c r="I1279" s="84"/>
    </row>
    <row r="1280" spans="1:9">
      <c r="A1280" s="139"/>
      <c r="B1280" s="139"/>
      <c r="C1280" s="138"/>
      <c r="D1280" s="140"/>
      <c r="E1280" s="84"/>
      <c r="F1280" s="84"/>
      <c r="G1280" s="84"/>
      <c r="H1280" s="139"/>
      <c r="I1280" s="84"/>
    </row>
    <row r="1281" spans="1:9">
      <c r="A1281" s="139"/>
      <c r="B1281" s="139"/>
      <c r="C1281" s="138"/>
      <c r="D1281" s="140"/>
      <c r="E1281" s="84"/>
      <c r="F1281" s="84"/>
      <c r="G1281" s="84"/>
      <c r="H1281" s="139"/>
      <c r="I1281" s="84"/>
    </row>
    <row r="1282" spans="1:9">
      <c r="A1282" s="139"/>
      <c r="B1282" s="139"/>
      <c r="C1282" s="138"/>
      <c r="D1282" s="140"/>
      <c r="E1282" s="84"/>
      <c r="F1282" s="84"/>
      <c r="G1282" s="84"/>
      <c r="H1282" s="139"/>
      <c r="I1282" s="84"/>
    </row>
    <row r="1283" spans="1:9">
      <c r="A1283" s="139"/>
      <c r="B1283" s="139"/>
      <c r="C1283" s="138"/>
      <c r="D1283" s="140"/>
      <c r="E1283" s="84"/>
      <c r="F1283" s="84"/>
      <c r="G1283" s="84"/>
      <c r="H1283" s="139"/>
      <c r="I1283" s="84"/>
    </row>
    <row r="1284" spans="1:9">
      <c r="A1284" s="139"/>
      <c r="B1284" s="139"/>
      <c r="C1284" s="138"/>
      <c r="D1284" s="140"/>
      <c r="E1284" s="84"/>
      <c r="F1284" s="84"/>
      <c r="G1284" s="84"/>
      <c r="H1284" s="139"/>
      <c r="I1284" s="84"/>
    </row>
    <row r="1285" spans="1:9">
      <c r="A1285" s="139"/>
      <c r="B1285" s="139"/>
      <c r="C1285" s="138"/>
      <c r="D1285" s="140"/>
      <c r="E1285" s="84"/>
      <c r="F1285" s="84"/>
      <c r="G1285" s="84"/>
      <c r="H1285" s="139"/>
      <c r="I1285" s="84"/>
    </row>
    <row r="1286" spans="1:9">
      <c r="A1286" s="139"/>
      <c r="B1286" s="139"/>
      <c r="C1286" s="138"/>
      <c r="D1286" s="140"/>
      <c r="E1286" s="84"/>
      <c r="F1286" s="84"/>
      <c r="G1286" s="84"/>
      <c r="H1286" s="139"/>
      <c r="I1286" s="84"/>
    </row>
    <row r="1287" spans="1:9">
      <c r="A1287" s="139"/>
      <c r="B1287" s="139"/>
      <c r="C1287" s="138"/>
      <c r="D1287" s="140"/>
      <c r="E1287" s="84"/>
      <c r="F1287" s="84"/>
      <c r="G1287" s="84"/>
      <c r="H1287" s="139"/>
      <c r="I1287" s="84"/>
    </row>
    <row r="1288" spans="1:9">
      <c r="A1288" s="139"/>
      <c r="B1288" s="139"/>
      <c r="C1288" s="138"/>
      <c r="D1288" s="140"/>
      <c r="E1288" s="84"/>
      <c r="F1288" s="84"/>
      <c r="G1288" s="84"/>
      <c r="H1288" s="139"/>
      <c r="I1288" s="84"/>
    </row>
    <row r="1289" spans="1:9">
      <c r="A1289" s="139"/>
      <c r="B1289" s="139"/>
      <c r="C1289" s="138"/>
      <c r="D1289" s="140"/>
      <c r="E1289" s="84"/>
      <c r="F1289" s="84"/>
      <c r="G1289" s="84"/>
      <c r="H1289" s="139"/>
      <c r="I1289" s="84"/>
    </row>
    <row r="1290" spans="1:9">
      <c r="A1290" s="139"/>
      <c r="B1290" s="139"/>
      <c r="C1290" s="138"/>
      <c r="D1290" s="140"/>
      <c r="E1290" s="84"/>
      <c r="F1290" s="84"/>
      <c r="G1290" s="84"/>
      <c r="H1290" s="139"/>
      <c r="I1290" s="84"/>
    </row>
    <row r="1291" spans="1:9">
      <c r="A1291" s="139"/>
      <c r="B1291" s="139"/>
      <c r="C1291" s="138"/>
      <c r="D1291" s="140"/>
      <c r="E1291" s="84"/>
      <c r="F1291" s="84"/>
      <c r="G1291" s="84"/>
      <c r="H1291" s="139"/>
      <c r="I1291" s="84"/>
    </row>
    <row r="1292" spans="1:9">
      <c r="A1292" s="139"/>
      <c r="B1292" s="139"/>
      <c r="C1292" s="138"/>
      <c r="D1292" s="140"/>
      <c r="E1292" s="84"/>
      <c r="F1292" s="84"/>
      <c r="G1292" s="84"/>
      <c r="H1292" s="139"/>
      <c r="I1292" s="84"/>
    </row>
    <row r="1293" spans="1:9">
      <c r="A1293" s="139"/>
      <c r="B1293" s="139"/>
      <c r="C1293" s="138"/>
      <c r="D1293" s="140"/>
      <c r="E1293" s="84"/>
      <c r="F1293" s="84"/>
      <c r="G1293" s="84"/>
      <c r="H1293" s="139"/>
      <c r="I1293" s="84"/>
    </row>
    <row r="1294" spans="1:9">
      <c r="A1294" s="139"/>
      <c r="B1294" s="139"/>
      <c r="C1294" s="138"/>
      <c r="D1294" s="140"/>
      <c r="E1294" s="84"/>
      <c r="F1294" s="84"/>
      <c r="G1294" s="84"/>
      <c r="H1294" s="139"/>
      <c r="I1294" s="84"/>
    </row>
    <row r="1295" spans="1:9">
      <c r="A1295" s="139"/>
      <c r="B1295" s="139"/>
      <c r="C1295" s="138"/>
      <c r="D1295" s="140"/>
      <c r="E1295" s="84"/>
      <c r="F1295" s="84"/>
      <c r="G1295" s="84"/>
      <c r="H1295" s="139"/>
      <c r="I1295" s="84"/>
    </row>
    <row r="1296" spans="1:9">
      <c r="A1296" s="139"/>
      <c r="B1296" s="139"/>
      <c r="C1296" s="138"/>
      <c r="D1296" s="140"/>
      <c r="E1296" s="84"/>
      <c r="F1296" s="84"/>
      <c r="G1296" s="84"/>
      <c r="H1296" s="139"/>
      <c r="I1296" s="84"/>
    </row>
    <row r="1297" spans="1:9">
      <c r="A1297" s="139"/>
      <c r="B1297" s="139"/>
      <c r="C1297" s="138"/>
      <c r="D1297" s="140"/>
      <c r="E1297" s="84"/>
      <c r="F1297" s="84"/>
      <c r="G1297" s="84"/>
      <c r="H1297" s="139"/>
      <c r="I1297" s="84"/>
    </row>
    <row r="1298" spans="1:9">
      <c r="A1298" s="139"/>
      <c r="B1298" s="139"/>
      <c r="C1298" s="138"/>
      <c r="D1298" s="140"/>
      <c r="E1298" s="84"/>
      <c r="F1298" s="84"/>
      <c r="G1298" s="84"/>
      <c r="H1298" s="139"/>
      <c r="I1298" s="84"/>
    </row>
    <row r="1299" spans="1:9">
      <c r="A1299" s="139"/>
      <c r="B1299" s="139"/>
      <c r="C1299" s="138"/>
      <c r="D1299" s="140"/>
      <c r="E1299" s="84"/>
      <c r="F1299" s="84"/>
      <c r="G1299" s="84"/>
      <c r="H1299" s="139"/>
      <c r="I1299" s="84"/>
    </row>
    <row r="1300" spans="1:9">
      <c r="A1300" s="139"/>
      <c r="B1300" s="139"/>
      <c r="C1300" s="138"/>
      <c r="D1300" s="140"/>
      <c r="E1300" s="84"/>
      <c r="F1300" s="84"/>
      <c r="G1300" s="84"/>
      <c r="H1300" s="139"/>
      <c r="I1300" s="84"/>
    </row>
    <row r="1301" spans="1:9">
      <c r="A1301" s="139"/>
      <c r="B1301" s="139"/>
      <c r="C1301" s="138"/>
      <c r="D1301" s="140"/>
      <c r="E1301" s="84"/>
      <c r="F1301" s="84"/>
      <c r="G1301" s="84"/>
      <c r="H1301" s="139"/>
      <c r="I1301" s="84"/>
    </row>
    <row r="1302" spans="1:9">
      <c r="A1302" s="139"/>
      <c r="B1302" s="139"/>
      <c r="C1302" s="138"/>
      <c r="D1302" s="140"/>
      <c r="E1302" s="84"/>
      <c r="F1302" s="84"/>
      <c r="G1302" s="84"/>
      <c r="H1302" s="139"/>
      <c r="I1302" s="84"/>
    </row>
    <row r="1303" spans="1:9">
      <c r="A1303" s="139"/>
      <c r="B1303" s="139"/>
      <c r="C1303" s="138"/>
      <c r="D1303" s="140"/>
      <c r="E1303" s="84"/>
      <c r="F1303" s="84"/>
      <c r="G1303" s="84"/>
      <c r="H1303" s="139"/>
      <c r="I1303" s="84"/>
    </row>
    <row r="1304" spans="1:9">
      <c r="A1304" s="139"/>
      <c r="B1304" s="139"/>
      <c r="C1304" s="138"/>
      <c r="D1304" s="140"/>
      <c r="E1304" s="84"/>
      <c r="F1304" s="84"/>
      <c r="G1304" s="84"/>
      <c r="H1304" s="139"/>
      <c r="I1304" s="84"/>
    </row>
    <row r="1305" spans="1:9">
      <c r="A1305" s="139"/>
      <c r="B1305" s="139"/>
      <c r="C1305" s="138"/>
      <c r="D1305" s="140"/>
      <c r="E1305" s="84"/>
      <c r="F1305" s="84"/>
      <c r="G1305" s="84"/>
      <c r="H1305" s="139"/>
      <c r="I1305" s="84"/>
    </row>
    <row r="1306" spans="1:9">
      <c r="A1306" s="139"/>
      <c r="B1306" s="139"/>
      <c r="C1306" s="138"/>
      <c r="D1306" s="140"/>
      <c r="E1306" s="84"/>
      <c r="F1306" s="84"/>
      <c r="G1306" s="84"/>
      <c r="H1306" s="139"/>
      <c r="I1306" s="84"/>
    </row>
    <row r="1307" spans="1:9">
      <c r="A1307" s="139"/>
      <c r="B1307" s="139"/>
      <c r="C1307" s="138"/>
      <c r="D1307" s="140"/>
      <c r="E1307" s="84"/>
      <c r="F1307" s="84"/>
      <c r="G1307" s="84"/>
      <c r="H1307" s="139"/>
      <c r="I1307" s="84"/>
    </row>
    <row r="1308" spans="1:9">
      <c r="A1308" s="139"/>
      <c r="B1308" s="139"/>
      <c r="C1308" s="138"/>
      <c r="D1308" s="140"/>
      <c r="E1308" s="84"/>
      <c r="F1308" s="84"/>
      <c r="G1308" s="84"/>
      <c r="H1308" s="139"/>
      <c r="I1308" s="84"/>
    </row>
    <row r="1309" spans="1:9">
      <c r="A1309" s="139"/>
      <c r="B1309" s="139"/>
      <c r="C1309" s="138"/>
      <c r="D1309" s="140"/>
      <c r="E1309" s="84"/>
      <c r="F1309" s="84"/>
      <c r="G1309" s="84"/>
      <c r="H1309" s="139"/>
      <c r="I1309" s="84"/>
    </row>
    <row r="1310" spans="1:9">
      <c r="A1310" s="139"/>
      <c r="B1310" s="139"/>
      <c r="C1310" s="138"/>
      <c r="D1310" s="140"/>
      <c r="E1310" s="84"/>
      <c r="F1310" s="84"/>
      <c r="G1310" s="84"/>
      <c r="H1310" s="139"/>
      <c r="I1310" s="84"/>
    </row>
    <row r="1311" spans="1:9">
      <c r="A1311" s="139"/>
      <c r="B1311" s="139"/>
      <c r="C1311" s="138"/>
      <c r="D1311" s="140"/>
      <c r="E1311" s="84"/>
      <c r="F1311" s="84"/>
      <c r="G1311" s="84"/>
      <c r="H1311" s="139"/>
      <c r="I1311" s="84"/>
    </row>
    <row r="1312" spans="1:9">
      <c r="A1312" s="139"/>
      <c r="B1312" s="139"/>
      <c r="C1312" s="138"/>
      <c r="D1312" s="140"/>
      <c r="E1312" s="84"/>
      <c r="F1312" s="84"/>
      <c r="G1312" s="84"/>
      <c r="H1312" s="139"/>
      <c r="I1312" s="84"/>
    </row>
    <row r="1313" spans="1:9">
      <c r="A1313" s="139"/>
      <c r="B1313" s="139"/>
      <c r="C1313" s="138"/>
      <c r="D1313" s="140"/>
      <c r="E1313" s="84"/>
      <c r="F1313" s="84"/>
      <c r="G1313" s="84"/>
      <c r="H1313" s="139"/>
      <c r="I1313" s="84"/>
    </row>
    <row r="1314" spans="1:9">
      <c r="A1314" s="139"/>
      <c r="B1314" s="139"/>
      <c r="C1314" s="138"/>
      <c r="D1314" s="140"/>
      <c r="E1314" s="84"/>
      <c r="F1314" s="84"/>
      <c r="G1314" s="84"/>
      <c r="H1314" s="139"/>
      <c r="I1314" s="84"/>
    </row>
    <row r="1315" spans="1:9">
      <c r="A1315" s="139"/>
      <c r="B1315" s="139"/>
      <c r="C1315" s="138"/>
      <c r="D1315" s="140"/>
      <c r="E1315" s="84"/>
      <c r="F1315" s="84"/>
      <c r="G1315" s="84"/>
      <c r="H1315" s="139"/>
      <c r="I1315" s="84"/>
    </row>
    <row r="1316" spans="1:9">
      <c r="A1316" s="139"/>
      <c r="B1316" s="139"/>
      <c r="C1316" s="138"/>
      <c r="D1316" s="140"/>
      <c r="E1316" s="84"/>
      <c r="F1316" s="84"/>
      <c r="G1316" s="84"/>
      <c r="H1316" s="139"/>
      <c r="I1316" s="84"/>
    </row>
    <row r="1317" spans="1:9">
      <c r="A1317" s="139"/>
      <c r="B1317" s="139"/>
      <c r="C1317" s="138"/>
      <c r="D1317" s="140"/>
      <c r="E1317" s="84"/>
      <c r="F1317" s="84"/>
      <c r="G1317" s="84"/>
      <c r="H1317" s="139"/>
      <c r="I1317" s="84"/>
    </row>
    <row r="1318" spans="1:9">
      <c r="A1318" s="139"/>
      <c r="B1318" s="139"/>
      <c r="C1318" s="138"/>
      <c r="D1318" s="140"/>
      <c r="E1318" s="84"/>
      <c r="F1318" s="84"/>
      <c r="G1318" s="84"/>
      <c r="H1318" s="139"/>
      <c r="I1318" s="84"/>
    </row>
    <row r="1319" spans="1:9">
      <c r="A1319" s="139"/>
      <c r="B1319" s="139"/>
      <c r="C1319" s="138"/>
      <c r="D1319" s="140"/>
      <c r="E1319" s="84"/>
      <c r="F1319" s="84"/>
      <c r="G1319" s="84"/>
      <c r="H1319" s="139"/>
      <c r="I1319" s="84"/>
    </row>
    <row r="1320" spans="1:9">
      <c r="A1320" s="139"/>
      <c r="B1320" s="139"/>
      <c r="C1320" s="138"/>
      <c r="D1320" s="140"/>
      <c r="E1320" s="84"/>
      <c r="F1320" s="84"/>
      <c r="G1320" s="84"/>
      <c r="H1320" s="139"/>
      <c r="I1320" s="84"/>
    </row>
    <row r="1321" spans="1:9">
      <c r="A1321" s="139"/>
      <c r="B1321" s="139"/>
      <c r="C1321" s="138"/>
      <c r="D1321" s="140"/>
      <c r="E1321" s="84"/>
      <c r="F1321" s="84"/>
      <c r="G1321" s="84"/>
      <c r="H1321" s="139"/>
      <c r="I1321" s="84"/>
    </row>
    <row r="1322" spans="1:9">
      <c r="A1322" s="139"/>
      <c r="B1322" s="139"/>
      <c r="C1322" s="138"/>
      <c r="D1322" s="140"/>
      <c r="E1322" s="84"/>
      <c r="F1322" s="84"/>
      <c r="G1322" s="84"/>
      <c r="H1322" s="139"/>
      <c r="I1322" s="84"/>
    </row>
    <row r="1323" spans="1:9">
      <c r="A1323" s="139"/>
      <c r="B1323" s="139"/>
      <c r="C1323" s="138"/>
      <c r="D1323" s="140"/>
      <c r="E1323" s="84"/>
      <c r="F1323" s="84"/>
      <c r="G1323" s="84"/>
      <c r="H1323" s="139"/>
      <c r="I1323" s="84"/>
    </row>
    <row r="1324" spans="1:9">
      <c r="A1324" s="139"/>
      <c r="B1324" s="139"/>
      <c r="C1324" s="138"/>
      <c r="D1324" s="140"/>
      <c r="E1324" s="84"/>
      <c r="F1324" s="84"/>
      <c r="G1324" s="84"/>
      <c r="H1324" s="139"/>
      <c r="I1324" s="84"/>
    </row>
    <row r="1325" spans="1:9">
      <c r="A1325" s="139"/>
      <c r="B1325" s="139"/>
      <c r="C1325" s="138"/>
      <c r="D1325" s="140"/>
      <c r="E1325" s="84"/>
      <c r="F1325" s="84"/>
      <c r="G1325" s="84"/>
      <c r="H1325" s="139"/>
      <c r="I1325" s="84"/>
    </row>
    <row r="1326" spans="1:9">
      <c r="A1326" s="139"/>
      <c r="B1326" s="139"/>
      <c r="C1326" s="138"/>
      <c r="D1326" s="140"/>
      <c r="E1326" s="84"/>
      <c r="F1326" s="84"/>
      <c r="G1326" s="84"/>
      <c r="H1326" s="139"/>
      <c r="I1326" s="84"/>
    </row>
    <row r="1327" spans="1:9">
      <c r="A1327" s="139"/>
      <c r="B1327" s="139"/>
      <c r="C1327" s="138"/>
      <c r="D1327" s="140"/>
      <c r="E1327" s="84"/>
      <c r="F1327" s="84"/>
      <c r="G1327" s="84"/>
      <c r="H1327" s="139"/>
      <c r="I1327" s="84"/>
    </row>
    <row r="1328" spans="1:9">
      <c r="A1328" s="139"/>
      <c r="B1328" s="139"/>
      <c r="C1328" s="138"/>
      <c r="D1328" s="140"/>
      <c r="E1328" s="84"/>
      <c r="F1328" s="84"/>
      <c r="G1328" s="84"/>
      <c r="H1328" s="139"/>
      <c r="I1328" s="84"/>
    </row>
    <row r="1329" spans="1:9">
      <c r="A1329" s="139"/>
      <c r="B1329" s="139"/>
      <c r="C1329" s="138"/>
      <c r="D1329" s="140"/>
      <c r="E1329" s="84"/>
      <c r="F1329" s="84"/>
      <c r="G1329" s="84"/>
      <c r="H1329" s="139"/>
      <c r="I1329" s="84"/>
    </row>
    <row r="1330" spans="1:9">
      <c r="A1330" s="139"/>
      <c r="B1330" s="139"/>
      <c r="C1330" s="138"/>
      <c r="D1330" s="140"/>
      <c r="E1330" s="84"/>
      <c r="F1330" s="84"/>
      <c r="G1330" s="84"/>
      <c r="H1330" s="139"/>
      <c r="I1330" s="84"/>
    </row>
    <row r="1331" spans="1:9">
      <c r="A1331" s="139"/>
      <c r="B1331" s="139"/>
      <c r="C1331" s="138"/>
      <c r="D1331" s="140"/>
      <c r="E1331" s="84"/>
      <c r="F1331" s="84"/>
      <c r="G1331" s="84"/>
      <c r="H1331" s="139"/>
      <c r="I1331" s="84"/>
    </row>
    <row r="1332" spans="1:9">
      <c r="A1332" s="139"/>
      <c r="B1332" s="139"/>
      <c r="C1332" s="138"/>
      <c r="D1332" s="140"/>
      <c r="E1332" s="84"/>
      <c r="F1332" s="84"/>
      <c r="G1332" s="84"/>
      <c r="H1332" s="139"/>
      <c r="I1332" s="84"/>
    </row>
    <row r="1333" spans="1:9">
      <c r="A1333" s="139"/>
      <c r="B1333" s="139"/>
      <c r="C1333" s="138"/>
      <c r="D1333" s="140"/>
      <c r="E1333" s="84"/>
      <c r="F1333" s="84"/>
      <c r="G1333" s="84"/>
      <c r="H1333" s="139"/>
      <c r="I1333" s="84"/>
    </row>
    <row r="1334" spans="1:9">
      <c r="A1334" s="139"/>
      <c r="B1334" s="139"/>
      <c r="C1334" s="138"/>
      <c r="D1334" s="140"/>
      <c r="E1334" s="84"/>
      <c r="F1334" s="84"/>
      <c r="G1334" s="84"/>
      <c r="H1334" s="139"/>
      <c r="I1334" s="84"/>
    </row>
    <row r="1335" spans="1:9">
      <c r="A1335" s="139"/>
      <c r="B1335" s="139"/>
      <c r="C1335" s="138"/>
      <c r="D1335" s="140"/>
      <c r="E1335" s="84"/>
      <c r="F1335" s="84"/>
      <c r="G1335" s="84"/>
      <c r="H1335" s="139"/>
      <c r="I1335" s="84"/>
    </row>
    <row r="1336" spans="1:9">
      <c r="A1336" s="139"/>
      <c r="B1336" s="139"/>
      <c r="C1336" s="138"/>
      <c r="D1336" s="140"/>
      <c r="E1336" s="84"/>
      <c r="F1336" s="84"/>
      <c r="G1336" s="84"/>
      <c r="H1336" s="139"/>
      <c r="I1336" s="84"/>
    </row>
    <row r="1337" spans="1:9">
      <c r="A1337" s="139"/>
      <c r="B1337" s="139"/>
      <c r="C1337" s="138"/>
      <c r="D1337" s="140"/>
      <c r="E1337" s="84"/>
      <c r="F1337" s="84"/>
      <c r="G1337" s="84"/>
      <c r="H1337" s="139"/>
      <c r="I1337" s="84"/>
    </row>
    <row r="1338" spans="1:9">
      <c r="A1338" s="139"/>
      <c r="B1338" s="139"/>
      <c r="C1338" s="138"/>
      <c r="D1338" s="140"/>
      <c r="E1338" s="84"/>
      <c r="F1338" s="84"/>
      <c r="G1338" s="84"/>
      <c r="H1338" s="139"/>
      <c r="I1338" s="84"/>
    </row>
    <row r="1339" spans="1:9">
      <c r="A1339" s="139"/>
      <c r="B1339" s="139"/>
      <c r="C1339" s="138"/>
      <c r="D1339" s="140"/>
      <c r="E1339" s="84"/>
      <c r="F1339" s="84"/>
      <c r="G1339" s="84"/>
      <c r="H1339" s="139"/>
      <c r="I1339" s="84"/>
    </row>
    <row r="1340" spans="1:9">
      <c r="A1340" s="139"/>
      <c r="B1340" s="139"/>
      <c r="C1340" s="138"/>
      <c r="D1340" s="140"/>
      <c r="E1340" s="84"/>
      <c r="F1340" s="84"/>
      <c r="G1340" s="84"/>
      <c r="H1340" s="139"/>
      <c r="I1340" s="84"/>
    </row>
    <row r="1341" spans="1:9">
      <c r="A1341" s="139"/>
      <c r="B1341" s="139"/>
      <c r="C1341" s="138"/>
      <c r="D1341" s="140"/>
      <c r="E1341" s="84"/>
      <c r="F1341" s="84"/>
      <c r="G1341" s="84"/>
      <c r="H1341" s="139"/>
      <c r="I1341" s="84"/>
    </row>
    <row r="1342" spans="1:9">
      <c r="A1342" s="139"/>
      <c r="B1342" s="139"/>
      <c r="C1342" s="138"/>
      <c r="D1342" s="140"/>
      <c r="E1342" s="84"/>
      <c r="F1342" s="84"/>
      <c r="G1342" s="84"/>
      <c r="H1342" s="139"/>
      <c r="I1342" s="84"/>
    </row>
    <row r="1343" spans="1:9">
      <c r="A1343" s="139"/>
      <c r="B1343" s="139"/>
      <c r="C1343" s="138"/>
      <c r="D1343" s="140"/>
      <c r="E1343" s="84"/>
      <c r="F1343" s="84"/>
      <c r="G1343" s="84"/>
      <c r="H1343" s="139"/>
      <c r="I1343" s="84"/>
    </row>
    <row r="1344" spans="1:9">
      <c r="A1344" s="139"/>
      <c r="B1344" s="139"/>
      <c r="C1344" s="138"/>
      <c r="D1344" s="140"/>
      <c r="E1344" s="84"/>
      <c r="F1344" s="84"/>
      <c r="G1344" s="84"/>
      <c r="H1344" s="139"/>
      <c r="I1344" s="84"/>
    </row>
    <row r="1345" spans="1:9">
      <c r="A1345" s="139"/>
      <c r="B1345" s="139"/>
      <c r="C1345" s="138"/>
      <c r="D1345" s="140"/>
      <c r="E1345" s="84"/>
      <c r="F1345" s="84"/>
      <c r="G1345" s="84"/>
      <c r="H1345" s="139"/>
      <c r="I1345" s="84"/>
    </row>
    <row r="1346" spans="1:9">
      <c r="A1346" s="139"/>
      <c r="B1346" s="139"/>
      <c r="C1346" s="138"/>
      <c r="D1346" s="140"/>
      <c r="E1346" s="84"/>
      <c r="F1346" s="84"/>
      <c r="G1346" s="84"/>
      <c r="H1346" s="139"/>
      <c r="I1346" s="84"/>
    </row>
    <row r="1347" spans="1:9">
      <c r="A1347" s="139"/>
      <c r="B1347" s="139"/>
      <c r="C1347" s="138"/>
      <c r="D1347" s="140"/>
      <c r="E1347" s="84"/>
      <c r="F1347" s="84"/>
      <c r="G1347" s="84"/>
      <c r="H1347" s="139"/>
      <c r="I1347" s="84"/>
    </row>
    <row r="1348" spans="1:9">
      <c r="A1348" s="139"/>
      <c r="B1348" s="139"/>
      <c r="C1348" s="138"/>
      <c r="D1348" s="140"/>
      <c r="E1348" s="84"/>
      <c r="F1348" s="84"/>
      <c r="G1348" s="84"/>
      <c r="H1348" s="139"/>
      <c r="I1348" s="84"/>
    </row>
    <row r="1349" spans="1:9">
      <c r="A1349" s="139"/>
      <c r="B1349" s="139"/>
      <c r="C1349" s="138"/>
      <c r="D1349" s="140"/>
      <c r="E1349" s="84"/>
      <c r="F1349" s="84"/>
      <c r="G1349" s="84"/>
      <c r="H1349" s="139"/>
      <c r="I1349" s="84"/>
    </row>
    <row r="1350" spans="1:9">
      <c r="A1350" s="139"/>
      <c r="B1350" s="139"/>
      <c r="C1350" s="138"/>
      <c r="D1350" s="140"/>
      <c r="E1350" s="84"/>
      <c r="F1350" s="84"/>
      <c r="G1350" s="84"/>
      <c r="H1350" s="139"/>
      <c r="I1350" s="84"/>
    </row>
    <row r="1351" spans="1:9">
      <c r="A1351" s="139"/>
      <c r="B1351" s="139"/>
      <c r="C1351" s="138"/>
      <c r="D1351" s="140"/>
      <c r="E1351" s="84"/>
      <c r="F1351" s="84"/>
      <c r="G1351" s="84"/>
      <c r="H1351" s="139"/>
      <c r="I1351" s="84"/>
    </row>
    <row r="1352" spans="1:9">
      <c r="A1352" s="139"/>
      <c r="B1352" s="139"/>
      <c r="C1352" s="138"/>
      <c r="D1352" s="140"/>
      <c r="E1352" s="84"/>
      <c r="F1352" s="84"/>
      <c r="G1352" s="84"/>
      <c r="H1352" s="139"/>
      <c r="I1352" s="84"/>
    </row>
    <row r="1353" spans="1:9">
      <c r="A1353" s="139"/>
      <c r="B1353" s="139"/>
      <c r="C1353" s="138"/>
      <c r="D1353" s="140"/>
      <c r="E1353" s="84"/>
      <c r="F1353" s="84"/>
      <c r="G1353" s="84"/>
      <c r="H1353" s="139"/>
      <c r="I1353" s="84"/>
    </row>
    <row r="1354" spans="1:9">
      <c r="A1354" s="139"/>
      <c r="B1354" s="139"/>
      <c r="C1354" s="138"/>
      <c r="D1354" s="140"/>
      <c r="E1354" s="84"/>
      <c r="F1354" s="84"/>
      <c r="G1354" s="84"/>
      <c r="H1354" s="139"/>
      <c r="I1354" s="84"/>
    </row>
    <row r="1355" spans="1:9">
      <c r="A1355" s="139"/>
      <c r="B1355" s="139"/>
      <c r="C1355" s="138"/>
      <c r="D1355" s="140"/>
      <c r="E1355" s="84"/>
      <c r="F1355" s="84"/>
      <c r="G1355" s="84"/>
      <c r="H1355" s="139"/>
      <c r="I1355" s="84"/>
    </row>
    <row r="1356" spans="1:9">
      <c r="A1356" s="139"/>
      <c r="B1356" s="139"/>
      <c r="C1356" s="138"/>
      <c r="D1356" s="140"/>
      <c r="E1356" s="84"/>
      <c r="F1356" s="84"/>
      <c r="G1356" s="84"/>
      <c r="H1356" s="139"/>
      <c r="I1356" s="84"/>
    </row>
    <row r="1357" spans="1:9">
      <c r="A1357" s="139"/>
      <c r="B1357" s="139"/>
      <c r="C1357" s="138"/>
      <c r="D1357" s="140"/>
      <c r="E1357" s="84"/>
      <c r="F1357" s="84"/>
      <c r="G1357" s="84"/>
      <c r="H1357" s="139"/>
      <c r="I1357" s="84"/>
    </row>
    <row r="1358" spans="1:9">
      <c r="A1358" s="139"/>
      <c r="B1358" s="139"/>
      <c r="C1358" s="138"/>
      <c r="D1358" s="140"/>
      <c r="E1358" s="84"/>
      <c r="F1358" s="84"/>
      <c r="G1358" s="84"/>
      <c r="H1358" s="139"/>
      <c r="I1358" s="84"/>
    </row>
    <row r="1359" spans="1:9">
      <c r="A1359" s="139"/>
      <c r="B1359" s="139"/>
      <c r="C1359" s="138"/>
      <c r="D1359" s="140"/>
      <c r="E1359" s="84"/>
      <c r="F1359" s="84"/>
      <c r="G1359" s="84"/>
      <c r="H1359" s="139"/>
      <c r="I1359" s="84"/>
    </row>
    <row r="1360" spans="1:9">
      <c r="A1360" s="139"/>
      <c r="B1360" s="139"/>
      <c r="C1360" s="138"/>
      <c r="D1360" s="140"/>
      <c r="E1360" s="84"/>
      <c r="F1360" s="84"/>
      <c r="G1360" s="84"/>
      <c r="H1360" s="139"/>
      <c r="I1360" s="84"/>
    </row>
    <row r="1361" spans="1:9">
      <c r="A1361" s="139"/>
      <c r="B1361" s="139"/>
      <c r="C1361" s="138"/>
      <c r="D1361" s="140"/>
      <c r="E1361" s="84"/>
      <c r="F1361" s="84"/>
      <c r="G1361" s="84"/>
      <c r="H1361" s="139"/>
      <c r="I1361" s="84"/>
    </row>
    <row r="1362" spans="1:9">
      <c r="A1362" s="139"/>
      <c r="B1362" s="139"/>
      <c r="C1362" s="138"/>
      <c r="D1362" s="140"/>
      <c r="E1362" s="84"/>
      <c r="F1362" s="84"/>
      <c r="G1362" s="84"/>
      <c r="H1362" s="139"/>
      <c r="I1362" s="84"/>
    </row>
    <row r="1363" spans="1:9">
      <c r="A1363" s="139"/>
      <c r="B1363" s="139"/>
      <c r="C1363" s="138"/>
      <c r="D1363" s="140"/>
      <c r="E1363" s="84"/>
      <c r="F1363" s="84"/>
      <c r="G1363" s="84"/>
      <c r="H1363" s="139"/>
      <c r="I1363" s="84"/>
    </row>
    <row r="1364" spans="1:9">
      <c r="A1364" s="139"/>
      <c r="B1364" s="139"/>
      <c r="C1364" s="138"/>
      <c r="D1364" s="140"/>
      <c r="E1364" s="84"/>
      <c r="F1364" s="84"/>
      <c r="G1364" s="84"/>
      <c r="H1364" s="139"/>
      <c r="I1364" s="84"/>
    </row>
    <row r="1365" spans="1:9">
      <c r="A1365" s="139"/>
      <c r="B1365" s="139"/>
      <c r="C1365" s="138"/>
      <c r="D1365" s="140"/>
      <c r="E1365" s="84"/>
      <c r="F1365" s="84"/>
      <c r="G1365" s="84"/>
      <c r="H1365" s="139"/>
      <c r="I1365" s="84"/>
    </row>
    <row r="1366" spans="1:9">
      <c r="A1366" s="139"/>
      <c r="B1366" s="139"/>
      <c r="C1366" s="138"/>
      <c r="D1366" s="140"/>
      <c r="E1366" s="84"/>
      <c r="F1366" s="84"/>
      <c r="G1366" s="84"/>
      <c r="H1366" s="139"/>
      <c r="I1366" s="84"/>
    </row>
    <row r="1367" spans="1:9">
      <c r="A1367" s="139"/>
      <c r="B1367" s="139"/>
      <c r="C1367" s="138"/>
      <c r="D1367" s="140"/>
      <c r="E1367" s="84"/>
      <c r="F1367" s="84"/>
      <c r="G1367" s="84"/>
      <c r="H1367" s="139"/>
      <c r="I1367" s="84"/>
    </row>
    <row r="1368" spans="1:9">
      <c r="A1368" s="139"/>
      <c r="B1368" s="139"/>
      <c r="C1368" s="138"/>
      <c r="D1368" s="140"/>
      <c r="E1368" s="84"/>
      <c r="F1368" s="84"/>
      <c r="G1368" s="84"/>
      <c r="H1368" s="139"/>
      <c r="I1368" s="84"/>
    </row>
    <row r="1369" spans="1:9">
      <c r="A1369" s="139"/>
      <c r="B1369" s="139"/>
      <c r="C1369" s="138"/>
      <c r="D1369" s="140"/>
      <c r="E1369" s="84"/>
      <c r="F1369" s="84"/>
      <c r="G1369" s="84"/>
      <c r="H1369" s="139"/>
      <c r="I1369" s="84"/>
    </row>
    <row r="1370" spans="1:9">
      <c r="A1370" s="139"/>
      <c r="B1370" s="139"/>
      <c r="C1370" s="138"/>
      <c r="D1370" s="140"/>
      <c r="E1370" s="84"/>
      <c r="F1370" s="84"/>
      <c r="G1370" s="84"/>
      <c r="H1370" s="139"/>
      <c r="I1370" s="84"/>
    </row>
    <row r="1371" spans="1:9">
      <c r="A1371" s="139"/>
      <c r="B1371" s="139"/>
      <c r="C1371" s="138"/>
      <c r="D1371" s="140"/>
      <c r="E1371" s="84"/>
      <c r="F1371" s="84"/>
      <c r="G1371" s="84"/>
      <c r="H1371" s="139"/>
      <c r="I1371" s="84"/>
    </row>
    <row r="1372" spans="1:9">
      <c r="A1372" s="139"/>
      <c r="B1372" s="139"/>
      <c r="C1372" s="138"/>
      <c r="D1372" s="140"/>
      <c r="E1372" s="84"/>
      <c r="F1372" s="84"/>
      <c r="G1372" s="84"/>
      <c r="H1372" s="139"/>
      <c r="I1372" s="84"/>
    </row>
    <row r="1373" spans="1:9">
      <c r="A1373" s="139"/>
      <c r="B1373" s="139"/>
      <c r="C1373" s="138"/>
      <c r="D1373" s="140"/>
      <c r="E1373" s="84"/>
      <c r="F1373" s="84"/>
      <c r="G1373" s="84"/>
      <c r="H1373" s="139"/>
      <c r="I1373" s="84"/>
    </row>
    <row r="1374" spans="1:9">
      <c r="A1374" s="139"/>
      <c r="B1374" s="139"/>
      <c r="C1374" s="138"/>
      <c r="D1374" s="140"/>
      <c r="E1374" s="84"/>
      <c r="F1374" s="84"/>
      <c r="G1374" s="84"/>
      <c r="H1374" s="139"/>
      <c r="I1374" s="84"/>
    </row>
    <row r="1375" spans="1:9">
      <c r="A1375" s="139"/>
      <c r="B1375" s="139"/>
      <c r="C1375" s="138"/>
      <c r="D1375" s="140"/>
      <c r="E1375" s="84"/>
      <c r="F1375" s="84"/>
      <c r="G1375" s="84"/>
      <c r="H1375" s="139"/>
      <c r="I1375" s="84"/>
    </row>
    <row r="1376" spans="1:9">
      <c r="A1376" s="139"/>
      <c r="B1376" s="139"/>
      <c r="C1376" s="138"/>
      <c r="D1376" s="140"/>
      <c r="E1376" s="84"/>
      <c r="F1376" s="84"/>
      <c r="G1376" s="84"/>
      <c r="H1376" s="139"/>
      <c r="I1376" s="84"/>
    </row>
    <row r="1377" spans="1:9">
      <c r="A1377" s="139"/>
      <c r="B1377" s="139"/>
      <c r="C1377" s="138"/>
      <c r="D1377" s="140"/>
      <c r="E1377" s="84"/>
      <c r="F1377" s="84"/>
      <c r="G1377" s="84"/>
      <c r="H1377" s="139"/>
      <c r="I1377" s="84"/>
    </row>
    <row r="1378" spans="1:9">
      <c r="A1378" s="139"/>
      <c r="B1378" s="139"/>
      <c r="C1378" s="138"/>
      <c r="D1378" s="140"/>
      <c r="E1378" s="84"/>
      <c r="F1378" s="84"/>
      <c r="G1378" s="84"/>
      <c r="H1378" s="139"/>
      <c r="I1378" s="84"/>
    </row>
    <row r="1379" spans="1:9">
      <c r="A1379" s="139"/>
      <c r="B1379" s="139"/>
      <c r="C1379" s="138"/>
      <c r="D1379" s="140"/>
      <c r="E1379" s="84"/>
      <c r="F1379" s="84"/>
      <c r="G1379" s="84"/>
      <c r="H1379" s="139"/>
      <c r="I1379" s="84"/>
    </row>
    <row r="1380" spans="1:9">
      <c r="A1380" s="139"/>
      <c r="B1380" s="139"/>
      <c r="C1380" s="138"/>
      <c r="D1380" s="140"/>
      <c r="E1380" s="84"/>
      <c r="F1380" s="84"/>
      <c r="G1380" s="84"/>
      <c r="H1380" s="139"/>
      <c r="I1380" s="84"/>
    </row>
    <row r="1381" spans="1:9">
      <c r="A1381" s="139"/>
      <c r="B1381" s="139"/>
      <c r="C1381" s="138"/>
      <c r="D1381" s="140"/>
      <c r="E1381" s="84"/>
      <c r="F1381" s="84"/>
      <c r="G1381" s="84"/>
      <c r="H1381" s="139"/>
      <c r="I1381" s="84"/>
    </row>
    <row r="1382" spans="1:9">
      <c r="A1382" s="139"/>
      <c r="B1382" s="139"/>
      <c r="C1382" s="138"/>
      <c r="D1382" s="140"/>
      <c r="E1382" s="84"/>
      <c r="F1382" s="84"/>
      <c r="G1382" s="84"/>
      <c r="H1382" s="139"/>
      <c r="I1382" s="84"/>
    </row>
    <row r="1383" spans="1:9">
      <c r="A1383" s="139"/>
      <c r="B1383" s="139"/>
      <c r="C1383" s="138"/>
      <c r="D1383" s="140"/>
      <c r="E1383" s="84"/>
      <c r="F1383" s="84"/>
      <c r="G1383" s="84"/>
      <c r="H1383" s="139"/>
      <c r="I1383" s="84"/>
    </row>
    <row r="1384" spans="1:9">
      <c r="A1384" s="139"/>
      <c r="B1384" s="139"/>
      <c r="C1384" s="138"/>
      <c r="D1384" s="140"/>
      <c r="E1384" s="84"/>
      <c r="F1384" s="84"/>
      <c r="G1384" s="84"/>
      <c r="H1384" s="139"/>
      <c r="I1384" s="84"/>
    </row>
    <row r="1385" spans="1:9">
      <c r="A1385" s="139"/>
      <c r="B1385" s="139"/>
      <c r="C1385" s="138"/>
      <c r="D1385" s="140"/>
      <c r="E1385" s="84"/>
      <c r="F1385" s="84"/>
      <c r="G1385" s="84"/>
      <c r="H1385" s="139"/>
      <c r="I1385" s="84"/>
    </row>
    <row r="1386" spans="1:9">
      <c r="A1386" s="139"/>
      <c r="B1386" s="139"/>
      <c r="C1386" s="138"/>
      <c r="D1386" s="140"/>
      <c r="E1386" s="84"/>
      <c r="F1386" s="84"/>
      <c r="G1386" s="84"/>
      <c r="H1386" s="139"/>
      <c r="I1386" s="84"/>
    </row>
    <row r="1387" spans="1:9">
      <c r="A1387" s="139"/>
      <c r="B1387" s="139"/>
      <c r="C1387" s="138"/>
      <c r="D1387" s="140"/>
      <c r="E1387" s="84"/>
      <c r="F1387" s="84"/>
      <c r="G1387" s="84"/>
      <c r="H1387" s="139"/>
      <c r="I1387" s="84"/>
    </row>
    <row r="1388" spans="1:9">
      <c r="A1388" s="139"/>
      <c r="B1388" s="139"/>
      <c r="C1388" s="138"/>
      <c r="D1388" s="140"/>
      <c r="E1388" s="84"/>
      <c r="F1388" s="84"/>
      <c r="G1388" s="84"/>
      <c r="H1388" s="139"/>
      <c r="I1388" s="84"/>
    </row>
    <row r="1389" spans="1:9">
      <c r="A1389" s="139"/>
      <c r="B1389" s="139"/>
      <c r="C1389" s="138"/>
      <c r="D1389" s="140"/>
      <c r="E1389" s="84"/>
      <c r="F1389" s="84"/>
      <c r="G1389" s="84"/>
      <c r="H1389" s="139"/>
      <c r="I1389" s="84"/>
    </row>
    <row r="1390" spans="1:9">
      <c r="A1390" s="139"/>
      <c r="B1390" s="139"/>
      <c r="C1390" s="138"/>
      <c r="D1390" s="140"/>
      <c r="E1390" s="84"/>
      <c r="F1390" s="84"/>
      <c r="G1390" s="84"/>
      <c r="H1390" s="139"/>
      <c r="I1390" s="84"/>
    </row>
    <row r="1391" spans="1:9">
      <c r="A1391" s="139"/>
      <c r="B1391" s="139"/>
      <c r="C1391" s="138"/>
      <c r="D1391" s="140"/>
      <c r="E1391" s="84"/>
      <c r="F1391" s="84"/>
      <c r="G1391" s="84"/>
      <c r="H1391" s="139"/>
      <c r="I1391" s="84"/>
    </row>
    <row r="1392" spans="1:9">
      <c r="A1392" s="139"/>
      <c r="B1392" s="139"/>
      <c r="C1392" s="138"/>
      <c r="D1392" s="140"/>
      <c r="E1392" s="84"/>
      <c r="F1392" s="84"/>
      <c r="G1392" s="84"/>
      <c r="H1392" s="139"/>
      <c r="I1392" s="84"/>
    </row>
    <row r="1393" spans="1:9">
      <c r="A1393" s="139"/>
      <c r="B1393" s="139"/>
      <c r="C1393" s="138"/>
      <c r="D1393" s="140"/>
      <c r="E1393" s="84"/>
      <c r="F1393" s="84"/>
      <c r="G1393" s="84"/>
      <c r="H1393" s="139"/>
      <c r="I1393" s="84"/>
    </row>
    <row r="1394" spans="1:9">
      <c r="A1394" s="139"/>
      <c r="B1394" s="139"/>
      <c r="C1394" s="138"/>
      <c r="D1394" s="140"/>
      <c r="E1394" s="84"/>
      <c r="F1394" s="84"/>
      <c r="G1394" s="84"/>
      <c r="H1394" s="139"/>
      <c r="I1394" s="84"/>
    </row>
    <row r="1395" spans="1:9">
      <c r="A1395" s="139"/>
      <c r="B1395" s="139"/>
      <c r="C1395" s="138"/>
      <c r="D1395" s="140"/>
      <c r="E1395" s="84"/>
      <c r="F1395" s="84"/>
      <c r="G1395" s="84"/>
      <c r="H1395" s="139"/>
      <c r="I1395" s="84"/>
    </row>
    <row r="1396" spans="1:9">
      <c r="A1396" s="139"/>
      <c r="B1396" s="139"/>
      <c r="C1396" s="138"/>
      <c r="D1396" s="140"/>
      <c r="E1396" s="84"/>
      <c r="F1396" s="84"/>
      <c r="G1396" s="84"/>
      <c r="H1396" s="139"/>
      <c r="I1396" s="84"/>
    </row>
    <row r="1397" spans="1:9">
      <c r="A1397" s="139"/>
      <c r="B1397" s="139"/>
      <c r="C1397" s="138"/>
      <c r="D1397" s="140"/>
      <c r="E1397" s="84"/>
      <c r="F1397" s="84"/>
      <c r="G1397" s="84"/>
      <c r="H1397" s="139"/>
      <c r="I1397" s="84"/>
    </row>
    <row r="1398" spans="1:9">
      <c r="A1398" s="139"/>
      <c r="B1398" s="139"/>
      <c r="C1398" s="138"/>
      <c r="D1398" s="140"/>
      <c r="E1398" s="84"/>
      <c r="F1398" s="84"/>
      <c r="G1398" s="84"/>
      <c r="H1398" s="139"/>
      <c r="I1398" s="84"/>
    </row>
    <row r="1399" spans="1:9">
      <c r="A1399" s="139"/>
      <c r="B1399" s="139"/>
      <c r="C1399" s="138"/>
      <c r="D1399" s="140"/>
      <c r="E1399" s="84"/>
      <c r="F1399" s="84"/>
      <c r="G1399" s="84"/>
      <c r="H1399" s="139"/>
      <c r="I1399" s="84"/>
    </row>
    <row r="1400" spans="1:9">
      <c r="A1400" s="139"/>
      <c r="B1400" s="139"/>
      <c r="C1400" s="138"/>
      <c r="D1400" s="140"/>
      <c r="E1400" s="84"/>
      <c r="F1400" s="84"/>
      <c r="G1400" s="84"/>
      <c r="H1400" s="139"/>
      <c r="I1400" s="84"/>
    </row>
    <row r="1401" spans="1:9">
      <c r="A1401" s="139"/>
      <c r="B1401" s="139"/>
      <c r="C1401" s="138"/>
      <c r="D1401" s="140"/>
      <c r="E1401" s="84"/>
      <c r="F1401" s="84"/>
      <c r="G1401" s="84"/>
      <c r="H1401" s="139"/>
      <c r="I1401" s="84"/>
    </row>
    <row r="1402" spans="1:9">
      <c r="A1402" s="139"/>
      <c r="B1402" s="139"/>
      <c r="C1402" s="138"/>
      <c r="D1402" s="140"/>
      <c r="E1402" s="84"/>
      <c r="F1402" s="84"/>
      <c r="G1402" s="84"/>
      <c r="H1402" s="139"/>
      <c r="I1402" s="84"/>
    </row>
    <row r="1403" spans="1:9">
      <c r="A1403" s="139"/>
      <c r="B1403" s="139"/>
      <c r="C1403" s="138"/>
      <c r="D1403" s="140"/>
      <c r="E1403" s="84"/>
      <c r="F1403" s="84"/>
      <c r="G1403" s="84"/>
      <c r="H1403" s="139"/>
      <c r="I1403" s="84"/>
    </row>
    <row r="1404" spans="1:9">
      <c r="A1404" s="139"/>
      <c r="B1404" s="139"/>
      <c r="C1404" s="138"/>
      <c r="D1404" s="140"/>
      <c r="E1404" s="84"/>
      <c r="F1404" s="84"/>
      <c r="G1404" s="84"/>
      <c r="H1404" s="139"/>
      <c r="I1404" s="84"/>
    </row>
    <row r="1405" spans="1:9">
      <c r="A1405" s="139"/>
      <c r="B1405" s="139"/>
      <c r="C1405" s="138"/>
      <c r="D1405" s="140"/>
      <c r="E1405" s="84"/>
      <c r="F1405" s="84"/>
      <c r="G1405" s="84"/>
      <c r="H1405" s="139"/>
      <c r="I1405" s="84"/>
    </row>
    <row r="1406" spans="1:9">
      <c r="A1406" s="139"/>
      <c r="B1406" s="139"/>
      <c r="C1406" s="138"/>
      <c r="D1406" s="140"/>
      <c r="E1406" s="84"/>
      <c r="F1406" s="84"/>
      <c r="G1406" s="84"/>
      <c r="H1406" s="139"/>
      <c r="I1406" s="84"/>
    </row>
    <row r="1407" spans="1:9">
      <c r="A1407" s="139"/>
      <c r="B1407" s="139"/>
      <c r="C1407" s="138"/>
      <c r="D1407" s="140"/>
      <c r="E1407" s="84"/>
      <c r="F1407" s="84"/>
      <c r="G1407" s="84"/>
      <c r="H1407" s="139"/>
      <c r="I1407" s="84"/>
    </row>
    <row r="1408" spans="1:9">
      <c r="A1408" s="139"/>
      <c r="B1408" s="139"/>
      <c r="C1408" s="138"/>
      <c r="D1408" s="140"/>
      <c r="E1408" s="84"/>
      <c r="F1408" s="84"/>
      <c r="G1408" s="84"/>
      <c r="H1408" s="139"/>
      <c r="I1408" s="84"/>
    </row>
    <row r="1409" spans="1:9">
      <c r="A1409" s="139"/>
      <c r="B1409" s="139"/>
      <c r="C1409" s="138"/>
      <c r="D1409" s="140"/>
      <c r="E1409" s="84"/>
      <c r="F1409" s="84"/>
      <c r="G1409" s="84"/>
      <c r="H1409" s="139"/>
      <c r="I1409" s="84"/>
    </row>
    <row r="1410" spans="1:9">
      <c r="A1410" s="139"/>
      <c r="B1410" s="139"/>
      <c r="C1410" s="138"/>
      <c r="D1410" s="140"/>
      <c r="E1410" s="84"/>
      <c r="F1410" s="84"/>
      <c r="G1410" s="84"/>
      <c r="H1410" s="139"/>
      <c r="I1410" s="84"/>
    </row>
    <row r="1411" spans="1:9">
      <c r="A1411" s="139"/>
      <c r="B1411" s="139"/>
      <c r="C1411" s="138"/>
      <c r="D1411" s="140"/>
      <c r="E1411" s="84"/>
      <c r="F1411" s="84"/>
      <c r="G1411" s="84"/>
      <c r="H1411" s="139"/>
      <c r="I1411" s="84"/>
    </row>
    <row r="1412" spans="1:9">
      <c r="A1412" s="139"/>
      <c r="B1412" s="139"/>
      <c r="C1412" s="138"/>
      <c r="D1412" s="140"/>
      <c r="E1412" s="84"/>
      <c r="F1412" s="84"/>
      <c r="G1412" s="84"/>
      <c r="H1412" s="139"/>
      <c r="I1412" s="84"/>
    </row>
    <row r="1413" spans="1:9">
      <c r="A1413" s="139"/>
      <c r="B1413" s="139"/>
      <c r="C1413" s="138"/>
      <c r="D1413" s="140"/>
      <c r="E1413" s="84"/>
      <c r="F1413" s="84"/>
      <c r="G1413" s="84"/>
      <c r="H1413" s="139"/>
      <c r="I1413" s="84"/>
    </row>
    <row r="1414" spans="1:9">
      <c r="A1414" s="139"/>
      <c r="B1414" s="139"/>
      <c r="C1414" s="138"/>
      <c r="D1414" s="140"/>
      <c r="E1414" s="84"/>
      <c r="F1414" s="84"/>
      <c r="G1414" s="84"/>
      <c r="H1414" s="139"/>
      <c r="I1414" s="84"/>
    </row>
    <row r="1415" spans="1:9">
      <c r="A1415" s="139"/>
      <c r="B1415" s="139"/>
      <c r="C1415" s="138"/>
      <c r="D1415" s="140"/>
      <c r="E1415" s="84"/>
      <c r="F1415" s="84"/>
      <c r="G1415" s="84"/>
      <c r="H1415" s="139"/>
      <c r="I1415" s="84"/>
    </row>
    <row r="1416" spans="1:9">
      <c r="A1416" s="139"/>
      <c r="B1416" s="139"/>
      <c r="C1416" s="138"/>
      <c r="D1416" s="140"/>
      <c r="E1416" s="84"/>
      <c r="F1416" s="84"/>
      <c r="G1416" s="84"/>
      <c r="H1416" s="139"/>
      <c r="I1416" s="84"/>
    </row>
    <row r="1417" spans="1:9">
      <c r="A1417" s="139"/>
      <c r="B1417" s="139"/>
      <c r="C1417" s="138"/>
      <c r="D1417" s="140"/>
      <c r="E1417" s="84"/>
      <c r="F1417" s="84"/>
      <c r="G1417" s="84"/>
      <c r="H1417" s="139"/>
      <c r="I1417" s="84"/>
    </row>
    <row r="1418" spans="1:9">
      <c r="A1418" s="139"/>
      <c r="B1418" s="139"/>
      <c r="C1418" s="138"/>
      <c r="D1418" s="140"/>
      <c r="E1418" s="84"/>
      <c r="F1418" s="84"/>
      <c r="G1418" s="84"/>
      <c r="H1418" s="139"/>
      <c r="I1418" s="84"/>
    </row>
    <row r="1419" spans="1:9">
      <c r="A1419" s="139"/>
      <c r="B1419" s="139"/>
      <c r="C1419" s="138"/>
      <c r="D1419" s="140"/>
      <c r="E1419" s="84"/>
      <c r="F1419" s="84"/>
      <c r="G1419" s="84"/>
      <c r="H1419" s="139"/>
      <c r="I1419" s="84"/>
    </row>
    <row r="1420" spans="1:9">
      <c r="A1420" s="139"/>
      <c r="B1420" s="139"/>
      <c r="C1420" s="138"/>
      <c r="D1420" s="140"/>
      <c r="E1420" s="84"/>
      <c r="F1420" s="84"/>
      <c r="G1420" s="84"/>
      <c r="H1420" s="139"/>
      <c r="I1420" s="84"/>
    </row>
    <row r="1421" spans="1:9">
      <c r="A1421" s="139"/>
      <c r="B1421" s="139"/>
      <c r="C1421" s="138"/>
      <c r="D1421" s="140"/>
      <c r="E1421" s="84"/>
      <c r="F1421" s="84"/>
      <c r="G1421" s="84"/>
      <c r="H1421" s="139"/>
      <c r="I1421" s="84"/>
    </row>
    <row r="1422" spans="1:9">
      <c r="A1422" s="139"/>
      <c r="B1422" s="139"/>
      <c r="C1422" s="138"/>
      <c r="D1422" s="140"/>
      <c r="E1422" s="84"/>
      <c r="F1422" s="84"/>
      <c r="G1422" s="84"/>
      <c r="H1422" s="139"/>
      <c r="I1422" s="84"/>
    </row>
    <row r="1423" spans="1:9">
      <c r="A1423" s="139"/>
      <c r="B1423" s="139"/>
      <c r="C1423" s="138"/>
      <c r="D1423" s="140"/>
      <c r="E1423" s="84"/>
      <c r="F1423" s="84"/>
      <c r="G1423" s="84"/>
      <c r="H1423" s="139"/>
      <c r="I1423" s="84"/>
    </row>
    <row r="1424" spans="1:9">
      <c r="A1424" s="139"/>
      <c r="B1424" s="139"/>
      <c r="C1424" s="138"/>
      <c r="D1424" s="140"/>
      <c r="E1424" s="84"/>
      <c r="F1424" s="84"/>
      <c r="G1424" s="84"/>
      <c r="H1424" s="139"/>
      <c r="I1424" s="84"/>
    </row>
    <row r="1425" spans="1:9">
      <c r="A1425" s="139"/>
      <c r="B1425" s="139"/>
      <c r="C1425" s="138"/>
      <c r="D1425" s="140"/>
      <c r="E1425" s="84"/>
      <c r="F1425" s="84"/>
      <c r="G1425" s="84"/>
      <c r="H1425" s="139"/>
      <c r="I1425" s="84"/>
    </row>
    <row r="1426" spans="1:9">
      <c r="A1426" s="139"/>
      <c r="B1426" s="139"/>
      <c r="C1426" s="138"/>
      <c r="D1426" s="140"/>
      <c r="E1426" s="84"/>
      <c r="F1426" s="84"/>
      <c r="G1426" s="84"/>
      <c r="H1426" s="139"/>
      <c r="I1426" s="84"/>
    </row>
    <row r="1427" spans="1:9">
      <c r="A1427" s="139"/>
      <c r="B1427" s="139"/>
      <c r="C1427" s="138"/>
      <c r="D1427" s="140"/>
      <c r="E1427" s="84"/>
      <c r="F1427" s="84"/>
      <c r="G1427" s="84"/>
      <c r="H1427" s="139"/>
      <c r="I1427" s="84"/>
    </row>
    <row r="1428" spans="1:9">
      <c r="A1428" s="139"/>
      <c r="B1428" s="139"/>
      <c r="C1428" s="138"/>
      <c r="D1428" s="140"/>
      <c r="E1428" s="84"/>
      <c r="F1428" s="84"/>
      <c r="G1428" s="84"/>
      <c r="H1428" s="139"/>
      <c r="I1428" s="84"/>
    </row>
    <row r="1429" spans="1:9">
      <c r="A1429" s="139"/>
      <c r="B1429" s="139"/>
      <c r="C1429" s="138"/>
      <c r="D1429" s="140"/>
      <c r="E1429" s="84"/>
      <c r="F1429" s="84"/>
      <c r="G1429" s="84"/>
      <c r="H1429" s="139"/>
      <c r="I1429" s="84"/>
    </row>
    <row r="1430" spans="1:9">
      <c r="A1430" s="139"/>
      <c r="B1430" s="139"/>
      <c r="C1430" s="138"/>
      <c r="D1430" s="140"/>
      <c r="E1430" s="84"/>
      <c r="F1430" s="84"/>
      <c r="G1430" s="84"/>
      <c r="H1430" s="139"/>
      <c r="I1430" s="84"/>
    </row>
    <row r="1431" spans="1:9">
      <c r="A1431" s="139"/>
      <c r="B1431" s="139"/>
      <c r="C1431" s="138"/>
      <c r="D1431" s="140"/>
      <c r="E1431" s="84"/>
      <c r="F1431" s="84"/>
      <c r="G1431" s="84"/>
      <c r="H1431" s="139"/>
      <c r="I1431" s="84"/>
    </row>
    <row r="1432" spans="1:9">
      <c r="A1432" s="139"/>
      <c r="B1432" s="139"/>
      <c r="C1432" s="138"/>
      <c r="D1432" s="140"/>
      <c r="E1432" s="84"/>
      <c r="F1432" s="84"/>
      <c r="G1432" s="84"/>
      <c r="H1432" s="139"/>
      <c r="I1432" s="84"/>
    </row>
    <row r="1433" spans="1:9">
      <c r="A1433" s="139"/>
      <c r="B1433" s="139"/>
      <c r="C1433" s="138"/>
      <c r="D1433" s="140"/>
      <c r="E1433" s="84"/>
      <c r="F1433" s="84"/>
      <c r="G1433" s="84"/>
      <c r="H1433" s="139"/>
      <c r="I1433" s="84"/>
    </row>
    <row r="1434" spans="1:9">
      <c r="A1434" s="139"/>
      <c r="B1434" s="139"/>
      <c r="C1434" s="138"/>
      <c r="D1434" s="140"/>
      <c r="E1434" s="84"/>
      <c r="F1434" s="84"/>
      <c r="G1434" s="84"/>
      <c r="H1434" s="139"/>
      <c r="I1434" s="84"/>
    </row>
    <row r="1435" spans="1:9">
      <c r="A1435" s="139"/>
      <c r="B1435" s="139"/>
      <c r="C1435" s="138"/>
      <c r="D1435" s="140"/>
      <c r="E1435" s="84"/>
      <c r="F1435" s="84"/>
      <c r="G1435" s="84"/>
      <c r="H1435" s="139"/>
      <c r="I1435" s="84"/>
    </row>
    <row r="1436" spans="1:9">
      <c r="A1436" s="139"/>
      <c r="B1436" s="139"/>
      <c r="C1436" s="138"/>
      <c r="D1436" s="140"/>
      <c r="E1436" s="84"/>
      <c r="F1436" s="84"/>
      <c r="G1436" s="84"/>
      <c r="H1436" s="139"/>
      <c r="I1436" s="84"/>
    </row>
    <row r="1437" spans="1:9">
      <c r="A1437" s="139"/>
      <c r="B1437" s="139"/>
      <c r="C1437" s="138"/>
      <c r="D1437" s="140"/>
      <c r="E1437" s="84"/>
      <c r="F1437" s="84"/>
      <c r="G1437" s="84"/>
      <c r="H1437" s="139"/>
      <c r="I1437" s="84"/>
    </row>
    <row r="1438" spans="1:9">
      <c r="A1438" s="139"/>
      <c r="B1438" s="139"/>
      <c r="C1438" s="138"/>
      <c r="D1438" s="140"/>
      <c r="E1438" s="84"/>
      <c r="F1438" s="84"/>
      <c r="G1438" s="84"/>
      <c r="H1438" s="139"/>
      <c r="I1438" s="84"/>
    </row>
    <row r="1439" spans="1:9">
      <c r="A1439" s="139"/>
      <c r="B1439" s="139"/>
      <c r="C1439" s="138"/>
      <c r="D1439" s="140"/>
      <c r="E1439" s="84"/>
      <c r="F1439" s="84"/>
      <c r="G1439" s="84"/>
      <c r="H1439" s="139"/>
      <c r="I1439" s="84"/>
    </row>
    <row r="1440" spans="1:9">
      <c r="A1440" s="139"/>
      <c r="B1440" s="139"/>
      <c r="C1440" s="138"/>
      <c r="D1440" s="140"/>
      <c r="E1440" s="84"/>
      <c r="F1440" s="84"/>
      <c r="G1440" s="84"/>
      <c r="H1440" s="139"/>
      <c r="I1440" s="84"/>
    </row>
    <row r="1441" spans="1:9">
      <c r="A1441" s="139"/>
      <c r="B1441" s="139"/>
      <c r="C1441" s="138"/>
      <c r="D1441" s="140"/>
      <c r="E1441" s="84"/>
      <c r="F1441" s="84"/>
      <c r="G1441" s="84"/>
      <c r="H1441" s="139"/>
      <c r="I1441" s="84"/>
    </row>
    <row r="1442" spans="1:9">
      <c r="A1442" s="139"/>
      <c r="B1442" s="139"/>
      <c r="C1442" s="138"/>
      <c r="D1442" s="140"/>
      <c r="E1442" s="84"/>
      <c r="F1442" s="84"/>
      <c r="G1442" s="84"/>
      <c r="H1442" s="139"/>
      <c r="I1442" s="84"/>
    </row>
    <row r="1443" spans="1:9">
      <c r="A1443" s="139"/>
      <c r="B1443" s="139"/>
      <c r="C1443" s="138"/>
      <c r="D1443" s="140"/>
      <c r="E1443" s="84"/>
      <c r="F1443" s="84"/>
      <c r="G1443" s="84"/>
      <c r="H1443" s="139"/>
      <c r="I1443" s="84"/>
    </row>
    <row r="1444" spans="1:9">
      <c r="A1444" s="139"/>
      <c r="B1444" s="139"/>
      <c r="C1444" s="138"/>
      <c r="D1444" s="140"/>
      <c r="E1444" s="84"/>
      <c r="F1444" s="84"/>
      <c r="G1444" s="84"/>
      <c r="H1444" s="139"/>
      <c r="I1444" s="84"/>
    </row>
    <row r="1445" spans="1:9">
      <c r="A1445" s="139"/>
      <c r="B1445" s="139"/>
      <c r="C1445" s="138"/>
      <c r="D1445" s="140"/>
      <c r="E1445" s="84"/>
      <c r="F1445" s="84"/>
      <c r="G1445" s="84"/>
      <c r="H1445" s="139"/>
      <c r="I1445" s="84"/>
    </row>
    <row r="1446" spans="1:9">
      <c r="A1446" s="139"/>
      <c r="B1446" s="139"/>
      <c r="C1446" s="138"/>
      <c r="D1446" s="140"/>
      <c r="E1446" s="84"/>
      <c r="F1446" s="84"/>
      <c r="G1446" s="84"/>
      <c r="H1446" s="139"/>
      <c r="I1446" s="84"/>
    </row>
    <row r="1447" spans="1:9">
      <c r="A1447" s="139"/>
      <c r="B1447" s="139"/>
      <c r="C1447" s="138"/>
      <c r="D1447" s="140"/>
      <c r="E1447" s="84"/>
      <c r="F1447" s="84"/>
      <c r="G1447" s="84"/>
      <c r="H1447" s="139"/>
      <c r="I1447" s="84"/>
    </row>
    <row r="1448" spans="1:9">
      <c r="A1448" s="139"/>
      <c r="B1448" s="139"/>
      <c r="C1448" s="138"/>
      <c r="D1448" s="140"/>
      <c r="E1448" s="84"/>
      <c r="F1448" s="84"/>
      <c r="G1448" s="84"/>
      <c r="H1448" s="139"/>
      <c r="I1448" s="84"/>
    </row>
    <row r="1449" spans="1:9">
      <c r="A1449" s="139"/>
      <c r="B1449" s="139"/>
      <c r="C1449" s="138"/>
      <c r="D1449" s="140"/>
      <c r="E1449" s="84"/>
      <c r="F1449" s="84"/>
      <c r="G1449" s="84"/>
      <c r="H1449" s="139"/>
      <c r="I1449" s="84"/>
    </row>
    <row r="1450" spans="1:9">
      <c r="A1450" s="139"/>
      <c r="B1450" s="139"/>
      <c r="C1450" s="138"/>
      <c r="D1450" s="140"/>
      <c r="E1450" s="84"/>
      <c r="F1450" s="84"/>
      <c r="G1450" s="84"/>
      <c r="H1450" s="139"/>
      <c r="I1450" s="84"/>
    </row>
    <row r="1451" spans="1:9">
      <c r="A1451" s="139"/>
      <c r="B1451" s="139"/>
      <c r="C1451" s="138"/>
      <c r="D1451" s="140"/>
      <c r="E1451" s="84"/>
      <c r="F1451" s="84"/>
      <c r="G1451" s="84"/>
      <c r="H1451" s="139"/>
      <c r="I1451" s="84"/>
    </row>
    <row r="1452" spans="1:9">
      <c r="A1452" s="139"/>
      <c r="B1452" s="139"/>
      <c r="C1452" s="138"/>
      <c r="D1452" s="140"/>
      <c r="E1452" s="84"/>
      <c r="F1452" s="84"/>
      <c r="G1452" s="84"/>
      <c r="H1452" s="139"/>
      <c r="I1452" s="84"/>
    </row>
    <row r="1453" spans="1:9">
      <c r="A1453" s="139"/>
      <c r="B1453" s="139"/>
      <c r="C1453" s="138"/>
      <c r="D1453" s="140"/>
      <c r="E1453" s="84"/>
      <c r="F1453" s="84"/>
      <c r="G1453" s="84"/>
      <c r="H1453" s="139"/>
      <c r="I1453" s="84"/>
    </row>
    <row r="1454" spans="1:9">
      <c r="A1454" s="139"/>
      <c r="B1454" s="139"/>
      <c r="C1454" s="138"/>
      <c r="D1454" s="140"/>
      <c r="E1454" s="84"/>
      <c r="F1454" s="84"/>
      <c r="G1454" s="84"/>
      <c r="H1454" s="139"/>
      <c r="I1454" s="84"/>
    </row>
    <row r="1455" spans="1:9">
      <c r="A1455" s="139"/>
      <c r="B1455" s="139"/>
      <c r="C1455" s="138"/>
      <c r="D1455" s="140"/>
      <c r="E1455" s="84"/>
      <c r="F1455" s="84"/>
      <c r="G1455" s="84"/>
      <c r="H1455" s="139"/>
      <c r="I1455" s="84"/>
    </row>
    <row r="1456" spans="1:9">
      <c r="A1456" s="139"/>
      <c r="B1456" s="139"/>
      <c r="C1456" s="138"/>
      <c r="D1456" s="140"/>
      <c r="E1456" s="84"/>
      <c r="F1456" s="84"/>
      <c r="G1456" s="84"/>
      <c r="H1456" s="139"/>
      <c r="I1456" s="84"/>
    </row>
    <row r="1457" spans="1:9">
      <c r="A1457" s="139"/>
      <c r="B1457" s="139"/>
      <c r="C1457" s="138"/>
      <c r="D1457" s="140"/>
      <c r="E1457" s="84"/>
      <c r="F1457" s="84"/>
      <c r="G1457" s="84"/>
      <c r="H1457" s="139"/>
      <c r="I1457" s="84"/>
    </row>
    <row r="1458" spans="1:9">
      <c r="A1458" s="139"/>
      <c r="B1458" s="139"/>
      <c r="C1458" s="138"/>
      <c r="D1458" s="140"/>
      <c r="E1458" s="84"/>
      <c r="F1458" s="84"/>
      <c r="G1458" s="84"/>
      <c r="H1458" s="139"/>
      <c r="I1458" s="84"/>
    </row>
    <row r="1459" spans="1:9">
      <c r="A1459" s="139"/>
      <c r="B1459" s="139"/>
      <c r="C1459" s="138"/>
      <c r="D1459" s="140"/>
      <c r="E1459" s="84"/>
      <c r="F1459" s="84"/>
      <c r="G1459" s="84"/>
      <c r="H1459" s="139"/>
      <c r="I1459" s="84"/>
    </row>
    <row r="1460" spans="1:9">
      <c r="A1460" s="139"/>
      <c r="B1460" s="139"/>
      <c r="C1460" s="138"/>
      <c r="D1460" s="140"/>
      <c r="E1460" s="84"/>
      <c r="F1460" s="84"/>
      <c r="G1460" s="84"/>
      <c r="H1460" s="139"/>
      <c r="I1460" s="84"/>
    </row>
    <row r="1461" spans="1:9">
      <c r="A1461" s="139"/>
      <c r="B1461" s="139"/>
      <c r="C1461" s="138"/>
      <c r="D1461" s="140"/>
      <c r="E1461" s="84"/>
      <c r="F1461" s="84"/>
      <c r="G1461" s="84"/>
      <c r="H1461" s="139"/>
      <c r="I1461" s="84"/>
    </row>
    <row r="1462" spans="1:9">
      <c r="A1462" s="139"/>
      <c r="B1462" s="139"/>
      <c r="C1462" s="138"/>
      <c r="D1462" s="140"/>
      <c r="E1462" s="84"/>
      <c r="F1462" s="84"/>
      <c r="G1462" s="84"/>
      <c r="H1462" s="139"/>
      <c r="I1462" s="84"/>
    </row>
    <row r="1463" spans="1:9">
      <c r="A1463" s="139"/>
      <c r="B1463" s="139"/>
      <c r="C1463" s="138"/>
      <c r="D1463" s="140"/>
      <c r="E1463" s="84"/>
      <c r="F1463" s="84"/>
      <c r="G1463" s="84"/>
      <c r="H1463" s="139"/>
      <c r="I1463" s="84"/>
    </row>
    <row r="1464" spans="1:9">
      <c r="A1464" s="139"/>
      <c r="B1464" s="139"/>
      <c r="C1464" s="138"/>
      <c r="D1464" s="140"/>
      <c r="E1464" s="84"/>
      <c r="F1464" s="84"/>
      <c r="G1464" s="84"/>
      <c r="H1464" s="139"/>
      <c r="I1464" s="84"/>
    </row>
    <row r="1465" spans="1:9">
      <c r="A1465" s="139"/>
      <c r="B1465" s="139"/>
      <c r="C1465" s="138"/>
      <c r="D1465" s="140"/>
      <c r="E1465" s="84"/>
      <c r="F1465" s="84"/>
      <c r="G1465" s="84"/>
      <c r="H1465" s="139"/>
      <c r="I1465" s="84"/>
    </row>
    <row r="1466" spans="1:9">
      <c r="A1466" s="139"/>
      <c r="B1466" s="139"/>
      <c r="C1466" s="138"/>
      <c r="D1466" s="140"/>
      <c r="E1466" s="84"/>
      <c r="F1466" s="84"/>
      <c r="G1466" s="84"/>
      <c r="H1466" s="139"/>
      <c r="I1466" s="84"/>
    </row>
    <row r="1467" spans="1:9">
      <c r="A1467" s="139"/>
      <c r="B1467" s="139"/>
      <c r="C1467" s="138"/>
      <c r="D1467" s="140"/>
      <c r="E1467" s="84"/>
      <c r="F1467" s="84"/>
      <c r="G1467" s="84"/>
      <c r="H1467" s="139"/>
      <c r="I1467" s="84"/>
    </row>
    <row r="1468" spans="1:9">
      <c r="A1468" s="139"/>
      <c r="B1468" s="139"/>
      <c r="C1468" s="138"/>
      <c r="D1468" s="140"/>
      <c r="E1468" s="84"/>
      <c r="F1468" s="84"/>
      <c r="G1468" s="84"/>
      <c r="H1468" s="139"/>
      <c r="I1468" s="84"/>
    </row>
    <row r="1469" spans="1:9">
      <c r="A1469" s="139"/>
      <c r="B1469" s="139"/>
      <c r="C1469" s="138"/>
      <c r="D1469" s="140"/>
      <c r="E1469" s="84"/>
      <c r="F1469" s="84"/>
      <c r="G1469" s="84"/>
      <c r="H1469" s="139"/>
      <c r="I1469" s="84"/>
    </row>
    <row r="1470" spans="1:9">
      <c r="A1470" s="139"/>
      <c r="B1470" s="139"/>
      <c r="C1470" s="138"/>
      <c r="D1470" s="140"/>
      <c r="E1470" s="84"/>
      <c r="F1470" s="84"/>
      <c r="G1470" s="84"/>
      <c r="H1470" s="139"/>
      <c r="I1470" s="84"/>
    </row>
    <row r="1471" spans="1:9">
      <c r="A1471" s="139"/>
      <c r="B1471" s="139"/>
      <c r="C1471" s="138"/>
      <c r="D1471" s="140"/>
      <c r="E1471" s="84"/>
      <c r="F1471" s="84"/>
      <c r="G1471" s="84"/>
      <c r="H1471" s="139"/>
      <c r="I1471" s="84"/>
    </row>
    <row r="1472" spans="1:9">
      <c r="A1472" s="139"/>
      <c r="B1472" s="139"/>
      <c r="C1472" s="138"/>
      <c r="D1472" s="140"/>
      <c r="E1472" s="84"/>
      <c r="F1472" s="84"/>
      <c r="G1472" s="84"/>
      <c r="H1472" s="139"/>
      <c r="I1472" s="84"/>
    </row>
    <row r="1473" spans="1:9">
      <c r="A1473" s="139"/>
      <c r="B1473" s="139"/>
      <c r="C1473" s="138"/>
      <c r="D1473" s="140"/>
      <c r="E1473" s="84"/>
      <c r="F1473" s="84"/>
      <c r="G1473" s="84"/>
      <c r="H1473" s="139"/>
      <c r="I1473" s="84"/>
    </row>
    <row r="1474" spans="1:9">
      <c r="A1474" s="139"/>
      <c r="B1474" s="139"/>
      <c r="C1474" s="138"/>
      <c r="D1474" s="140"/>
      <c r="E1474" s="84"/>
      <c r="F1474" s="84"/>
      <c r="G1474" s="84"/>
      <c r="H1474" s="139"/>
      <c r="I1474" s="84"/>
    </row>
    <row r="1475" spans="1:9">
      <c r="A1475" s="139"/>
      <c r="B1475" s="139"/>
      <c r="C1475" s="138"/>
      <c r="D1475" s="140"/>
      <c r="E1475" s="84"/>
      <c r="F1475" s="84"/>
      <c r="G1475" s="84"/>
      <c r="H1475" s="139"/>
      <c r="I1475" s="84"/>
    </row>
    <row r="1476" spans="1:9">
      <c r="A1476" s="139"/>
      <c r="B1476" s="139"/>
      <c r="C1476" s="138"/>
      <c r="D1476" s="140"/>
      <c r="E1476" s="84"/>
      <c r="F1476" s="84"/>
      <c r="G1476" s="84"/>
      <c r="H1476" s="139"/>
      <c r="I1476" s="84"/>
    </row>
    <row r="1477" spans="1:9">
      <c r="A1477" s="139"/>
      <c r="B1477" s="139"/>
      <c r="C1477" s="138"/>
      <c r="D1477" s="140"/>
      <c r="E1477" s="84"/>
      <c r="F1477" s="84"/>
      <c r="G1477" s="84"/>
      <c r="H1477" s="139"/>
      <c r="I1477" s="84"/>
    </row>
    <row r="1478" spans="1:9">
      <c r="A1478" s="139"/>
      <c r="B1478" s="139"/>
      <c r="C1478" s="138"/>
      <c r="D1478" s="140"/>
      <c r="E1478" s="84"/>
      <c r="F1478" s="84"/>
      <c r="G1478" s="84"/>
      <c r="H1478" s="139"/>
      <c r="I1478" s="84"/>
    </row>
    <row r="1479" spans="1:9">
      <c r="A1479" s="139"/>
      <c r="B1479" s="139"/>
      <c r="C1479" s="138"/>
      <c r="D1479" s="140"/>
      <c r="E1479" s="84"/>
      <c r="F1479" s="84"/>
      <c r="G1479" s="84"/>
      <c r="H1479" s="139"/>
      <c r="I1479" s="84"/>
    </row>
    <row r="1480" spans="1:9">
      <c r="A1480" s="139"/>
      <c r="B1480" s="139"/>
      <c r="C1480" s="138"/>
      <c r="D1480" s="140"/>
      <c r="E1480" s="84"/>
      <c r="F1480" s="84"/>
      <c r="G1480" s="84"/>
      <c r="H1480" s="139"/>
      <c r="I1480" s="84"/>
    </row>
    <row r="1481" spans="1:9">
      <c r="A1481" s="139"/>
      <c r="B1481" s="139"/>
      <c r="C1481" s="138"/>
      <c r="D1481" s="140"/>
      <c r="E1481" s="84"/>
      <c r="F1481" s="84"/>
      <c r="G1481" s="84"/>
      <c r="H1481" s="139"/>
      <c r="I1481" s="84"/>
    </row>
    <row r="1482" spans="1:9">
      <c r="A1482" s="139"/>
      <c r="B1482" s="139"/>
      <c r="C1482" s="138"/>
      <c r="D1482" s="140"/>
      <c r="E1482" s="84"/>
      <c r="F1482" s="84"/>
      <c r="G1482" s="84"/>
      <c r="H1482" s="139"/>
      <c r="I1482" s="84"/>
    </row>
    <row r="1483" spans="1:9">
      <c r="A1483" s="139"/>
      <c r="B1483" s="139"/>
      <c r="C1483" s="138"/>
      <c r="D1483" s="140"/>
      <c r="E1483" s="84"/>
      <c r="F1483" s="84"/>
      <c r="G1483" s="84"/>
      <c r="H1483" s="139"/>
      <c r="I1483" s="84"/>
    </row>
    <row r="1484" spans="1:9">
      <c r="A1484" s="139"/>
      <c r="B1484" s="139"/>
      <c r="C1484" s="138"/>
      <c r="D1484" s="140"/>
      <c r="E1484" s="84"/>
      <c r="F1484" s="84"/>
      <c r="G1484" s="84"/>
      <c r="H1484" s="139"/>
      <c r="I1484" s="84"/>
    </row>
    <row r="1485" spans="1:9">
      <c r="A1485" s="139"/>
      <c r="B1485" s="139"/>
      <c r="C1485" s="138"/>
      <c r="D1485" s="140"/>
      <c r="E1485" s="84"/>
      <c r="F1485" s="84"/>
      <c r="G1485" s="84"/>
      <c r="H1485" s="139"/>
      <c r="I1485" s="84"/>
    </row>
    <row r="1486" spans="1:9">
      <c r="A1486" s="139"/>
      <c r="B1486" s="139"/>
      <c r="C1486" s="138"/>
      <c r="D1486" s="140"/>
      <c r="E1486" s="84"/>
      <c r="F1486" s="84"/>
      <c r="G1486" s="84"/>
      <c r="H1486" s="139"/>
      <c r="I1486" s="84"/>
    </row>
    <row r="1487" spans="1:9">
      <c r="A1487" s="139"/>
      <c r="B1487" s="139"/>
      <c r="C1487" s="138"/>
      <c r="D1487" s="140"/>
      <c r="E1487" s="84"/>
      <c r="F1487" s="84"/>
      <c r="G1487" s="84"/>
      <c r="H1487" s="139"/>
      <c r="I1487" s="84"/>
    </row>
    <row r="1488" spans="1:9">
      <c r="A1488" s="139"/>
      <c r="B1488" s="139"/>
      <c r="C1488" s="138"/>
      <c r="D1488" s="140"/>
      <c r="E1488" s="84"/>
      <c r="F1488" s="84"/>
      <c r="G1488" s="84"/>
      <c r="H1488" s="139"/>
      <c r="I1488" s="84"/>
    </row>
    <row r="1489" spans="1:9">
      <c r="A1489" s="139"/>
      <c r="B1489" s="139"/>
      <c r="C1489" s="138"/>
      <c r="D1489" s="140"/>
      <c r="E1489" s="84"/>
      <c r="F1489" s="84"/>
      <c r="G1489" s="84"/>
      <c r="H1489" s="139"/>
      <c r="I1489" s="84"/>
    </row>
    <row r="1490" spans="1:9">
      <c r="A1490" s="139"/>
      <c r="B1490" s="139"/>
      <c r="C1490" s="138"/>
      <c r="D1490" s="140"/>
      <c r="E1490" s="84"/>
      <c r="F1490" s="84"/>
      <c r="G1490" s="84"/>
      <c r="H1490" s="139"/>
      <c r="I1490" s="84"/>
    </row>
    <row r="1491" spans="1:9">
      <c r="A1491" s="139"/>
      <c r="B1491" s="139"/>
      <c r="C1491" s="138"/>
      <c r="D1491" s="140"/>
      <c r="E1491" s="84"/>
      <c r="F1491" s="84"/>
      <c r="G1491" s="84"/>
      <c r="H1491" s="139"/>
      <c r="I1491" s="84"/>
    </row>
    <row r="1492" spans="1:9">
      <c r="A1492" s="139"/>
      <c r="B1492" s="139"/>
      <c r="C1492" s="138"/>
      <c r="D1492" s="140"/>
      <c r="E1492" s="84"/>
      <c r="F1492" s="84"/>
      <c r="G1492" s="84"/>
      <c r="H1492" s="139"/>
      <c r="I1492" s="84"/>
    </row>
    <row r="1493" spans="1:9">
      <c r="A1493" s="139"/>
      <c r="B1493" s="139"/>
      <c r="C1493" s="138"/>
      <c r="D1493" s="140"/>
      <c r="E1493" s="84"/>
      <c r="F1493" s="84"/>
      <c r="G1493" s="84"/>
      <c r="H1493" s="139"/>
      <c r="I1493" s="84"/>
    </row>
    <row r="1494" spans="1:9">
      <c r="A1494" s="139"/>
      <c r="B1494" s="139"/>
      <c r="C1494" s="138"/>
      <c r="D1494" s="140"/>
      <c r="E1494" s="84"/>
      <c r="F1494" s="84"/>
      <c r="G1494" s="84"/>
      <c r="H1494" s="139"/>
      <c r="I1494" s="84"/>
    </row>
    <row r="1495" spans="1:9">
      <c r="A1495" s="139"/>
      <c r="B1495" s="139"/>
      <c r="C1495" s="138"/>
      <c r="D1495" s="140"/>
      <c r="E1495" s="84"/>
      <c r="F1495" s="84"/>
      <c r="G1495" s="84"/>
      <c r="H1495" s="139"/>
      <c r="I1495" s="84"/>
    </row>
    <row r="1496" spans="1:9">
      <c r="A1496" s="139"/>
      <c r="B1496" s="139"/>
      <c r="C1496" s="138"/>
      <c r="D1496" s="140"/>
      <c r="E1496" s="84"/>
      <c r="F1496" s="84"/>
      <c r="G1496" s="84"/>
      <c r="H1496" s="139"/>
      <c r="I1496" s="84"/>
    </row>
    <row r="1497" spans="1:9">
      <c r="A1497" s="139"/>
      <c r="B1497" s="139"/>
      <c r="C1497" s="138"/>
      <c r="D1497" s="140"/>
      <c r="E1497" s="84"/>
      <c r="F1497" s="84"/>
      <c r="G1497" s="84"/>
      <c r="H1497" s="139"/>
      <c r="I1497" s="84"/>
    </row>
    <row r="1498" spans="1:9">
      <c r="A1498" s="139"/>
      <c r="B1498" s="139"/>
      <c r="C1498" s="138"/>
      <c r="D1498" s="140"/>
      <c r="E1498" s="84"/>
      <c r="F1498" s="84"/>
      <c r="G1498" s="84"/>
      <c r="H1498" s="139"/>
      <c r="I1498" s="84"/>
    </row>
    <row r="1499" spans="1:9">
      <c r="A1499" s="139"/>
      <c r="B1499" s="139"/>
      <c r="C1499" s="138"/>
      <c r="D1499" s="140"/>
      <c r="E1499" s="84"/>
      <c r="F1499" s="84"/>
      <c r="G1499" s="84"/>
      <c r="H1499" s="139"/>
      <c r="I1499" s="84"/>
    </row>
    <row r="1500" spans="1:9">
      <c r="A1500" s="139"/>
      <c r="B1500" s="139"/>
      <c r="C1500" s="138"/>
      <c r="D1500" s="140"/>
      <c r="E1500" s="84"/>
      <c r="F1500" s="84"/>
      <c r="G1500" s="84"/>
      <c r="H1500" s="139"/>
      <c r="I1500" s="84"/>
    </row>
    <row r="1501" spans="1:9">
      <c r="A1501" s="139"/>
      <c r="B1501" s="139"/>
      <c r="C1501" s="138"/>
      <c r="D1501" s="140"/>
      <c r="E1501" s="84"/>
      <c r="F1501" s="84"/>
      <c r="G1501" s="84"/>
      <c r="H1501" s="139"/>
      <c r="I1501" s="84"/>
    </row>
    <row r="1502" spans="1:9">
      <c r="A1502" s="139"/>
      <c r="B1502" s="139"/>
      <c r="C1502" s="138"/>
      <c r="D1502" s="140"/>
      <c r="E1502" s="84"/>
      <c r="F1502" s="84"/>
      <c r="G1502" s="84"/>
      <c r="H1502" s="139"/>
      <c r="I1502" s="84"/>
    </row>
    <row r="1503" spans="1:9">
      <c r="A1503" s="139"/>
      <c r="B1503" s="139"/>
      <c r="C1503" s="138"/>
      <c r="D1503" s="140"/>
      <c r="E1503" s="84"/>
      <c r="F1503" s="84"/>
      <c r="G1503" s="84"/>
      <c r="H1503" s="139"/>
      <c r="I1503" s="84"/>
    </row>
    <row r="1504" spans="1:9">
      <c r="A1504" s="139"/>
      <c r="B1504" s="139"/>
      <c r="C1504" s="138"/>
      <c r="D1504" s="140"/>
      <c r="E1504" s="84"/>
      <c r="F1504" s="84"/>
      <c r="G1504" s="84"/>
      <c r="H1504" s="139"/>
      <c r="I1504" s="84"/>
    </row>
    <row r="1505" spans="1:9">
      <c r="A1505" s="139"/>
      <c r="B1505" s="139"/>
      <c r="C1505" s="138"/>
      <c r="D1505" s="140"/>
      <c r="E1505" s="84"/>
      <c r="F1505" s="84"/>
      <c r="G1505" s="84"/>
      <c r="H1505" s="139"/>
      <c r="I1505" s="84"/>
    </row>
    <row r="1506" spans="1:9">
      <c r="A1506" s="139"/>
      <c r="B1506" s="139"/>
      <c r="C1506" s="138"/>
      <c r="D1506" s="140"/>
      <c r="E1506" s="84"/>
      <c r="F1506" s="84"/>
      <c r="G1506" s="84"/>
      <c r="H1506" s="139"/>
      <c r="I1506" s="84"/>
    </row>
    <row r="1507" spans="1:9">
      <c r="A1507" s="139"/>
      <c r="B1507" s="139"/>
      <c r="C1507" s="138"/>
      <c r="D1507" s="140"/>
      <c r="E1507" s="84"/>
      <c r="F1507" s="84"/>
      <c r="G1507" s="84"/>
      <c r="H1507" s="139"/>
      <c r="I1507" s="84"/>
    </row>
    <row r="1508" spans="1:9">
      <c r="A1508" s="139"/>
      <c r="B1508" s="139"/>
      <c r="C1508" s="138"/>
      <c r="D1508" s="140"/>
      <c r="E1508" s="84"/>
      <c r="F1508" s="84"/>
      <c r="G1508" s="84"/>
      <c r="H1508" s="139"/>
      <c r="I1508" s="84"/>
    </row>
    <row r="1509" spans="1:9">
      <c r="A1509" s="139"/>
      <c r="B1509" s="139"/>
      <c r="C1509" s="138"/>
      <c r="D1509" s="140"/>
      <c r="E1509" s="84"/>
      <c r="F1509" s="84"/>
      <c r="G1509" s="84"/>
      <c r="H1509" s="139"/>
      <c r="I1509" s="84"/>
    </row>
    <row r="1510" spans="1:9">
      <c r="A1510" s="139"/>
      <c r="B1510" s="139"/>
      <c r="C1510" s="138"/>
      <c r="D1510" s="140"/>
      <c r="E1510" s="84"/>
      <c r="F1510" s="84"/>
      <c r="G1510" s="84"/>
      <c r="H1510" s="139"/>
      <c r="I1510" s="84"/>
    </row>
    <row r="1511" spans="1:9">
      <c r="A1511" s="139"/>
      <c r="B1511" s="139"/>
      <c r="C1511" s="138"/>
      <c r="D1511" s="140"/>
      <c r="E1511" s="84"/>
      <c r="F1511" s="84"/>
      <c r="G1511" s="84"/>
      <c r="H1511" s="139"/>
      <c r="I1511" s="84"/>
    </row>
    <row r="1512" spans="1:9">
      <c r="A1512" s="139"/>
      <c r="B1512" s="139"/>
      <c r="C1512" s="138"/>
      <c r="D1512" s="140"/>
      <c r="E1512" s="84"/>
      <c r="F1512" s="84"/>
      <c r="G1512" s="84"/>
      <c r="H1512" s="139"/>
      <c r="I1512" s="84"/>
    </row>
    <row r="1513" spans="1:9">
      <c r="A1513" s="139"/>
      <c r="B1513" s="139"/>
      <c r="C1513" s="138"/>
      <c r="D1513" s="140"/>
      <c r="E1513" s="84"/>
      <c r="F1513" s="84"/>
      <c r="G1513" s="84"/>
      <c r="H1513" s="139"/>
      <c r="I1513" s="84"/>
    </row>
    <row r="1514" spans="1:9">
      <c r="A1514" s="139"/>
      <c r="B1514" s="139"/>
      <c r="C1514" s="138"/>
      <c r="D1514" s="140"/>
      <c r="E1514" s="84"/>
      <c r="F1514" s="84"/>
      <c r="G1514" s="84"/>
      <c r="H1514" s="139"/>
      <c r="I1514" s="84"/>
    </row>
    <row r="1515" spans="1:9">
      <c r="A1515" s="139"/>
      <c r="B1515" s="139"/>
      <c r="C1515" s="138"/>
      <c r="D1515" s="140"/>
      <c r="E1515" s="84"/>
      <c r="F1515" s="84"/>
      <c r="G1515" s="84"/>
      <c r="H1515" s="139"/>
      <c r="I1515" s="84"/>
    </row>
    <row r="1516" spans="1:9">
      <c r="A1516" s="139"/>
      <c r="B1516" s="139"/>
      <c r="C1516" s="138"/>
      <c r="D1516" s="140"/>
      <c r="E1516" s="84"/>
      <c r="F1516" s="84"/>
      <c r="G1516" s="84"/>
      <c r="H1516" s="139"/>
      <c r="I1516" s="84"/>
    </row>
    <row r="1517" spans="1:9">
      <c r="A1517" s="139"/>
      <c r="B1517" s="139"/>
      <c r="C1517" s="138"/>
      <c r="D1517" s="140"/>
      <c r="E1517" s="84"/>
      <c r="F1517" s="84"/>
      <c r="G1517" s="84"/>
      <c r="H1517" s="139"/>
      <c r="I1517" s="84"/>
    </row>
    <row r="1518" spans="1:9">
      <c r="A1518" s="139"/>
      <c r="B1518" s="139"/>
      <c r="C1518" s="138"/>
      <c r="D1518" s="140"/>
      <c r="E1518" s="84"/>
      <c r="F1518" s="84"/>
      <c r="G1518" s="84"/>
      <c r="H1518" s="139"/>
      <c r="I1518" s="84"/>
    </row>
    <row r="1519" spans="1:9">
      <c r="A1519" s="139"/>
      <c r="B1519" s="139"/>
      <c r="C1519" s="138"/>
      <c r="D1519" s="140"/>
      <c r="E1519" s="84"/>
      <c r="F1519" s="84"/>
      <c r="G1519" s="84"/>
      <c r="H1519" s="139"/>
      <c r="I1519" s="84"/>
    </row>
    <row r="1520" spans="1:9">
      <c r="A1520" s="139"/>
      <c r="B1520" s="139"/>
      <c r="C1520" s="138"/>
      <c r="D1520" s="140"/>
      <c r="E1520" s="84"/>
      <c r="F1520" s="84"/>
      <c r="G1520" s="84"/>
      <c r="H1520" s="139"/>
      <c r="I1520" s="84"/>
    </row>
    <row r="1521" spans="1:9">
      <c r="A1521" s="139"/>
      <c r="B1521" s="139"/>
      <c r="C1521" s="138"/>
      <c r="D1521" s="140"/>
      <c r="E1521" s="84"/>
      <c r="F1521" s="84"/>
      <c r="G1521" s="84"/>
      <c r="H1521" s="139"/>
      <c r="I1521" s="84"/>
    </row>
    <row r="1522" spans="1:9">
      <c r="A1522" s="139"/>
      <c r="B1522" s="139"/>
      <c r="C1522" s="138"/>
      <c r="D1522" s="140"/>
      <c r="E1522" s="84"/>
      <c r="F1522" s="84"/>
      <c r="G1522" s="84"/>
      <c r="H1522" s="139"/>
      <c r="I1522" s="84"/>
    </row>
    <row r="1523" spans="1:9">
      <c r="A1523" s="139"/>
      <c r="B1523" s="139"/>
      <c r="C1523" s="138"/>
      <c r="D1523" s="140"/>
      <c r="E1523" s="84"/>
      <c r="F1523" s="84"/>
      <c r="G1523" s="84"/>
      <c r="H1523" s="139"/>
      <c r="I1523" s="84"/>
    </row>
    <row r="1524" spans="1:9">
      <c r="A1524" s="139"/>
      <c r="B1524" s="139"/>
      <c r="C1524" s="138"/>
      <c r="D1524" s="140"/>
      <c r="E1524" s="84"/>
      <c r="F1524" s="84"/>
      <c r="G1524" s="84"/>
      <c r="H1524" s="139"/>
      <c r="I1524" s="84"/>
    </row>
    <row r="1525" spans="1:9">
      <c r="A1525" s="139"/>
      <c r="B1525" s="139"/>
      <c r="C1525" s="138"/>
      <c r="D1525" s="140"/>
      <c r="E1525" s="84"/>
      <c r="F1525" s="84"/>
      <c r="G1525" s="84"/>
      <c r="H1525" s="139"/>
      <c r="I1525" s="84"/>
    </row>
    <row r="1526" spans="1:9">
      <c r="A1526" s="139"/>
      <c r="B1526" s="139"/>
      <c r="C1526" s="138"/>
      <c r="D1526" s="140"/>
      <c r="E1526" s="84"/>
      <c r="F1526" s="84"/>
      <c r="G1526" s="84"/>
      <c r="H1526" s="139"/>
      <c r="I1526" s="84"/>
    </row>
    <row r="1527" spans="1:9">
      <c r="A1527" s="139"/>
      <c r="B1527" s="139"/>
      <c r="C1527" s="138"/>
      <c r="D1527" s="140"/>
      <c r="E1527" s="84"/>
      <c r="F1527" s="84"/>
      <c r="G1527" s="84"/>
      <c r="H1527" s="139"/>
      <c r="I1527" s="84"/>
    </row>
    <row r="1528" spans="1:9">
      <c r="A1528" s="139"/>
      <c r="B1528" s="139"/>
      <c r="C1528" s="138"/>
      <c r="D1528" s="140"/>
      <c r="E1528" s="84"/>
      <c r="F1528" s="84"/>
      <c r="G1528" s="84"/>
      <c r="H1528" s="139"/>
      <c r="I1528" s="84"/>
    </row>
    <row r="1529" spans="1:9">
      <c r="A1529" s="139"/>
      <c r="B1529" s="139"/>
      <c r="C1529" s="138"/>
      <c r="D1529" s="140"/>
      <c r="E1529" s="84"/>
      <c r="F1529" s="84"/>
      <c r="G1529" s="84"/>
      <c r="H1529" s="139"/>
      <c r="I1529" s="84"/>
    </row>
    <row r="1530" spans="1:9">
      <c r="A1530" s="139"/>
      <c r="B1530" s="139"/>
      <c r="C1530" s="138"/>
      <c r="D1530" s="140"/>
      <c r="E1530" s="84"/>
      <c r="F1530" s="84"/>
      <c r="G1530" s="84"/>
      <c r="H1530" s="139"/>
      <c r="I1530" s="84"/>
    </row>
    <row r="1531" spans="1:9">
      <c r="A1531" s="139"/>
      <c r="B1531" s="139"/>
      <c r="C1531" s="138"/>
      <c r="D1531" s="140"/>
      <c r="E1531" s="84"/>
      <c r="F1531" s="84"/>
      <c r="G1531" s="84"/>
      <c r="H1531" s="139"/>
      <c r="I1531" s="84"/>
    </row>
    <row r="1532" spans="1:9">
      <c r="A1532" s="139"/>
      <c r="B1532" s="139"/>
      <c r="C1532" s="138"/>
      <c r="D1532" s="140"/>
      <c r="E1532" s="84"/>
      <c r="F1532" s="84"/>
      <c r="G1532" s="84"/>
      <c r="H1532" s="139"/>
      <c r="I1532" s="84"/>
    </row>
    <row r="1533" spans="1:9">
      <c r="A1533" s="139"/>
      <c r="B1533" s="139"/>
      <c r="C1533" s="138"/>
      <c r="D1533" s="140"/>
      <c r="E1533" s="84"/>
      <c r="F1533" s="84"/>
      <c r="G1533" s="84"/>
      <c r="H1533" s="139"/>
      <c r="I1533" s="84"/>
    </row>
    <row r="1534" spans="1:9">
      <c r="A1534" s="139"/>
      <c r="B1534" s="139"/>
      <c r="C1534" s="138"/>
      <c r="D1534" s="140"/>
      <c r="E1534" s="84"/>
      <c r="F1534" s="84"/>
      <c r="G1534" s="84"/>
      <c r="H1534" s="139"/>
      <c r="I1534" s="84"/>
    </row>
    <row r="1535" spans="1:9">
      <c r="A1535" s="139"/>
      <c r="B1535" s="139"/>
      <c r="C1535" s="138"/>
      <c r="D1535" s="140"/>
      <c r="E1535" s="84"/>
      <c r="F1535" s="84"/>
      <c r="G1535" s="84"/>
      <c r="H1535" s="139"/>
      <c r="I1535" s="84"/>
    </row>
    <row r="1536" spans="1:9">
      <c r="A1536" s="139"/>
      <c r="B1536" s="139"/>
      <c r="C1536" s="138"/>
      <c r="D1536" s="140"/>
      <c r="E1536" s="84"/>
      <c r="F1536" s="84"/>
      <c r="G1536" s="84"/>
      <c r="H1536" s="139"/>
      <c r="I1536" s="84"/>
    </row>
    <row r="1537" spans="1:9">
      <c r="A1537" s="139"/>
      <c r="B1537" s="139"/>
      <c r="C1537" s="138"/>
      <c r="D1537" s="140"/>
      <c r="E1537" s="84"/>
      <c r="F1537" s="84"/>
      <c r="G1537" s="84"/>
      <c r="H1537" s="139"/>
      <c r="I1537" s="84"/>
    </row>
    <row r="1538" spans="1:9">
      <c r="A1538" s="139"/>
      <c r="B1538" s="139"/>
      <c r="C1538" s="138"/>
      <c r="D1538" s="140"/>
      <c r="E1538" s="84"/>
      <c r="F1538" s="84"/>
      <c r="G1538" s="84"/>
      <c r="H1538" s="139"/>
      <c r="I1538" s="84"/>
    </row>
    <row r="1539" spans="1:9">
      <c r="A1539" s="139"/>
      <c r="B1539" s="139"/>
      <c r="C1539" s="138"/>
      <c r="D1539" s="140"/>
      <c r="E1539" s="84"/>
      <c r="F1539" s="84"/>
      <c r="G1539" s="84"/>
      <c r="H1539" s="139"/>
      <c r="I1539" s="84"/>
    </row>
    <row r="1540" spans="1:9">
      <c r="A1540" s="139"/>
      <c r="B1540" s="139"/>
      <c r="C1540" s="138"/>
      <c r="D1540" s="140"/>
      <c r="E1540" s="84"/>
      <c r="F1540" s="84"/>
      <c r="G1540" s="84"/>
      <c r="H1540" s="139"/>
      <c r="I1540" s="84"/>
    </row>
    <row r="1541" spans="1:9">
      <c r="A1541" s="139"/>
      <c r="B1541" s="139"/>
      <c r="C1541" s="138"/>
      <c r="D1541" s="140"/>
      <c r="E1541" s="84"/>
      <c r="F1541" s="84"/>
      <c r="G1541" s="84"/>
      <c r="H1541" s="139"/>
      <c r="I1541" s="84"/>
    </row>
    <row r="1542" spans="1:9">
      <c r="A1542" s="139"/>
      <c r="B1542" s="139"/>
      <c r="C1542" s="138"/>
      <c r="D1542" s="140"/>
      <c r="E1542" s="84"/>
      <c r="F1542" s="84"/>
      <c r="G1542" s="84"/>
      <c r="H1542" s="139"/>
      <c r="I1542" s="84"/>
    </row>
    <row r="1543" spans="1:9">
      <c r="A1543" s="139"/>
      <c r="B1543" s="139"/>
      <c r="C1543" s="138"/>
      <c r="D1543" s="140"/>
      <c r="E1543" s="84"/>
      <c r="F1543" s="84"/>
      <c r="G1543" s="84"/>
      <c r="H1543" s="139"/>
      <c r="I1543" s="84"/>
    </row>
    <row r="1544" spans="1:9">
      <c r="A1544" s="139"/>
      <c r="B1544" s="139"/>
      <c r="C1544" s="138"/>
      <c r="D1544" s="140"/>
      <c r="E1544" s="84"/>
      <c r="F1544" s="84"/>
      <c r="G1544" s="84"/>
      <c r="H1544" s="139"/>
      <c r="I1544" s="84"/>
    </row>
    <row r="1545" spans="1:9">
      <c r="A1545" s="139"/>
      <c r="B1545" s="139"/>
      <c r="C1545" s="138"/>
      <c r="D1545" s="140"/>
      <c r="E1545" s="84"/>
      <c r="F1545" s="84"/>
      <c r="G1545" s="84"/>
      <c r="H1545" s="139"/>
      <c r="I1545" s="84"/>
    </row>
    <row r="1546" spans="1:9">
      <c r="A1546" s="139"/>
      <c r="B1546" s="139"/>
      <c r="C1546" s="138"/>
      <c r="D1546" s="140"/>
      <c r="E1546" s="84"/>
      <c r="F1546" s="84"/>
      <c r="G1546" s="84"/>
      <c r="H1546" s="139"/>
      <c r="I1546" s="84"/>
    </row>
    <row r="1547" spans="1:9">
      <c r="A1547" s="139"/>
      <c r="B1547" s="139"/>
      <c r="C1547" s="138"/>
      <c r="D1547" s="140"/>
      <c r="E1547" s="84"/>
      <c r="F1547" s="84"/>
      <c r="G1547" s="84"/>
      <c r="H1547" s="139"/>
      <c r="I1547" s="84"/>
    </row>
    <row r="1548" spans="1:9">
      <c r="A1548" s="139"/>
      <c r="B1548" s="139"/>
      <c r="C1548" s="138"/>
      <c r="D1548" s="140"/>
      <c r="E1548" s="84"/>
      <c r="F1548" s="84"/>
      <c r="G1548" s="84"/>
      <c r="H1548" s="139"/>
      <c r="I1548" s="84"/>
    </row>
    <row r="1549" spans="1:9">
      <c r="A1549" s="139"/>
      <c r="B1549" s="139"/>
      <c r="C1549" s="138"/>
      <c r="D1549" s="140"/>
      <c r="E1549" s="84"/>
      <c r="F1549" s="84"/>
      <c r="G1549" s="84"/>
      <c r="H1549" s="139"/>
      <c r="I1549" s="84"/>
    </row>
    <row r="1550" spans="1:9">
      <c r="A1550" s="139"/>
      <c r="B1550" s="139"/>
      <c r="C1550" s="138"/>
      <c r="D1550" s="140"/>
      <c r="E1550" s="84"/>
      <c r="F1550" s="84"/>
      <c r="G1550" s="84"/>
      <c r="H1550" s="139"/>
      <c r="I1550" s="84"/>
    </row>
    <row r="1551" spans="1:9">
      <c r="A1551" s="139"/>
      <c r="B1551" s="139"/>
      <c r="C1551" s="138"/>
      <c r="D1551" s="140"/>
      <c r="E1551" s="84"/>
      <c r="F1551" s="84"/>
      <c r="G1551" s="84"/>
      <c r="H1551" s="139"/>
      <c r="I1551" s="84"/>
    </row>
    <row r="1552" spans="1:9">
      <c r="A1552" s="139"/>
      <c r="B1552" s="139"/>
      <c r="C1552" s="138"/>
      <c r="D1552" s="140"/>
      <c r="E1552" s="84"/>
      <c r="F1552" s="84"/>
      <c r="G1552" s="84"/>
      <c r="H1552" s="139"/>
      <c r="I1552" s="84"/>
    </row>
    <row r="1553" spans="1:9">
      <c r="A1553" s="139"/>
      <c r="B1553" s="139"/>
      <c r="C1553" s="138"/>
      <c r="D1553" s="140"/>
      <c r="E1553" s="84"/>
      <c r="F1553" s="84"/>
      <c r="G1553" s="84"/>
      <c r="H1553" s="139"/>
      <c r="I1553" s="84"/>
    </row>
    <row r="1554" spans="1:9">
      <c r="A1554" s="139"/>
      <c r="B1554" s="139"/>
      <c r="C1554" s="138"/>
      <c r="D1554" s="140"/>
      <c r="E1554" s="84"/>
      <c r="F1554" s="84"/>
      <c r="G1554" s="84"/>
      <c r="H1554" s="139"/>
      <c r="I1554" s="84"/>
    </row>
    <row r="1555" spans="1:9">
      <c r="A1555" s="139"/>
      <c r="B1555" s="139"/>
      <c r="C1555" s="138"/>
      <c r="D1555" s="140"/>
      <c r="E1555" s="84"/>
      <c r="F1555" s="84"/>
      <c r="G1555" s="84"/>
      <c r="H1555" s="139"/>
      <c r="I1555" s="84"/>
    </row>
    <row r="1556" spans="1:9">
      <c r="A1556" s="139"/>
      <c r="B1556" s="139"/>
      <c r="C1556" s="138"/>
      <c r="D1556" s="140"/>
      <c r="E1556" s="84"/>
      <c r="F1556" s="84"/>
      <c r="G1556" s="84"/>
      <c r="H1556" s="139"/>
      <c r="I1556" s="84"/>
    </row>
    <row r="1557" spans="1:9">
      <c r="A1557" s="139"/>
      <c r="B1557" s="139"/>
      <c r="C1557" s="138"/>
      <c r="D1557" s="140"/>
      <c r="E1557" s="84"/>
      <c r="F1557" s="84"/>
      <c r="G1557" s="84"/>
      <c r="H1557" s="139"/>
      <c r="I1557" s="84"/>
    </row>
    <row r="1558" spans="1:9">
      <c r="A1558" s="139"/>
      <c r="B1558" s="139"/>
      <c r="C1558" s="138"/>
      <c r="D1558" s="140"/>
      <c r="E1558" s="84"/>
      <c r="F1558" s="84"/>
      <c r="G1558" s="84"/>
      <c r="H1558" s="139"/>
      <c r="I1558" s="84"/>
    </row>
    <row r="1559" spans="1:9">
      <c r="A1559" s="139"/>
      <c r="B1559" s="139"/>
      <c r="C1559" s="138"/>
      <c r="D1559" s="140"/>
      <c r="E1559" s="84"/>
      <c r="F1559" s="84"/>
      <c r="G1559" s="84"/>
      <c r="H1559" s="139"/>
      <c r="I1559" s="84"/>
    </row>
    <row r="1560" spans="1:9">
      <c r="A1560" s="139"/>
      <c r="B1560" s="139"/>
      <c r="C1560" s="138"/>
      <c r="D1560" s="140"/>
      <c r="E1560" s="84"/>
      <c r="F1560" s="84"/>
      <c r="G1560" s="84"/>
      <c r="H1560" s="139"/>
      <c r="I1560" s="84"/>
    </row>
    <row r="1561" spans="1:9">
      <c r="A1561" s="139"/>
      <c r="B1561" s="139"/>
      <c r="C1561" s="138"/>
      <c r="D1561" s="140"/>
      <c r="E1561" s="84"/>
      <c r="F1561" s="84"/>
      <c r="G1561" s="84"/>
      <c r="H1561" s="139"/>
      <c r="I1561" s="84"/>
    </row>
    <row r="1562" spans="1:9">
      <c r="A1562" s="139"/>
      <c r="B1562" s="139"/>
      <c r="C1562" s="138"/>
      <c r="D1562" s="140"/>
      <c r="E1562" s="84"/>
      <c r="F1562" s="84"/>
      <c r="G1562" s="84"/>
      <c r="H1562" s="139"/>
      <c r="I1562" s="84"/>
    </row>
    <row r="1563" spans="1:9">
      <c r="A1563" s="139"/>
      <c r="B1563" s="139"/>
      <c r="C1563" s="138"/>
      <c r="D1563" s="140"/>
      <c r="E1563" s="84"/>
      <c r="F1563" s="84"/>
      <c r="G1563" s="84"/>
      <c r="H1563" s="139"/>
      <c r="I1563" s="84"/>
    </row>
    <row r="1564" spans="1:9">
      <c r="A1564" s="139"/>
      <c r="B1564" s="139"/>
      <c r="C1564" s="138"/>
      <c r="D1564" s="140"/>
      <c r="E1564" s="84"/>
      <c r="F1564" s="84"/>
      <c r="G1564" s="84"/>
      <c r="H1564" s="139"/>
      <c r="I1564" s="84"/>
    </row>
    <row r="1565" spans="1:9">
      <c r="A1565" s="139"/>
      <c r="B1565" s="139"/>
      <c r="C1565" s="138"/>
      <c r="D1565" s="140"/>
      <c r="E1565" s="84"/>
      <c r="F1565" s="84"/>
      <c r="G1565" s="84"/>
      <c r="H1565" s="139"/>
      <c r="I1565" s="84"/>
    </row>
    <row r="1566" spans="1:9">
      <c r="A1566" s="139"/>
      <c r="B1566" s="139"/>
      <c r="C1566" s="138"/>
      <c r="D1566" s="140"/>
      <c r="E1566" s="84"/>
      <c r="F1566" s="84"/>
      <c r="G1566" s="84"/>
      <c r="H1566" s="139"/>
      <c r="I1566" s="84"/>
    </row>
    <row r="1567" spans="1:9">
      <c r="A1567" s="139"/>
      <c r="B1567" s="139"/>
      <c r="C1567" s="138"/>
      <c r="D1567" s="140"/>
      <c r="E1567" s="84"/>
      <c r="F1567" s="84"/>
      <c r="G1567" s="84"/>
      <c r="H1567" s="139"/>
      <c r="I1567" s="84"/>
    </row>
    <row r="1568" spans="1:9">
      <c r="A1568" s="139"/>
      <c r="B1568" s="139"/>
      <c r="C1568" s="138"/>
      <c r="D1568" s="140"/>
      <c r="E1568" s="84"/>
      <c r="F1568" s="84"/>
      <c r="G1568" s="84"/>
      <c r="H1568" s="139"/>
      <c r="I1568" s="84"/>
    </row>
    <row r="1569" spans="1:9">
      <c r="A1569" s="139"/>
      <c r="B1569" s="139"/>
      <c r="C1569" s="138"/>
      <c r="D1569" s="140"/>
      <c r="E1569" s="84"/>
      <c r="F1569" s="84"/>
      <c r="G1569" s="84"/>
      <c r="H1569" s="139"/>
      <c r="I1569" s="84"/>
    </row>
    <row r="1570" spans="1:9">
      <c r="A1570" s="139"/>
      <c r="B1570" s="139"/>
      <c r="C1570" s="138"/>
      <c r="D1570" s="140"/>
      <c r="E1570" s="84"/>
      <c r="F1570" s="84"/>
      <c r="G1570" s="84"/>
      <c r="H1570" s="139"/>
      <c r="I1570" s="84"/>
    </row>
    <row r="1571" spans="1:9">
      <c r="A1571" s="139"/>
      <c r="B1571" s="139"/>
      <c r="C1571" s="138"/>
      <c r="D1571" s="140"/>
      <c r="E1571" s="84"/>
      <c r="F1571" s="84"/>
      <c r="G1571" s="84"/>
      <c r="H1571" s="139"/>
      <c r="I1571" s="84"/>
    </row>
    <row r="1572" spans="1:9">
      <c r="A1572" s="139"/>
      <c r="B1572" s="139"/>
      <c r="C1572" s="138"/>
      <c r="D1572" s="140"/>
      <c r="E1572" s="84"/>
      <c r="F1572" s="84"/>
      <c r="G1572" s="84"/>
      <c r="H1572" s="139"/>
      <c r="I1572" s="84"/>
    </row>
    <row r="1573" spans="1:9">
      <c r="A1573" s="139"/>
      <c r="B1573" s="139"/>
      <c r="C1573" s="138"/>
      <c r="D1573" s="140"/>
      <c r="E1573" s="84"/>
      <c r="F1573" s="84"/>
      <c r="G1573" s="84"/>
      <c r="H1573" s="139"/>
      <c r="I1573" s="84"/>
    </row>
    <row r="1574" spans="1:9">
      <c r="A1574" s="139"/>
      <c r="B1574" s="139"/>
      <c r="C1574" s="138"/>
      <c r="D1574" s="140"/>
      <c r="E1574" s="84"/>
      <c r="F1574" s="84"/>
      <c r="G1574" s="84"/>
      <c r="H1574" s="139"/>
      <c r="I1574" s="84"/>
    </row>
    <row r="1575" spans="1:9">
      <c r="A1575" s="139"/>
      <c r="B1575" s="139"/>
      <c r="C1575" s="138"/>
      <c r="D1575" s="140"/>
      <c r="E1575" s="84"/>
      <c r="F1575" s="84"/>
      <c r="G1575" s="84"/>
      <c r="H1575" s="139"/>
      <c r="I1575" s="84"/>
    </row>
    <row r="1576" spans="1:9">
      <c r="A1576" s="139"/>
      <c r="B1576" s="139"/>
      <c r="C1576" s="138"/>
      <c r="D1576" s="140"/>
      <c r="E1576" s="84"/>
      <c r="F1576" s="84"/>
      <c r="G1576" s="84"/>
      <c r="H1576" s="139"/>
      <c r="I1576" s="84"/>
    </row>
    <row r="1577" spans="1:9">
      <c r="A1577" s="139"/>
      <c r="B1577" s="139"/>
      <c r="C1577" s="138"/>
      <c r="D1577" s="140"/>
      <c r="E1577" s="84"/>
      <c r="F1577" s="84"/>
      <c r="G1577" s="84"/>
      <c r="H1577" s="139"/>
      <c r="I1577" s="84"/>
    </row>
    <row r="1578" spans="1:9">
      <c r="A1578" s="139"/>
      <c r="B1578" s="139"/>
      <c r="C1578" s="138"/>
      <c r="D1578" s="140"/>
      <c r="E1578" s="84"/>
      <c r="F1578" s="84"/>
      <c r="G1578" s="84"/>
      <c r="H1578" s="139"/>
      <c r="I1578" s="84"/>
    </row>
    <row r="1579" spans="1:9">
      <c r="A1579" s="139"/>
      <c r="B1579" s="139"/>
      <c r="C1579" s="138"/>
      <c r="D1579" s="140"/>
      <c r="E1579" s="84"/>
      <c r="F1579" s="84"/>
      <c r="G1579" s="84"/>
      <c r="H1579" s="139"/>
      <c r="I1579" s="84"/>
    </row>
    <row r="1580" spans="1:9">
      <c r="A1580" s="139"/>
      <c r="B1580" s="139"/>
      <c r="C1580" s="138"/>
      <c r="D1580" s="140"/>
      <c r="E1580" s="84"/>
      <c r="F1580" s="84"/>
      <c r="G1580" s="84"/>
      <c r="H1580" s="139"/>
      <c r="I1580" s="84"/>
    </row>
    <row r="1581" spans="1:9">
      <c r="A1581" s="139"/>
      <c r="B1581" s="139"/>
      <c r="C1581" s="138"/>
      <c r="D1581" s="140"/>
      <c r="E1581" s="84"/>
      <c r="F1581" s="84"/>
      <c r="G1581" s="84"/>
      <c r="H1581" s="139"/>
      <c r="I1581" s="84"/>
    </row>
    <row r="1582" spans="1:9">
      <c r="A1582" s="139"/>
      <c r="B1582" s="139"/>
      <c r="C1582" s="138"/>
      <c r="D1582" s="140"/>
      <c r="E1582" s="84"/>
      <c r="F1582" s="84"/>
      <c r="G1582" s="84"/>
      <c r="H1582" s="139"/>
      <c r="I1582" s="84"/>
    </row>
    <row r="1583" spans="1:9">
      <c r="A1583" s="139"/>
      <c r="B1583" s="139"/>
      <c r="C1583" s="138"/>
      <c r="D1583" s="140"/>
      <c r="E1583" s="84"/>
      <c r="F1583" s="84"/>
      <c r="G1583" s="84"/>
      <c r="H1583" s="139"/>
      <c r="I1583" s="84"/>
    </row>
    <row r="1584" spans="1:9">
      <c r="A1584" s="139"/>
      <c r="B1584" s="139"/>
      <c r="C1584" s="138"/>
      <c r="D1584" s="140"/>
      <c r="E1584" s="84"/>
      <c r="F1584" s="84"/>
      <c r="G1584" s="84"/>
      <c r="H1584" s="139"/>
      <c r="I1584" s="84"/>
    </row>
    <row r="1585" spans="1:9">
      <c r="A1585" s="139"/>
      <c r="B1585" s="139"/>
      <c r="C1585" s="138"/>
      <c r="D1585" s="140"/>
      <c r="E1585" s="84"/>
      <c r="F1585" s="84"/>
      <c r="G1585" s="84"/>
      <c r="H1585" s="139"/>
      <c r="I1585" s="84"/>
    </row>
    <row r="1586" spans="1:9">
      <c r="A1586" s="139"/>
      <c r="B1586" s="139"/>
      <c r="C1586" s="138"/>
      <c r="D1586" s="140"/>
      <c r="E1586" s="84"/>
      <c r="F1586" s="84"/>
      <c r="G1586" s="84"/>
      <c r="H1586" s="139"/>
      <c r="I1586" s="84"/>
    </row>
    <row r="1587" spans="1:9">
      <c r="A1587" s="139"/>
      <c r="B1587" s="139"/>
      <c r="C1587" s="138"/>
      <c r="D1587" s="140"/>
      <c r="E1587" s="84"/>
      <c r="F1587" s="84"/>
      <c r="G1587" s="84"/>
      <c r="H1587" s="139"/>
      <c r="I1587" s="84"/>
    </row>
    <row r="1588" spans="1:9">
      <c r="A1588" s="139"/>
      <c r="B1588" s="139"/>
      <c r="C1588" s="138"/>
      <c r="D1588" s="140"/>
      <c r="E1588" s="84"/>
      <c r="F1588" s="84"/>
      <c r="G1588" s="84"/>
      <c r="H1588" s="139"/>
      <c r="I1588" s="84"/>
    </row>
    <row r="1589" spans="1:9">
      <c r="A1589" s="139"/>
      <c r="B1589" s="139"/>
      <c r="C1589" s="138"/>
      <c r="D1589" s="140"/>
      <c r="E1589" s="84"/>
      <c r="F1589" s="84"/>
      <c r="G1589" s="84"/>
      <c r="H1589" s="139"/>
      <c r="I1589" s="84"/>
    </row>
    <row r="1590" spans="1:9">
      <c r="A1590" s="139"/>
      <c r="B1590" s="139"/>
      <c r="C1590" s="138"/>
      <c r="D1590" s="140"/>
      <c r="E1590" s="84"/>
      <c r="F1590" s="84"/>
      <c r="G1590" s="84"/>
      <c r="H1590" s="139"/>
      <c r="I1590" s="84"/>
    </row>
    <row r="1591" spans="1:9">
      <c r="A1591" s="139"/>
      <c r="B1591" s="139"/>
      <c r="C1591" s="138"/>
      <c r="D1591" s="140"/>
      <c r="E1591" s="84"/>
      <c r="F1591" s="84"/>
      <c r="G1591" s="84"/>
      <c r="H1591" s="139"/>
      <c r="I1591" s="84"/>
    </row>
    <row r="1592" spans="1:9">
      <c r="A1592" s="139"/>
      <c r="B1592" s="139"/>
      <c r="C1592" s="138"/>
      <c r="D1592" s="140"/>
      <c r="E1592" s="84"/>
      <c r="F1592" s="84"/>
      <c r="G1592" s="84"/>
      <c r="H1592" s="139"/>
      <c r="I1592" s="84"/>
    </row>
    <row r="1593" spans="1:9">
      <c r="A1593" s="139"/>
      <c r="B1593" s="139"/>
      <c r="C1593" s="138"/>
      <c r="D1593" s="140"/>
      <c r="E1593" s="84"/>
      <c r="F1593" s="84"/>
      <c r="G1593" s="84"/>
      <c r="H1593" s="139"/>
      <c r="I1593" s="84"/>
    </row>
    <row r="1594" spans="1:9">
      <c r="A1594" s="139"/>
      <c r="B1594" s="139"/>
      <c r="C1594" s="138"/>
      <c r="D1594" s="140"/>
      <c r="E1594" s="84"/>
      <c r="F1594" s="84"/>
      <c r="G1594" s="84"/>
      <c r="H1594" s="139"/>
      <c r="I1594" s="84"/>
    </row>
    <row r="1595" spans="1:9">
      <c r="A1595" s="139"/>
      <c r="B1595" s="139"/>
      <c r="C1595" s="138"/>
      <c r="D1595" s="140"/>
      <c r="E1595" s="84"/>
      <c r="F1595" s="84"/>
      <c r="G1595" s="84"/>
      <c r="H1595" s="139"/>
      <c r="I1595" s="84"/>
    </row>
    <row r="1596" spans="1:9">
      <c r="A1596" s="139"/>
      <c r="B1596" s="139"/>
      <c r="C1596" s="138"/>
      <c r="D1596" s="140"/>
      <c r="E1596" s="84"/>
      <c r="F1596" s="84"/>
      <c r="G1596" s="84"/>
      <c r="H1596" s="139"/>
      <c r="I1596" s="84"/>
    </row>
    <row r="1597" spans="1:9">
      <c r="A1597" s="139"/>
      <c r="B1597" s="139"/>
      <c r="C1597" s="138"/>
      <c r="D1597" s="140"/>
      <c r="E1597" s="84"/>
      <c r="F1597" s="84"/>
      <c r="G1597" s="84"/>
      <c r="H1597" s="139"/>
      <c r="I1597" s="84"/>
    </row>
    <row r="1598" spans="1:9">
      <c r="A1598" s="139"/>
      <c r="B1598" s="139"/>
      <c r="C1598" s="138"/>
      <c r="D1598" s="140"/>
      <c r="E1598" s="84"/>
      <c r="F1598" s="84"/>
      <c r="G1598" s="84"/>
      <c r="H1598" s="139"/>
      <c r="I1598" s="84"/>
    </row>
    <row r="1599" spans="1:9">
      <c r="A1599" s="139"/>
      <c r="B1599" s="139"/>
      <c r="C1599" s="138"/>
      <c r="D1599" s="140"/>
      <c r="E1599" s="84"/>
      <c r="F1599" s="84"/>
      <c r="G1599" s="84"/>
      <c r="H1599" s="139"/>
      <c r="I1599" s="84"/>
    </row>
    <row r="1600" spans="1:9">
      <c r="A1600" s="139"/>
      <c r="B1600" s="139"/>
      <c r="C1600" s="138"/>
      <c r="D1600" s="140"/>
      <c r="E1600" s="84"/>
      <c r="F1600" s="84"/>
      <c r="G1600" s="84"/>
      <c r="H1600" s="139"/>
      <c r="I1600" s="84"/>
    </row>
    <row r="1601" spans="1:9">
      <c r="A1601" s="139"/>
      <c r="B1601" s="139"/>
      <c r="C1601" s="138"/>
      <c r="D1601" s="140"/>
      <c r="E1601" s="84"/>
      <c r="F1601" s="84"/>
      <c r="G1601" s="84"/>
      <c r="H1601" s="139"/>
      <c r="I1601" s="84"/>
    </row>
    <row r="1602" spans="1:9">
      <c r="A1602" s="139"/>
      <c r="B1602" s="139"/>
      <c r="C1602" s="138"/>
      <c r="D1602" s="140"/>
      <c r="E1602" s="84"/>
      <c r="F1602" s="84"/>
      <c r="G1602" s="84"/>
      <c r="H1602" s="139"/>
      <c r="I1602" s="84"/>
    </row>
    <row r="1603" spans="1:9">
      <c r="A1603" s="139"/>
      <c r="B1603" s="139"/>
      <c r="C1603" s="138"/>
      <c r="D1603" s="140"/>
      <c r="E1603" s="84"/>
      <c r="F1603" s="84"/>
      <c r="G1603" s="84"/>
      <c r="H1603" s="139"/>
      <c r="I1603" s="84"/>
    </row>
    <row r="1604" spans="1:9">
      <c r="A1604" s="139"/>
      <c r="B1604" s="139"/>
      <c r="C1604" s="138"/>
      <c r="D1604" s="140"/>
      <c r="E1604" s="84"/>
      <c r="F1604" s="84"/>
      <c r="G1604" s="84"/>
      <c r="H1604" s="139"/>
      <c r="I1604" s="84"/>
    </row>
    <row r="1605" spans="1:9">
      <c r="A1605" s="139"/>
      <c r="B1605" s="139"/>
      <c r="C1605" s="138"/>
      <c r="D1605" s="140"/>
      <c r="E1605" s="84"/>
      <c r="F1605" s="84"/>
      <c r="G1605" s="84"/>
      <c r="H1605" s="139"/>
      <c r="I1605" s="84"/>
    </row>
    <row r="1606" spans="1:9">
      <c r="A1606" s="139"/>
      <c r="B1606" s="139"/>
      <c r="C1606" s="138"/>
      <c r="D1606" s="140"/>
      <c r="E1606" s="84"/>
      <c r="F1606" s="84"/>
      <c r="G1606" s="84"/>
      <c r="H1606" s="139"/>
      <c r="I1606" s="84"/>
    </row>
    <row r="1607" spans="1:9">
      <c r="A1607" s="139"/>
      <c r="B1607" s="139"/>
      <c r="C1607" s="138"/>
      <c r="D1607" s="140"/>
      <c r="E1607" s="84"/>
      <c r="F1607" s="84"/>
      <c r="G1607" s="84"/>
      <c r="H1607" s="139"/>
      <c r="I1607" s="84"/>
    </row>
    <row r="1608" spans="1:9">
      <c r="A1608" s="139"/>
      <c r="B1608" s="139"/>
      <c r="C1608" s="138"/>
      <c r="D1608" s="140"/>
      <c r="E1608" s="84"/>
      <c r="F1608" s="84"/>
      <c r="G1608" s="84"/>
      <c r="H1608" s="139"/>
      <c r="I1608" s="84"/>
    </row>
    <row r="1609" spans="1:9">
      <c r="A1609" s="139"/>
      <c r="B1609" s="139"/>
      <c r="C1609" s="138"/>
      <c r="D1609" s="140"/>
      <c r="E1609" s="84"/>
      <c r="F1609" s="84"/>
      <c r="G1609" s="84"/>
      <c r="H1609" s="139"/>
      <c r="I1609" s="84"/>
    </row>
    <row r="1610" spans="1:9">
      <c r="A1610" s="139"/>
      <c r="B1610" s="139"/>
      <c r="C1610" s="138"/>
      <c r="D1610" s="140"/>
      <c r="E1610" s="84"/>
      <c r="F1610" s="84"/>
      <c r="G1610" s="84"/>
      <c r="H1610" s="139"/>
      <c r="I1610" s="84"/>
    </row>
    <row r="1611" spans="1:9">
      <c r="A1611" s="139"/>
      <c r="B1611" s="139"/>
      <c r="C1611" s="138"/>
      <c r="D1611" s="140"/>
      <c r="E1611" s="84"/>
      <c r="F1611" s="84"/>
      <c r="G1611" s="84"/>
      <c r="H1611" s="139"/>
      <c r="I1611" s="84"/>
    </row>
    <row r="1612" spans="1:9">
      <c r="A1612" s="139"/>
      <c r="B1612" s="139"/>
      <c r="C1612" s="138"/>
      <c r="D1612" s="140"/>
      <c r="E1612" s="84"/>
      <c r="F1612" s="84"/>
      <c r="G1612" s="84"/>
      <c r="H1612" s="139"/>
      <c r="I1612" s="84"/>
    </row>
    <row r="1613" spans="1:9">
      <c r="A1613" s="139"/>
      <c r="B1613" s="139"/>
      <c r="C1613" s="138"/>
      <c r="D1613" s="140"/>
      <c r="E1613" s="84"/>
      <c r="F1613" s="84"/>
      <c r="G1613" s="84"/>
      <c r="H1613" s="139"/>
      <c r="I1613" s="84"/>
    </row>
    <row r="1614" spans="1:9">
      <c r="A1614" s="139"/>
      <c r="B1614" s="139"/>
      <c r="C1614" s="138"/>
      <c r="D1614" s="140"/>
      <c r="E1614" s="84"/>
      <c r="F1614" s="84"/>
      <c r="G1614" s="84"/>
      <c r="H1614" s="139"/>
      <c r="I1614" s="84"/>
    </row>
    <row r="1615" spans="1:9">
      <c r="A1615" s="139"/>
      <c r="B1615" s="139"/>
      <c r="C1615" s="138"/>
      <c r="D1615" s="140"/>
      <c r="E1615" s="84"/>
      <c r="F1615" s="84"/>
      <c r="G1615" s="84"/>
      <c r="H1615" s="139"/>
      <c r="I1615" s="84"/>
    </row>
    <row r="1616" spans="1:9">
      <c r="A1616" s="139"/>
      <c r="B1616" s="139"/>
      <c r="C1616" s="138"/>
      <c r="D1616" s="140"/>
      <c r="E1616" s="84"/>
      <c r="F1616" s="84"/>
      <c r="G1616" s="84"/>
      <c r="H1616" s="139"/>
      <c r="I1616" s="84"/>
    </row>
    <row r="1617" spans="1:9">
      <c r="A1617" s="139"/>
      <c r="B1617" s="139"/>
      <c r="C1617" s="138"/>
      <c r="D1617" s="140"/>
      <c r="E1617" s="84"/>
      <c r="F1617" s="84"/>
      <c r="G1617" s="84"/>
      <c r="H1617" s="139"/>
      <c r="I1617" s="84"/>
    </row>
    <row r="1618" spans="1:9">
      <c r="A1618" s="139"/>
      <c r="B1618" s="139"/>
      <c r="C1618" s="138"/>
      <c r="D1618" s="140"/>
      <c r="E1618" s="84"/>
      <c r="F1618" s="84"/>
      <c r="G1618" s="84"/>
      <c r="H1618" s="139"/>
      <c r="I1618" s="84"/>
    </row>
    <row r="1619" spans="1:9">
      <c r="A1619" s="139"/>
      <c r="B1619" s="139"/>
      <c r="C1619" s="138"/>
      <c r="D1619" s="140"/>
      <c r="E1619" s="84"/>
      <c r="F1619" s="84"/>
      <c r="G1619" s="84"/>
      <c r="H1619" s="139"/>
      <c r="I1619" s="84"/>
    </row>
    <row r="1620" spans="1:9">
      <c r="A1620" s="139"/>
      <c r="B1620" s="139"/>
      <c r="C1620" s="138"/>
      <c r="D1620" s="140"/>
      <c r="E1620" s="84"/>
      <c r="F1620" s="84"/>
      <c r="G1620" s="84"/>
      <c r="H1620" s="139"/>
      <c r="I1620" s="84"/>
    </row>
    <row r="1621" spans="1:9">
      <c r="A1621" s="139"/>
      <c r="B1621" s="139"/>
      <c r="C1621" s="138"/>
      <c r="D1621" s="140"/>
      <c r="E1621" s="84"/>
      <c r="F1621" s="84"/>
      <c r="G1621" s="84"/>
      <c r="H1621" s="139"/>
      <c r="I1621" s="84"/>
    </row>
    <row r="1622" spans="1:9">
      <c r="A1622" s="139"/>
      <c r="B1622" s="139"/>
      <c r="C1622" s="138"/>
      <c r="D1622" s="140"/>
      <c r="E1622" s="84"/>
      <c r="F1622" s="84"/>
      <c r="G1622" s="84"/>
      <c r="H1622" s="139"/>
      <c r="I1622" s="84"/>
    </row>
    <row r="1623" spans="1:9">
      <c r="A1623" s="139"/>
      <c r="B1623" s="139"/>
      <c r="C1623" s="138"/>
      <c r="D1623" s="140"/>
      <c r="E1623" s="84"/>
      <c r="F1623" s="84"/>
      <c r="G1623" s="84"/>
      <c r="H1623" s="139"/>
      <c r="I1623" s="84"/>
    </row>
    <row r="1624" spans="1:9">
      <c r="A1624" s="139"/>
      <c r="B1624" s="139"/>
      <c r="C1624" s="138"/>
      <c r="D1624" s="140"/>
      <c r="E1624" s="84"/>
      <c r="F1624" s="84"/>
      <c r="G1624" s="84"/>
      <c r="H1624" s="139"/>
      <c r="I1624" s="84"/>
    </row>
    <row r="1625" spans="1:9">
      <c r="A1625" s="139"/>
      <c r="B1625" s="139"/>
      <c r="C1625" s="138"/>
      <c r="D1625" s="140"/>
      <c r="E1625" s="84"/>
      <c r="F1625" s="84"/>
      <c r="G1625" s="84"/>
      <c r="H1625" s="139"/>
      <c r="I1625" s="84"/>
    </row>
    <row r="1626" spans="1:9">
      <c r="A1626" s="139"/>
      <c r="B1626" s="139"/>
      <c r="C1626" s="138"/>
      <c r="D1626" s="140"/>
      <c r="E1626" s="84"/>
      <c r="F1626" s="84"/>
      <c r="G1626" s="84"/>
      <c r="H1626" s="139"/>
      <c r="I1626" s="84"/>
    </row>
    <row r="1627" spans="1:9">
      <c r="A1627" s="139"/>
      <c r="B1627" s="139"/>
      <c r="C1627" s="138"/>
      <c r="D1627" s="140"/>
      <c r="E1627" s="84"/>
      <c r="F1627" s="84"/>
      <c r="G1627" s="84"/>
      <c r="H1627" s="139"/>
      <c r="I1627" s="84"/>
    </row>
    <row r="1628" spans="1:9">
      <c r="A1628" s="139"/>
      <c r="B1628" s="139"/>
      <c r="C1628" s="138"/>
      <c r="D1628" s="140"/>
      <c r="E1628" s="84"/>
      <c r="F1628" s="84"/>
      <c r="G1628" s="84"/>
      <c r="H1628" s="139"/>
      <c r="I1628" s="84"/>
    </row>
    <row r="1629" spans="1:9">
      <c r="A1629" s="139"/>
      <c r="B1629" s="139"/>
      <c r="C1629" s="138"/>
      <c r="D1629" s="140"/>
      <c r="E1629" s="84"/>
      <c r="F1629" s="84"/>
      <c r="G1629" s="84"/>
      <c r="H1629" s="139"/>
      <c r="I1629" s="84"/>
    </row>
    <row r="1630" spans="1:9">
      <c r="A1630" s="139"/>
      <c r="B1630" s="139"/>
      <c r="C1630" s="138"/>
      <c r="D1630" s="140"/>
      <c r="E1630" s="84"/>
      <c r="F1630" s="84"/>
      <c r="G1630" s="84"/>
      <c r="H1630" s="139"/>
      <c r="I1630" s="84"/>
    </row>
    <row r="1631" spans="1:9">
      <c r="A1631" s="139"/>
      <c r="B1631" s="139"/>
      <c r="C1631" s="138"/>
      <c r="D1631" s="140"/>
      <c r="E1631" s="84"/>
      <c r="F1631" s="84"/>
      <c r="G1631" s="84"/>
      <c r="H1631" s="139"/>
      <c r="I1631" s="84"/>
    </row>
    <row r="1632" spans="1:9">
      <c r="A1632" s="139"/>
      <c r="B1632" s="139"/>
      <c r="C1632" s="138"/>
      <c r="D1632" s="140"/>
      <c r="E1632" s="84"/>
      <c r="F1632" s="84"/>
      <c r="G1632" s="84"/>
      <c r="H1632" s="139"/>
      <c r="I1632" s="84"/>
    </row>
    <row r="1633" spans="1:9">
      <c r="A1633" s="139"/>
      <c r="B1633" s="139"/>
      <c r="C1633" s="138"/>
      <c r="D1633" s="140"/>
      <c r="E1633" s="84"/>
      <c r="F1633" s="84"/>
      <c r="G1633" s="84"/>
      <c r="H1633" s="139"/>
      <c r="I1633" s="84"/>
    </row>
    <row r="1634" spans="1:9">
      <c r="A1634" s="139"/>
      <c r="B1634" s="139"/>
      <c r="C1634" s="138"/>
      <c r="D1634" s="140"/>
      <c r="E1634" s="84"/>
      <c r="F1634" s="84"/>
      <c r="G1634" s="84"/>
      <c r="H1634" s="139"/>
      <c r="I1634" s="84"/>
    </row>
    <row r="1635" spans="1:9">
      <c r="A1635" s="139"/>
      <c r="B1635" s="139"/>
      <c r="C1635" s="138"/>
      <c r="D1635" s="140"/>
      <c r="E1635" s="84"/>
      <c r="F1635" s="84"/>
      <c r="G1635" s="84"/>
      <c r="H1635" s="139"/>
      <c r="I1635" s="84"/>
    </row>
    <row r="1636" spans="1:9">
      <c r="A1636" s="139"/>
      <c r="B1636" s="139"/>
      <c r="C1636" s="138"/>
      <c r="D1636" s="140"/>
      <c r="E1636" s="84"/>
      <c r="F1636" s="84"/>
      <c r="G1636" s="84"/>
      <c r="H1636" s="139"/>
      <c r="I1636" s="84"/>
    </row>
    <row r="1637" spans="1:9">
      <c r="A1637" s="139"/>
      <c r="B1637" s="139"/>
      <c r="C1637" s="138"/>
      <c r="D1637" s="140"/>
      <c r="E1637" s="84"/>
      <c r="F1637" s="84"/>
      <c r="G1637" s="84"/>
      <c r="H1637" s="139"/>
      <c r="I1637" s="84"/>
    </row>
    <row r="1638" spans="1:9">
      <c r="A1638" s="139"/>
      <c r="B1638" s="139"/>
      <c r="C1638" s="138"/>
      <c r="D1638" s="140"/>
      <c r="E1638" s="84"/>
      <c r="F1638" s="84"/>
      <c r="G1638" s="84"/>
      <c r="H1638" s="139"/>
      <c r="I1638" s="84"/>
    </row>
    <row r="1639" spans="1:9">
      <c r="A1639" s="139"/>
      <c r="B1639" s="139"/>
      <c r="C1639" s="138"/>
      <c r="D1639" s="140"/>
      <c r="E1639" s="84"/>
      <c r="F1639" s="84"/>
      <c r="G1639" s="84"/>
      <c r="H1639" s="139"/>
      <c r="I1639" s="84"/>
    </row>
    <row r="1640" spans="1:9">
      <c r="A1640" s="139"/>
      <c r="B1640" s="139"/>
      <c r="C1640" s="138"/>
      <c r="D1640" s="140"/>
      <c r="E1640" s="84"/>
      <c r="F1640" s="84"/>
      <c r="G1640" s="84"/>
      <c r="H1640" s="139"/>
      <c r="I1640" s="84"/>
    </row>
    <row r="1641" spans="1:9">
      <c r="A1641" s="139"/>
      <c r="B1641" s="139"/>
      <c r="C1641" s="138"/>
      <c r="D1641" s="140"/>
      <c r="E1641" s="84"/>
      <c r="F1641" s="84"/>
      <c r="G1641" s="84"/>
      <c r="H1641" s="139"/>
      <c r="I1641" s="84"/>
    </row>
    <row r="1642" spans="1:9">
      <c r="A1642" s="139"/>
      <c r="B1642" s="139"/>
      <c r="C1642" s="138"/>
      <c r="D1642" s="140"/>
      <c r="E1642" s="84"/>
      <c r="F1642" s="84"/>
      <c r="G1642" s="84"/>
      <c r="H1642" s="139"/>
      <c r="I1642" s="84"/>
    </row>
    <row r="1643" spans="1:9">
      <c r="A1643" s="139"/>
      <c r="B1643" s="139"/>
      <c r="C1643" s="138"/>
      <c r="D1643" s="140"/>
      <c r="E1643" s="84"/>
      <c r="F1643" s="84"/>
      <c r="G1643" s="84"/>
      <c r="H1643" s="139"/>
      <c r="I1643" s="84"/>
    </row>
    <row r="1644" spans="1:9">
      <c r="A1644" s="139"/>
      <c r="B1644" s="139"/>
      <c r="C1644" s="138"/>
      <c r="D1644" s="140"/>
      <c r="E1644" s="84"/>
      <c r="F1644" s="84"/>
      <c r="G1644" s="84"/>
      <c r="H1644" s="139"/>
      <c r="I1644" s="84"/>
    </row>
    <row r="1645" spans="1:9">
      <c r="A1645" s="139"/>
      <c r="B1645" s="139"/>
      <c r="C1645" s="138"/>
      <c r="D1645" s="140"/>
      <c r="E1645" s="84"/>
      <c r="F1645" s="84"/>
      <c r="G1645" s="84"/>
      <c r="H1645" s="139"/>
      <c r="I1645" s="84"/>
    </row>
    <row r="1646" spans="1:9">
      <c r="A1646" s="139"/>
      <c r="B1646" s="139"/>
      <c r="C1646" s="138"/>
      <c r="D1646" s="140"/>
      <c r="E1646" s="84"/>
      <c r="F1646" s="84"/>
      <c r="G1646" s="84"/>
      <c r="H1646" s="139"/>
      <c r="I1646" s="84"/>
    </row>
    <row r="1647" spans="1:9">
      <c r="A1647" s="139"/>
      <c r="B1647" s="139"/>
      <c r="C1647" s="138"/>
      <c r="D1647" s="140"/>
      <c r="E1647" s="84"/>
      <c r="F1647" s="84"/>
      <c r="G1647" s="84"/>
      <c r="H1647" s="139"/>
      <c r="I1647" s="84"/>
    </row>
    <row r="1648" spans="1:9">
      <c r="A1648" s="139"/>
      <c r="B1648" s="139"/>
      <c r="C1648" s="138"/>
      <c r="D1648" s="140"/>
      <c r="E1648" s="84"/>
      <c r="F1648" s="84"/>
      <c r="G1648" s="84"/>
      <c r="H1648" s="139"/>
      <c r="I1648" s="84"/>
    </row>
    <row r="1649" spans="1:9">
      <c r="A1649" s="139"/>
      <c r="B1649" s="139"/>
      <c r="C1649" s="138"/>
      <c r="D1649" s="140"/>
      <c r="E1649" s="84"/>
      <c r="F1649" s="84"/>
      <c r="G1649" s="84"/>
      <c r="H1649" s="139"/>
      <c r="I1649" s="84"/>
    </row>
    <row r="1650" spans="1:9">
      <c r="A1650" s="139"/>
      <c r="B1650" s="139"/>
      <c r="C1650" s="138"/>
      <c r="D1650" s="140"/>
      <c r="E1650" s="84"/>
      <c r="F1650" s="84"/>
      <c r="G1650" s="84"/>
      <c r="H1650" s="139"/>
      <c r="I1650" s="84"/>
    </row>
    <row r="1651" spans="1:9">
      <c r="A1651" s="139"/>
      <c r="B1651" s="139"/>
      <c r="C1651" s="138"/>
      <c r="D1651" s="140"/>
      <c r="E1651" s="84"/>
      <c r="F1651" s="84"/>
      <c r="G1651" s="84"/>
      <c r="H1651" s="139"/>
      <c r="I1651" s="84"/>
    </row>
    <row r="1652" spans="1:9">
      <c r="A1652" s="139"/>
      <c r="B1652" s="139"/>
      <c r="C1652" s="138"/>
      <c r="D1652" s="140"/>
      <c r="E1652" s="84"/>
      <c r="F1652" s="84"/>
      <c r="G1652" s="84"/>
      <c r="H1652" s="139"/>
      <c r="I1652" s="84"/>
    </row>
    <row r="1653" spans="1:9">
      <c r="A1653" s="139"/>
      <c r="B1653" s="139"/>
      <c r="C1653" s="138"/>
      <c r="D1653" s="140"/>
      <c r="E1653" s="84"/>
      <c r="F1653" s="84"/>
      <c r="G1653" s="84"/>
      <c r="H1653" s="139"/>
      <c r="I1653" s="84"/>
    </row>
    <row r="1654" spans="1:9">
      <c r="A1654" s="139"/>
      <c r="B1654" s="139"/>
      <c r="C1654" s="138"/>
      <c r="D1654" s="140"/>
      <c r="E1654" s="84"/>
      <c r="F1654" s="84"/>
      <c r="G1654" s="84"/>
      <c r="H1654" s="139"/>
      <c r="I1654" s="84"/>
    </row>
    <row r="1655" spans="1:9">
      <c r="A1655" s="139"/>
      <c r="B1655" s="139"/>
      <c r="C1655" s="138"/>
      <c r="D1655" s="140"/>
      <c r="E1655" s="84"/>
      <c r="F1655" s="84"/>
      <c r="G1655" s="84"/>
      <c r="H1655" s="139"/>
      <c r="I1655" s="84"/>
    </row>
    <row r="1656" spans="1:9">
      <c r="A1656" s="139"/>
      <c r="B1656" s="139"/>
      <c r="C1656" s="138"/>
      <c r="D1656" s="140"/>
      <c r="E1656" s="84"/>
      <c r="F1656" s="84"/>
      <c r="G1656" s="84"/>
      <c r="H1656" s="139"/>
      <c r="I1656" s="84"/>
    </row>
    <row r="1657" spans="1:9">
      <c r="A1657" s="139"/>
      <c r="B1657" s="139"/>
      <c r="C1657" s="138"/>
      <c r="D1657" s="140"/>
      <c r="E1657" s="84"/>
      <c r="F1657" s="84"/>
      <c r="G1657" s="84"/>
      <c r="H1657" s="139"/>
      <c r="I1657" s="84"/>
    </row>
    <row r="1658" spans="1:9">
      <c r="A1658" s="139"/>
      <c r="B1658" s="139"/>
      <c r="C1658" s="138"/>
      <c r="D1658" s="140"/>
      <c r="E1658" s="84"/>
      <c r="F1658" s="84"/>
      <c r="G1658" s="84"/>
      <c r="H1658" s="139"/>
      <c r="I1658" s="84"/>
    </row>
    <row r="1659" spans="1:9">
      <c r="A1659" s="139"/>
      <c r="B1659" s="139"/>
      <c r="C1659" s="138"/>
      <c r="D1659" s="140"/>
      <c r="E1659" s="84"/>
      <c r="F1659" s="84"/>
      <c r="G1659" s="84"/>
      <c r="H1659" s="139"/>
      <c r="I1659" s="84"/>
    </row>
    <row r="1660" spans="1:9">
      <c r="A1660" s="139"/>
      <c r="B1660" s="139"/>
      <c r="C1660" s="138"/>
      <c r="D1660" s="140"/>
      <c r="E1660" s="84"/>
      <c r="F1660" s="84"/>
      <c r="G1660" s="84"/>
      <c r="H1660" s="139"/>
      <c r="I1660" s="84"/>
    </row>
    <row r="1661" spans="1:9">
      <c r="A1661" s="139"/>
      <c r="B1661" s="139"/>
      <c r="C1661" s="138"/>
      <c r="D1661" s="140"/>
      <c r="E1661" s="84"/>
      <c r="F1661" s="84"/>
      <c r="G1661" s="84"/>
      <c r="H1661" s="139"/>
      <c r="I1661" s="84"/>
    </row>
    <row r="1662" spans="1:9">
      <c r="A1662" s="139"/>
      <c r="B1662" s="139"/>
      <c r="C1662" s="138"/>
      <c r="D1662" s="140"/>
      <c r="E1662" s="84"/>
      <c r="F1662" s="84"/>
      <c r="G1662" s="84"/>
      <c r="H1662" s="139"/>
      <c r="I1662" s="84"/>
    </row>
    <row r="1663" spans="1:9">
      <c r="A1663" s="139"/>
      <c r="B1663" s="139"/>
      <c r="C1663" s="138"/>
      <c r="D1663" s="140"/>
      <c r="E1663" s="84"/>
      <c r="F1663" s="84"/>
      <c r="G1663" s="84"/>
      <c r="H1663" s="139"/>
      <c r="I1663" s="84"/>
    </row>
    <row r="1664" spans="1:9">
      <c r="A1664" s="139"/>
      <c r="B1664" s="139"/>
      <c r="C1664" s="138"/>
      <c r="D1664" s="140"/>
      <c r="E1664" s="84"/>
      <c r="F1664" s="84"/>
      <c r="G1664" s="84"/>
      <c r="H1664" s="139"/>
      <c r="I1664" s="84"/>
    </row>
    <row r="1665" spans="1:9">
      <c r="A1665" s="139"/>
      <c r="B1665" s="139"/>
      <c r="C1665" s="138"/>
      <c r="D1665" s="140"/>
      <c r="E1665" s="84"/>
      <c r="F1665" s="84"/>
      <c r="G1665" s="84"/>
      <c r="H1665" s="139"/>
      <c r="I1665" s="84"/>
    </row>
    <row r="1666" spans="1:9">
      <c r="A1666" s="139"/>
      <c r="B1666" s="139"/>
      <c r="C1666" s="138"/>
      <c r="D1666" s="140"/>
      <c r="E1666" s="84"/>
      <c r="F1666" s="84"/>
      <c r="G1666" s="84"/>
      <c r="H1666" s="139"/>
      <c r="I1666" s="84"/>
    </row>
    <row r="1667" spans="1:9">
      <c r="A1667" s="139"/>
      <c r="B1667" s="139"/>
      <c r="C1667" s="138"/>
      <c r="D1667" s="140"/>
      <c r="E1667" s="84"/>
      <c r="F1667" s="84"/>
      <c r="G1667" s="84"/>
      <c r="H1667" s="139"/>
      <c r="I1667" s="84"/>
    </row>
    <row r="1668" spans="1:9">
      <c r="A1668" s="139"/>
      <c r="B1668" s="139"/>
      <c r="C1668" s="138"/>
      <c r="D1668" s="140"/>
      <c r="E1668" s="84"/>
      <c r="F1668" s="84"/>
      <c r="G1668" s="84"/>
      <c r="H1668" s="139"/>
      <c r="I1668" s="84"/>
    </row>
    <row r="1669" spans="1:9">
      <c r="A1669" s="139"/>
      <c r="B1669" s="139"/>
      <c r="C1669" s="138"/>
      <c r="D1669" s="140"/>
      <c r="E1669" s="84"/>
      <c r="F1669" s="84"/>
      <c r="G1669" s="84"/>
      <c r="H1669" s="139"/>
      <c r="I1669" s="84"/>
    </row>
    <row r="1670" spans="1:9">
      <c r="A1670" s="139"/>
      <c r="B1670" s="139"/>
      <c r="C1670" s="138"/>
      <c r="D1670" s="140"/>
      <c r="E1670" s="84"/>
      <c r="F1670" s="84"/>
      <c r="G1670" s="84"/>
      <c r="H1670" s="139"/>
      <c r="I1670" s="84"/>
    </row>
    <row r="1671" spans="1:9">
      <c r="A1671" s="139"/>
      <c r="B1671" s="139"/>
      <c r="C1671" s="138"/>
      <c r="D1671" s="140"/>
      <c r="E1671" s="84"/>
      <c r="F1671" s="84"/>
      <c r="G1671" s="84"/>
      <c r="H1671" s="139"/>
      <c r="I1671" s="84"/>
    </row>
    <row r="1672" spans="1:9">
      <c r="A1672" s="139"/>
      <c r="B1672" s="139"/>
      <c r="C1672" s="138"/>
      <c r="D1672" s="140"/>
      <c r="E1672" s="84"/>
      <c r="F1672" s="84"/>
      <c r="G1672" s="84"/>
      <c r="H1672" s="139"/>
      <c r="I1672" s="84"/>
    </row>
    <row r="1673" spans="1:9">
      <c r="A1673" s="139"/>
      <c r="B1673" s="139"/>
      <c r="C1673" s="138"/>
      <c r="D1673" s="140"/>
      <c r="E1673" s="84"/>
      <c r="F1673" s="84"/>
      <c r="G1673" s="84"/>
      <c r="H1673" s="139"/>
      <c r="I1673" s="84"/>
    </row>
    <row r="1674" spans="1:9">
      <c r="A1674" s="139"/>
      <c r="B1674" s="139"/>
      <c r="C1674" s="138"/>
      <c r="D1674" s="140"/>
      <c r="E1674" s="84"/>
      <c r="F1674" s="84"/>
      <c r="G1674" s="84"/>
      <c r="H1674" s="139"/>
      <c r="I1674" s="84"/>
    </row>
    <row r="1675" spans="1:9">
      <c r="A1675" s="139"/>
      <c r="B1675" s="139"/>
      <c r="C1675" s="138"/>
      <c r="D1675" s="140"/>
      <c r="E1675" s="84"/>
      <c r="F1675" s="84"/>
      <c r="G1675" s="84"/>
      <c r="H1675" s="139"/>
      <c r="I1675" s="84"/>
    </row>
    <row r="1676" spans="1:9">
      <c r="A1676" s="139"/>
      <c r="B1676" s="139"/>
      <c r="C1676" s="138"/>
      <c r="D1676" s="140"/>
      <c r="E1676" s="84"/>
      <c r="F1676" s="84"/>
      <c r="G1676" s="84"/>
      <c r="H1676" s="139"/>
      <c r="I1676" s="84"/>
    </row>
    <row r="1677" spans="1:9">
      <c r="A1677" s="139"/>
      <c r="B1677" s="139"/>
      <c r="C1677" s="138"/>
      <c r="D1677" s="140"/>
      <c r="E1677" s="84"/>
      <c r="F1677" s="84"/>
      <c r="G1677" s="84"/>
      <c r="H1677" s="139"/>
      <c r="I1677" s="84"/>
    </row>
    <row r="1678" spans="1:9">
      <c r="A1678" s="139"/>
      <c r="B1678" s="139"/>
      <c r="C1678" s="138"/>
      <c r="D1678" s="140"/>
      <c r="E1678" s="84"/>
      <c r="F1678" s="84"/>
      <c r="G1678" s="84"/>
      <c r="H1678" s="139"/>
      <c r="I1678" s="84"/>
    </row>
    <row r="1679" spans="1:9">
      <c r="A1679" s="139"/>
      <c r="B1679" s="139"/>
      <c r="C1679" s="138"/>
      <c r="D1679" s="140"/>
      <c r="E1679" s="84"/>
      <c r="F1679" s="84"/>
      <c r="G1679" s="84"/>
      <c r="H1679" s="139"/>
      <c r="I1679" s="84"/>
    </row>
    <row r="1680" spans="1:9">
      <c r="A1680" s="139"/>
      <c r="B1680" s="139"/>
      <c r="C1680" s="138"/>
      <c r="D1680" s="140"/>
      <c r="E1680" s="84"/>
      <c r="F1680" s="84"/>
      <c r="G1680" s="84"/>
      <c r="H1680" s="139"/>
      <c r="I1680" s="84"/>
    </row>
    <row r="1681" spans="1:9">
      <c r="A1681" s="139"/>
      <c r="B1681" s="139"/>
      <c r="C1681" s="138"/>
      <c r="D1681" s="140"/>
      <c r="E1681" s="84"/>
      <c r="F1681" s="84"/>
      <c r="G1681" s="84"/>
      <c r="H1681" s="139"/>
      <c r="I1681" s="84"/>
    </row>
    <row r="1682" spans="1:9">
      <c r="A1682" s="139"/>
      <c r="B1682" s="139"/>
      <c r="C1682" s="138"/>
      <c r="D1682" s="140"/>
      <c r="E1682" s="84"/>
      <c r="F1682" s="84"/>
      <c r="G1682" s="84"/>
      <c r="H1682" s="139"/>
      <c r="I1682" s="84"/>
    </row>
    <row r="1683" spans="1:9">
      <c r="A1683" s="139"/>
      <c r="B1683" s="139"/>
      <c r="C1683" s="138"/>
      <c r="D1683" s="140"/>
      <c r="E1683" s="84"/>
      <c r="F1683" s="84"/>
      <c r="G1683" s="84"/>
      <c r="H1683" s="139"/>
      <c r="I1683" s="84"/>
    </row>
    <row r="1684" spans="1:9">
      <c r="A1684" s="139"/>
      <c r="B1684" s="139"/>
      <c r="C1684" s="138"/>
      <c r="D1684" s="140"/>
      <c r="E1684" s="84"/>
      <c r="F1684" s="84"/>
      <c r="G1684" s="84"/>
      <c r="H1684" s="139"/>
      <c r="I1684" s="84"/>
    </row>
    <row r="1685" spans="1:9">
      <c r="A1685" s="139"/>
      <c r="B1685" s="139"/>
      <c r="C1685" s="138"/>
      <c r="D1685" s="140"/>
      <c r="E1685" s="84"/>
      <c r="F1685" s="84"/>
      <c r="G1685" s="84"/>
      <c r="H1685" s="139"/>
      <c r="I1685" s="84"/>
    </row>
    <row r="1686" spans="1:9">
      <c r="A1686" s="139"/>
      <c r="B1686" s="139"/>
      <c r="C1686" s="138"/>
      <c r="D1686" s="140"/>
      <c r="E1686" s="84"/>
      <c r="F1686" s="84"/>
      <c r="G1686" s="84"/>
      <c r="H1686" s="139"/>
      <c r="I1686" s="84"/>
    </row>
    <row r="1687" spans="1:9">
      <c r="A1687" s="139"/>
      <c r="B1687" s="139"/>
      <c r="C1687" s="138"/>
      <c r="D1687" s="140"/>
      <c r="E1687" s="84"/>
      <c r="F1687" s="84"/>
      <c r="G1687" s="84"/>
      <c r="H1687" s="139"/>
      <c r="I1687" s="84"/>
    </row>
    <row r="1688" spans="1:9">
      <c r="A1688" s="139"/>
      <c r="B1688" s="139"/>
      <c r="C1688" s="138"/>
      <c r="D1688" s="140"/>
      <c r="E1688" s="84"/>
      <c r="F1688" s="84"/>
      <c r="G1688" s="84"/>
      <c r="H1688" s="139"/>
      <c r="I1688" s="84"/>
    </row>
    <row r="1689" spans="1:9">
      <c r="A1689" s="139"/>
      <c r="B1689" s="139"/>
      <c r="C1689" s="138"/>
      <c r="D1689" s="140"/>
      <c r="E1689" s="84"/>
      <c r="F1689" s="84"/>
      <c r="G1689" s="84"/>
      <c r="H1689" s="139"/>
      <c r="I1689" s="84"/>
    </row>
    <row r="1690" spans="1:9">
      <c r="A1690" s="139"/>
      <c r="B1690" s="139"/>
      <c r="C1690" s="138"/>
      <c r="D1690" s="140"/>
      <c r="E1690" s="84"/>
      <c r="F1690" s="84"/>
      <c r="G1690" s="84"/>
      <c r="H1690" s="139"/>
      <c r="I1690" s="84"/>
    </row>
    <row r="1691" spans="1:9">
      <c r="A1691" s="139"/>
      <c r="B1691" s="139"/>
      <c r="C1691" s="138"/>
      <c r="D1691" s="140"/>
      <c r="E1691" s="84"/>
      <c r="F1691" s="84"/>
      <c r="G1691" s="84"/>
      <c r="H1691" s="139"/>
      <c r="I1691" s="84"/>
    </row>
    <row r="1692" spans="1:9">
      <c r="A1692" s="139"/>
      <c r="B1692" s="139"/>
      <c r="C1692" s="138"/>
      <c r="D1692" s="140"/>
      <c r="E1692" s="84"/>
      <c r="F1692" s="84"/>
      <c r="G1692" s="84"/>
      <c r="H1692" s="139"/>
      <c r="I1692" s="84"/>
    </row>
    <row r="1693" spans="1:9">
      <c r="A1693" s="139"/>
      <c r="B1693" s="139"/>
      <c r="C1693" s="138"/>
      <c r="D1693" s="140"/>
      <c r="E1693" s="84"/>
      <c r="F1693" s="84"/>
      <c r="G1693" s="84"/>
      <c r="H1693" s="139"/>
      <c r="I1693" s="84"/>
    </row>
    <row r="1694" spans="1:9">
      <c r="A1694" s="139"/>
      <c r="B1694" s="139"/>
      <c r="C1694" s="138"/>
      <c r="D1694" s="140"/>
      <c r="E1694" s="84"/>
      <c r="F1694" s="84"/>
      <c r="G1694" s="84"/>
      <c r="H1694" s="139"/>
      <c r="I1694" s="84"/>
    </row>
    <row r="1695" spans="1:9">
      <c r="A1695" s="139"/>
      <c r="B1695" s="139"/>
      <c r="C1695" s="138"/>
      <c r="D1695" s="140"/>
      <c r="E1695" s="84"/>
      <c r="F1695" s="84"/>
      <c r="G1695" s="84"/>
      <c r="H1695" s="139"/>
      <c r="I1695" s="84"/>
    </row>
    <row r="1696" spans="1:9">
      <c r="A1696" s="139"/>
      <c r="B1696" s="139"/>
      <c r="C1696" s="138"/>
      <c r="D1696" s="140"/>
      <c r="E1696" s="84"/>
      <c r="F1696" s="84"/>
      <c r="G1696" s="84"/>
      <c r="H1696" s="139"/>
      <c r="I1696" s="84"/>
    </row>
    <row r="1697" spans="1:9">
      <c r="A1697" s="139"/>
      <c r="B1697" s="139"/>
      <c r="C1697" s="138"/>
      <c r="D1697" s="140"/>
      <c r="E1697" s="84"/>
      <c r="F1697" s="84"/>
      <c r="G1697" s="84"/>
      <c r="H1697" s="139"/>
      <c r="I1697" s="84"/>
    </row>
    <row r="1698" spans="1:9">
      <c r="A1698" s="139"/>
      <c r="B1698" s="139"/>
      <c r="C1698" s="138"/>
      <c r="D1698" s="140"/>
      <c r="E1698" s="84"/>
      <c r="F1698" s="84"/>
      <c r="G1698" s="84"/>
      <c r="H1698" s="139"/>
      <c r="I1698" s="84"/>
    </row>
    <row r="1699" spans="1:9">
      <c r="A1699" s="139"/>
      <c r="B1699" s="139"/>
      <c r="C1699" s="138"/>
      <c r="D1699" s="140"/>
      <c r="E1699" s="84"/>
      <c r="F1699" s="84"/>
      <c r="G1699" s="84"/>
      <c r="H1699" s="139"/>
      <c r="I1699" s="84"/>
    </row>
    <row r="1700" spans="1:9">
      <c r="A1700" s="139"/>
      <c r="B1700" s="139"/>
      <c r="C1700" s="138"/>
      <c r="D1700" s="140"/>
      <c r="E1700" s="84"/>
      <c r="F1700" s="84"/>
      <c r="G1700" s="84"/>
      <c r="H1700" s="139"/>
      <c r="I1700" s="84"/>
    </row>
    <row r="1701" spans="1:9">
      <c r="A1701" s="139"/>
      <c r="B1701" s="139"/>
      <c r="C1701" s="138"/>
      <c r="D1701" s="140"/>
      <c r="E1701" s="84"/>
      <c r="F1701" s="84"/>
      <c r="G1701" s="84"/>
      <c r="H1701" s="139"/>
      <c r="I1701" s="84"/>
    </row>
    <row r="1702" spans="1:9">
      <c r="A1702" s="139"/>
      <c r="B1702" s="139"/>
      <c r="C1702" s="138"/>
      <c r="D1702" s="140"/>
      <c r="E1702" s="84"/>
      <c r="F1702" s="84"/>
      <c r="G1702" s="84"/>
      <c r="H1702" s="139"/>
      <c r="I1702" s="84"/>
    </row>
    <row r="1703" spans="1:9">
      <c r="A1703" s="139"/>
      <c r="B1703" s="139"/>
      <c r="C1703" s="138"/>
      <c r="D1703" s="140"/>
      <c r="E1703" s="84"/>
      <c r="F1703" s="84"/>
      <c r="G1703" s="84"/>
      <c r="H1703" s="139"/>
      <c r="I1703" s="84"/>
    </row>
    <row r="1704" spans="1:9">
      <c r="A1704" s="139"/>
      <c r="B1704" s="139"/>
      <c r="C1704" s="138"/>
      <c r="D1704" s="140"/>
      <c r="E1704" s="84"/>
      <c r="F1704" s="84"/>
      <c r="G1704" s="84"/>
      <c r="H1704" s="139"/>
      <c r="I1704" s="84"/>
    </row>
    <row r="1705" spans="1:9">
      <c r="A1705" s="139"/>
      <c r="B1705" s="139"/>
      <c r="C1705" s="138"/>
      <c r="D1705" s="140"/>
      <c r="E1705" s="84"/>
      <c r="F1705" s="84"/>
      <c r="G1705" s="84"/>
      <c r="H1705" s="139"/>
      <c r="I1705" s="84"/>
    </row>
    <row r="1706" spans="1:9">
      <c r="A1706" s="139"/>
      <c r="B1706" s="139"/>
      <c r="C1706" s="138"/>
      <c r="D1706" s="140"/>
      <c r="E1706" s="84"/>
      <c r="F1706" s="84"/>
      <c r="G1706" s="84"/>
      <c r="H1706" s="139"/>
      <c r="I1706" s="84"/>
    </row>
    <row r="1707" spans="1:9">
      <c r="A1707" s="139"/>
      <c r="B1707" s="139"/>
      <c r="C1707" s="138"/>
      <c r="D1707" s="140"/>
      <c r="E1707" s="84"/>
      <c r="F1707" s="84"/>
      <c r="G1707" s="84"/>
      <c r="H1707" s="139"/>
      <c r="I1707" s="84"/>
    </row>
    <row r="1708" spans="1:9">
      <c r="A1708" s="139"/>
      <c r="B1708" s="139"/>
      <c r="C1708" s="138"/>
      <c r="D1708" s="140"/>
      <c r="E1708" s="84"/>
      <c r="F1708" s="84"/>
      <c r="G1708" s="84"/>
      <c r="H1708" s="139"/>
      <c r="I1708" s="84"/>
    </row>
    <row r="1709" spans="1:9">
      <c r="A1709" s="139"/>
      <c r="B1709" s="139"/>
      <c r="C1709" s="138"/>
      <c r="D1709" s="140"/>
      <c r="E1709" s="84"/>
      <c r="F1709" s="84"/>
      <c r="G1709" s="84"/>
      <c r="H1709" s="139"/>
      <c r="I1709" s="84"/>
    </row>
    <row r="1710" spans="1:9">
      <c r="A1710" s="139"/>
      <c r="B1710" s="139"/>
      <c r="C1710" s="138"/>
      <c r="D1710" s="140"/>
      <c r="E1710" s="84"/>
      <c r="F1710" s="84"/>
      <c r="G1710" s="84"/>
      <c r="H1710" s="139"/>
      <c r="I1710" s="84"/>
    </row>
    <row r="1711" spans="1:9">
      <c r="A1711" s="139"/>
      <c r="B1711" s="139"/>
      <c r="C1711" s="138"/>
      <c r="D1711" s="140"/>
      <c r="E1711" s="84"/>
      <c r="F1711" s="84"/>
      <c r="G1711" s="84"/>
      <c r="H1711" s="139"/>
      <c r="I1711" s="84"/>
    </row>
    <row r="1712" spans="1:9">
      <c r="A1712" s="139"/>
      <c r="B1712" s="139"/>
      <c r="C1712" s="138"/>
      <c r="D1712" s="140"/>
      <c r="E1712" s="84"/>
      <c r="F1712" s="84"/>
      <c r="G1712" s="84"/>
      <c r="H1712" s="139"/>
      <c r="I1712" s="84"/>
    </row>
    <row r="1713" spans="1:9">
      <c r="A1713" s="139"/>
      <c r="B1713" s="139"/>
      <c r="C1713" s="138"/>
      <c r="D1713" s="140"/>
      <c r="E1713" s="84"/>
      <c r="F1713" s="84"/>
      <c r="G1713" s="84"/>
      <c r="H1713" s="139"/>
      <c r="I1713" s="84"/>
    </row>
    <row r="1714" spans="1:9">
      <c r="A1714" s="139"/>
      <c r="B1714" s="139"/>
      <c r="C1714" s="138"/>
      <c r="D1714" s="140"/>
      <c r="E1714" s="84"/>
      <c r="F1714" s="84"/>
      <c r="G1714" s="84"/>
      <c r="H1714" s="139"/>
      <c r="I1714" s="84"/>
    </row>
    <row r="1715" spans="1:9">
      <c r="A1715" s="139"/>
      <c r="B1715" s="139"/>
      <c r="C1715" s="138"/>
      <c r="D1715" s="140"/>
      <c r="E1715" s="84"/>
      <c r="F1715" s="84"/>
      <c r="G1715" s="84"/>
      <c r="H1715" s="139"/>
      <c r="I1715" s="84"/>
    </row>
    <row r="1716" spans="1:9">
      <c r="A1716" s="139"/>
      <c r="B1716" s="139"/>
      <c r="C1716" s="138"/>
      <c r="D1716" s="140"/>
      <c r="E1716" s="84"/>
      <c r="F1716" s="84"/>
      <c r="G1716" s="84"/>
      <c r="H1716" s="139"/>
      <c r="I1716" s="84"/>
    </row>
    <row r="1717" spans="1:9">
      <c r="A1717" s="139"/>
      <c r="B1717" s="139"/>
      <c r="C1717" s="138"/>
      <c r="D1717" s="140"/>
      <c r="E1717" s="84"/>
      <c r="F1717" s="84"/>
      <c r="G1717" s="84"/>
      <c r="H1717" s="139"/>
      <c r="I1717" s="84"/>
    </row>
    <row r="1718" spans="1:9">
      <c r="A1718" s="139"/>
      <c r="B1718" s="139"/>
      <c r="C1718" s="138"/>
      <c r="D1718" s="140"/>
      <c r="E1718" s="84"/>
      <c r="F1718" s="84"/>
      <c r="G1718" s="84"/>
      <c r="H1718" s="139"/>
      <c r="I1718" s="84"/>
    </row>
    <row r="1719" spans="1:9">
      <c r="A1719" s="139"/>
      <c r="B1719" s="139"/>
      <c r="C1719" s="138"/>
      <c r="D1719" s="140"/>
      <c r="E1719" s="84"/>
      <c r="F1719" s="84"/>
      <c r="G1719" s="84"/>
      <c r="H1719" s="139"/>
      <c r="I1719" s="84"/>
    </row>
    <row r="1720" spans="1:9">
      <c r="A1720" s="139"/>
      <c r="B1720" s="139"/>
      <c r="C1720" s="138"/>
      <c r="D1720" s="140"/>
      <c r="E1720" s="84"/>
      <c r="F1720" s="84"/>
      <c r="G1720" s="84"/>
      <c r="H1720" s="139"/>
      <c r="I1720" s="84"/>
    </row>
    <row r="1721" spans="1:9">
      <c r="A1721" s="139"/>
      <c r="B1721" s="139"/>
      <c r="C1721" s="138"/>
      <c r="D1721" s="140"/>
      <c r="E1721" s="84"/>
      <c r="F1721" s="84"/>
      <c r="G1721" s="84"/>
      <c r="H1721" s="139"/>
      <c r="I1721" s="84"/>
    </row>
    <row r="1722" spans="1:9">
      <c r="A1722" s="139"/>
      <c r="B1722" s="139"/>
      <c r="C1722" s="138"/>
      <c r="D1722" s="140"/>
      <c r="E1722" s="84"/>
      <c r="F1722" s="84"/>
      <c r="G1722" s="84"/>
      <c r="H1722" s="139"/>
      <c r="I1722" s="84"/>
    </row>
    <row r="1723" spans="1:9">
      <c r="A1723" s="139"/>
      <c r="B1723" s="139"/>
      <c r="C1723" s="138"/>
      <c r="D1723" s="140"/>
      <c r="E1723" s="84"/>
      <c r="F1723" s="84"/>
      <c r="G1723" s="84"/>
      <c r="H1723" s="139"/>
      <c r="I1723" s="84"/>
    </row>
    <row r="1724" spans="1:9">
      <c r="A1724" s="139"/>
      <c r="B1724" s="139"/>
      <c r="C1724" s="138"/>
      <c r="D1724" s="140"/>
      <c r="E1724" s="84"/>
      <c r="F1724" s="84"/>
      <c r="G1724" s="84"/>
      <c r="H1724" s="139"/>
      <c r="I1724" s="84"/>
    </row>
    <row r="1725" spans="1:9">
      <c r="A1725" s="139"/>
      <c r="B1725" s="139"/>
      <c r="C1725" s="138"/>
      <c r="D1725" s="140"/>
      <c r="E1725" s="84"/>
      <c r="F1725" s="84"/>
      <c r="G1725" s="84"/>
      <c r="H1725" s="139"/>
      <c r="I1725" s="84"/>
    </row>
    <row r="1726" spans="1:9">
      <c r="A1726" s="139"/>
      <c r="B1726" s="139"/>
      <c r="C1726" s="138"/>
      <c r="D1726" s="140"/>
      <c r="E1726" s="84"/>
      <c r="F1726" s="84"/>
      <c r="G1726" s="84"/>
      <c r="H1726" s="139"/>
      <c r="I1726" s="84"/>
    </row>
    <row r="1727" spans="1:9">
      <c r="A1727" s="139"/>
      <c r="B1727" s="139"/>
      <c r="C1727" s="138"/>
      <c r="D1727" s="140"/>
      <c r="E1727" s="84"/>
      <c r="F1727" s="84"/>
      <c r="G1727" s="84"/>
      <c r="H1727" s="139"/>
      <c r="I1727" s="84"/>
    </row>
    <row r="1728" spans="1:9">
      <c r="A1728" s="139"/>
      <c r="B1728" s="139"/>
      <c r="C1728" s="138"/>
      <c r="D1728" s="140"/>
      <c r="E1728" s="84"/>
      <c r="F1728" s="84"/>
      <c r="G1728" s="84"/>
      <c r="H1728" s="139"/>
      <c r="I1728" s="84"/>
    </row>
    <row r="1729" spans="1:9">
      <c r="A1729" s="139"/>
      <c r="B1729" s="139"/>
      <c r="C1729" s="138"/>
      <c r="D1729" s="140"/>
      <c r="E1729" s="84"/>
      <c r="F1729" s="84"/>
      <c r="G1729" s="84"/>
      <c r="H1729" s="139"/>
      <c r="I1729" s="84"/>
    </row>
    <row r="1730" spans="1:9">
      <c r="A1730" s="139"/>
      <c r="B1730" s="139"/>
      <c r="C1730" s="138"/>
      <c r="D1730" s="140"/>
      <c r="E1730" s="84"/>
      <c r="F1730" s="84"/>
      <c r="G1730" s="84"/>
      <c r="H1730" s="139"/>
      <c r="I1730" s="84"/>
    </row>
    <row r="1731" spans="1:9">
      <c r="A1731" s="139"/>
      <c r="B1731" s="139"/>
      <c r="C1731" s="138"/>
      <c r="D1731" s="140"/>
      <c r="E1731" s="84"/>
      <c r="F1731" s="84"/>
      <c r="G1731" s="84"/>
      <c r="H1731" s="139"/>
      <c r="I1731" s="84"/>
    </row>
    <row r="1732" spans="1:9">
      <c r="A1732" s="139"/>
      <c r="B1732" s="139"/>
      <c r="C1732" s="138"/>
      <c r="D1732" s="140"/>
      <c r="E1732" s="84"/>
      <c r="F1732" s="84"/>
      <c r="G1732" s="84"/>
      <c r="H1732" s="139"/>
      <c r="I1732" s="84"/>
    </row>
    <row r="1733" spans="1:9">
      <c r="A1733" s="139"/>
      <c r="B1733" s="139"/>
      <c r="C1733" s="138"/>
      <c r="D1733" s="140"/>
      <c r="E1733" s="84"/>
      <c r="F1733" s="84"/>
      <c r="G1733" s="84"/>
      <c r="H1733" s="139"/>
      <c r="I1733" s="84"/>
    </row>
    <row r="1734" spans="1:9">
      <c r="A1734" s="139"/>
      <c r="B1734" s="139"/>
      <c r="C1734" s="138"/>
      <c r="D1734" s="140"/>
      <c r="E1734" s="84"/>
      <c r="F1734" s="84"/>
      <c r="G1734" s="84"/>
      <c r="H1734" s="139"/>
      <c r="I1734" s="84"/>
    </row>
    <row r="1735" spans="1:9">
      <c r="A1735" s="139"/>
      <c r="B1735" s="139"/>
      <c r="C1735" s="138"/>
      <c r="D1735" s="140"/>
      <c r="E1735" s="84"/>
      <c r="F1735" s="84"/>
      <c r="G1735" s="84"/>
      <c r="H1735" s="139"/>
      <c r="I1735" s="84"/>
    </row>
    <row r="1736" spans="1:9">
      <c r="A1736" s="139"/>
      <c r="B1736" s="139"/>
      <c r="C1736" s="138"/>
      <c r="D1736" s="140"/>
      <c r="E1736" s="84"/>
      <c r="F1736" s="84"/>
      <c r="G1736" s="84"/>
      <c r="H1736" s="139"/>
      <c r="I1736" s="84"/>
    </row>
    <row r="1737" spans="1:9">
      <c r="A1737" s="139"/>
      <c r="B1737" s="139"/>
      <c r="C1737" s="138"/>
      <c r="D1737" s="140"/>
      <c r="E1737" s="84"/>
      <c r="F1737" s="84"/>
      <c r="G1737" s="84"/>
      <c r="H1737" s="139"/>
      <c r="I1737" s="84"/>
    </row>
    <row r="1738" spans="1:9">
      <c r="A1738" s="139"/>
      <c r="B1738" s="139"/>
      <c r="C1738" s="138"/>
      <c r="D1738" s="140"/>
      <c r="E1738" s="84"/>
      <c r="F1738" s="84"/>
      <c r="G1738" s="84"/>
      <c r="H1738" s="139"/>
      <c r="I1738" s="84"/>
    </row>
    <row r="1739" spans="1:9">
      <c r="A1739" s="139"/>
      <c r="B1739" s="139"/>
      <c r="C1739" s="138"/>
      <c r="D1739" s="140"/>
      <c r="E1739" s="84"/>
      <c r="F1739" s="84"/>
      <c r="G1739" s="84"/>
      <c r="H1739" s="139"/>
      <c r="I1739" s="84"/>
    </row>
    <row r="1740" spans="1:9">
      <c r="A1740" s="139"/>
      <c r="B1740" s="139"/>
      <c r="C1740" s="138"/>
      <c r="D1740" s="140"/>
      <c r="E1740" s="84"/>
      <c r="F1740" s="84"/>
      <c r="G1740" s="84"/>
      <c r="H1740" s="139"/>
      <c r="I1740" s="84"/>
    </row>
    <row r="1741" spans="1:9">
      <c r="A1741" s="139"/>
      <c r="B1741" s="139"/>
      <c r="C1741" s="138"/>
      <c r="D1741" s="140"/>
      <c r="E1741" s="84"/>
      <c r="F1741" s="84"/>
      <c r="G1741" s="84"/>
      <c r="H1741" s="139"/>
      <c r="I1741" s="84"/>
    </row>
    <row r="1742" spans="1:9">
      <c r="A1742" s="139"/>
      <c r="B1742" s="139"/>
      <c r="C1742" s="138"/>
      <c r="D1742" s="140"/>
      <c r="E1742" s="84"/>
      <c r="F1742" s="84"/>
      <c r="G1742" s="84"/>
      <c r="H1742" s="139"/>
      <c r="I1742" s="84"/>
    </row>
    <row r="1743" spans="1:9">
      <c r="A1743" s="139"/>
      <c r="B1743" s="139"/>
      <c r="C1743" s="138"/>
      <c r="D1743" s="140"/>
      <c r="E1743" s="84"/>
      <c r="F1743" s="84"/>
      <c r="G1743" s="84"/>
      <c r="H1743" s="139"/>
      <c r="I1743" s="84"/>
    </row>
    <row r="1744" spans="1:9">
      <c r="A1744" s="139"/>
      <c r="B1744" s="139"/>
      <c r="C1744" s="138"/>
      <c r="D1744" s="140"/>
      <c r="E1744" s="84"/>
      <c r="F1744" s="84"/>
      <c r="G1744" s="84"/>
      <c r="H1744" s="139"/>
      <c r="I1744" s="84"/>
    </row>
    <row r="1745" spans="1:9">
      <c r="A1745" s="139"/>
      <c r="B1745" s="139"/>
      <c r="C1745" s="138"/>
      <c r="D1745" s="140"/>
      <c r="E1745" s="84"/>
      <c r="F1745" s="84"/>
      <c r="G1745" s="84"/>
      <c r="H1745" s="139"/>
      <c r="I1745" s="84"/>
    </row>
    <row r="1746" spans="1:9">
      <c r="A1746" s="139"/>
      <c r="B1746" s="139"/>
      <c r="C1746" s="138"/>
      <c r="D1746" s="140"/>
      <c r="E1746" s="84"/>
      <c r="F1746" s="84"/>
      <c r="G1746" s="84"/>
      <c r="H1746" s="139"/>
      <c r="I1746" s="84"/>
    </row>
    <row r="1747" spans="1:9">
      <c r="A1747" s="139"/>
      <c r="B1747" s="139"/>
      <c r="C1747" s="138"/>
      <c r="D1747" s="140"/>
      <c r="E1747" s="84"/>
      <c r="F1747" s="84"/>
      <c r="G1747" s="84"/>
      <c r="H1747" s="139"/>
      <c r="I1747" s="84"/>
    </row>
    <row r="1748" spans="1:9">
      <c r="A1748" s="139"/>
      <c r="B1748" s="139"/>
      <c r="C1748" s="138"/>
      <c r="D1748" s="140"/>
      <c r="E1748" s="84"/>
      <c r="F1748" s="84"/>
      <c r="G1748" s="84"/>
      <c r="H1748" s="139"/>
      <c r="I1748" s="84"/>
    </row>
    <row r="1749" spans="1:9">
      <c r="A1749" s="139"/>
      <c r="B1749" s="139"/>
      <c r="C1749" s="138"/>
      <c r="D1749" s="140"/>
      <c r="E1749" s="84"/>
      <c r="F1749" s="84"/>
      <c r="G1749" s="84"/>
      <c r="H1749" s="139"/>
      <c r="I1749" s="84"/>
    </row>
    <row r="1750" spans="1:9">
      <c r="A1750" s="139"/>
      <c r="B1750" s="139"/>
      <c r="C1750" s="138"/>
      <c r="D1750" s="140"/>
      <c r="E1750" s="84"/>
      <c r="F1750" s="84"/>
      <c r="G1750" s="84"/>
      <c r="H1750" s="139"/>
      <c r="I1750" s="84"/>
    </row>
    <row r="1751" spans="1:9">
      <c r="A1751" s="139"/>
      <c r="B1751" s="139"/>
      <c r="C1751" s="138"/>
      <c r="D1751" s="140"/>
      <c r="E1751" s="84"/>
      <c r="F1751" s="84"/>
      <c r="G1751" s="84"/>
      <c r="H1751" s="139"/>
      <c r="I1751" s="84"/>
    </row>
    <row r="1752" spans="1:9">
      <c r="A1752" s="139"/>
      <c r="B1752" s="139"/>
      <c r="C1752" s="138"/>
      <c r="D1752" s="140"/>
      <c r="E1752" s="84"/>
      <c r="F1752" s="84"/>
      <c r="G1752" s="84"/>
      <c r="H1752" s="139"/>
      <c r="I1752" s="84"/>
    </row>
    <row r="1753" spans="1:9">
      <c r="A1753" s="139"/>
      <c r="B1753" s="139"/>
      <c r="C1753" s="138"/>
      <c r="D1753" s="140"/>
      <c r="E1753" s="84"/>
      <c r="F1753" s="84"/>
      <c r="G1753" s="84"/>
      <c r="H1753" s="139"/>
      <c r="I1753" s="84"/>
    </row>
    <row r="1754" spans="1:9">
      <c r="A1754" s="139"/>
      <c r="B1754" s="139"/>
      <c r="C1754" s="138"/>
      <c r="D1754" s="140"/>
      <c r="E1754" s="84"/>
      <c r="F1754" s="84"/>
      <c r="G1754" s="84"/>
      <c r="H1754" s="139"/>
      <c r="I1754" s="84"/>
    </row>
    <row r="1755" spans="1:9">
      <c r="A1755" s="139"/>
      <c r="B1755" s="139"/>
      <c r="C1755" s="138"/>
      <c r="D1755" s="140"/>
      <c r="E1755" s="84"/>
      <c r="F1755" s="84"/>
      <c r="G1755" s="84"/>
      <c r="H1755" s="139"/>
      <c r="I1755" s="84"/>
    </row>
    <row r="1756" spans="1:9">
      <c r="A1756" s="139"/>
      <c r="B1756" s="139"/>
      <c r="C1756" s="138"/>
      <c r="D1756" s="140"/>
      <c r="E1756" s="84"/>
      <c r="F1756" s="84"/>
      <c r="G1756" s="84"/>
      <c r="H1756" s="139"/>
      <c r="I1756" s="84"/>
    </row>
    <row r="1757" spans="1:9">
      <c r="A1757" s="139"/>
      <c r="B1757" s="139"/>
      <c r="C1757" s="138"/>
      <c r="D1757" s="140"/>
      <c r="E1757" s="84"/>
      <c r="F1757" s="84"/>
      <c r="G1757" s="84"/>
      <c r="H1757" s="139"/>
      <c r="I1757" s="84"/>
    </row>
    <row r="1758" spans="1:9">
      <c r="A1758" s="139"/>
      <c r="B1758" s="139"/>
      <c r="C1758" s="138"/>
      <c r="D1758" s="140"/>
      <c r="E1758" s="84"/>
      <c r="F1758" s="84"/>
      <c r="G1758" s="84"/>
      <c r="H1758" s="139"/>
      <c r="I1758" s="84"/>
    </row>
    <row r="1759" spans="1:9">
      <c r="A1759" s="139"/>
      <c r="B1759" s="139"/>
      <c r="C1759" s="138"/>
      <c r="D1759" s="140"/>
      <c r="E1759" s="84"/>
      <c r="F1759" s="84"/>
      <c r="G1759" s="84"/>
      <c r="H1759" s="139"/>
      <c r="I1759" s="84"/>
    </row>
    <row r="1760" spans="1:9">
      <c r="A1760" s="139"/>
      <c r="B1760" s="139"/>
      <c r="C1760" s="138"/>
      <c r="D1760" s="140"/>
      <c r="E1760" s="84"/>
      <c r="F1760" s="84"/>
      <c r="G1760" s="84"/>
      <c r="H1760" s="139"/>
      <c r="I1760" s="84"/>
    </row>
    <row r="1761" spans="1:9">
      <c r="A1761" s="139"/>
      <c r="B1761" s="139"/>
      <c r="C1761" s="138"/>
      <c r="D1761" s="140"/>
      <c r="E1761" s="84"/>
      <c r="F1761" s="84"/>
      <c r="G1761" s="84"/>
      <c r="H1761" s="139"/>
      <c r="I1761" s="84"/>
    </row>
    <row r="1762" spans="1:9">
      <c r="A1762" s="139"/>
      <c r="B1762" s="139"/>
      <c r="C1762" s="138"/>
      <c r="D1762" s="140"/>
      <c r="E1762" s="84"/>
      <c r="F1762" s="84"/>
      <c r="G1762" s="84"/>
      <c r="H1762" s="139"/>
      <c r="I1762" s="84"/>
    </row>
    <row r="1763" spans="1:9">
      <c r="A1763" s="139"/>
      <c r="B1763" s="139"/>
      <c r="C1763" s="138"/>
      <c r="D1763" s="140"/>
      <c r="E1763" s="84"/>
      <c r="F1763" s="84"/>
      <c r="G1763" s="84"/>
      <c r="H1763" s="139"/>
      <c r="I1763" s="84"/>
    </row>
    <row r="1764" spans="1:9">
      <c r="A1764" s="139"/>
      <c r="B1764" s="139"/>
      <c r="C1764" s="138"/>
      <c r="D1764" s="140"/>
      <c r="E1764" s="84"/>
      <c r="F1764" s="84"/>
      <c r="G1764" s="84"/>
      <c r="H1764" s="139"/>
      <c r="I1764" s="84"/>
    </row>
    <row r="1765" spans="1:9" ht="15.75">
      <c r="A1765" s="139"/>
      <c r="B1765" s="139"/>
      <c r="C1765" s="137"/>
      <c r="D1765" s="140"/>
      <c r="E1765" s="84"/>
      <c r="F1765" s="84"/>
      <c r="G1765" s="84"/>
      <c r="H1765" s="139"/>
      <c r="I1765" s="84"/>
    </row>
    <row r="1766" spans="1:9" ht="15.75">
      <c r="A1766" s="139"/>
      <c r="B1766" s="139"/>
      <c r="C1766" s="137"/>
      <c r="D1766" s="140"/>
      <c r="E1766" s="84"/>
      <c r="F1766" s="84"/>
      <c r="G1766" s="84"/>
      <c r="H1766" s="139"/>
      <c r="I1766" s="84"/>
    </row>
    <row r="1767" spans="1:9" ht="15.75">
      <c r="A1767" s="139"/>
      <c r="B1767" s="31"/>
      <c r="C1767" s="137"/>
      <c r="D1767" s="140"/>
      <c r="E1767" s="84"/>
      <c r="F1767" s="84"/>
      <c r="G1767" s="84"/>
      <c r="H1767" s="139"/>
      <c r="I1767" s="84"/>
    </row>
    <row r="1768" spans="1:9" ht="15.75">
      <c r="A1768" s="139"/>
      <c r="B1768" s="31"/>
      <c r="C1768" s="137"/>
      <c r="D1768" s="140"/>
      <c r="E1768" s="84"/>
      <c r="F1768" s="84"/>
      <c r="G1768" s="84"/>
      <c r="H1768" s="139"/>
      <c r="I1768" s="84"/>
    </row>
    <row r="1769" spans="1:9" ht="15.75">
      <c r="A1769" s="139"/>
      <c r="B1769" s="31"/>
      <c r="C1769" s="137"/>
      <c r="D1769" s="140"/>
      <c r="E1769" s="84"/>
      <c r="F1769" s="84"/>
      <c r="G1769" s="84"/>
      <c r="H1769" s="139"/>
      <c r="I1769" s="84"/>
    </row>
    <row r="1770" spans="1:9" ht="15.75">
      <c r="A1770" s="139"/>
      <c r="B1770" s="31"/>
      <c r="C1770" s="137"/>
      <c r="D1770" s="140"/>
      <c r="E1770" s="84"/>
      <c r="F1770" s="84"/>
      <c r="G1770" s="84"/>
      <c r="H1770" s="139"/>
      <c r="I1770" s="84"/>
    </row>
    <row r="1771" spans="1:9">
      <c r="A1771" s="139"/>
      <c r="H1771" s="139"/>
      <c r="I1771" s="84"/>
    </row>
    <row r="1772" spans="1:9">
      <c r="A1772" s="139"/>
      <c r="H1772" s="139"/>
      <c r="I1772" s="84"/>
    </row>
    <row r="1773" spans="1:9">
      <c r="A1773" s="139"/>
      <c r="H1773" s="139"/>
      <c r="I1773" s="84"/>
    </row>
    <row r="1774" spans="1:9">
      <c r="A1774" s="139"/>
      <c r="H1774" s="139"/>
      <c r="I1774" s="84"/>
    </row>
    <row r="1775" spans="1:9">
      <c r="A1775" s="139"/>
      <c r="H1775" s="139"/>
      <c r="I1775" s="84"/>
    </row>
    <row r="1776" spans="1:9">
      <c r="A1776" s="139"/>
      <c r="H1776" s="139"/>
      <c r="I1776" s="84"/>
    </row>
    <row r="1777" spans="1:9">
      <c r="A1777" s="139"/>
      <c r="H1777" s="139"/>
      <c r="I1777" s="84"/>
    </row>
    <row r="1778" spans="1:9">
      <c r="A1778" s="139"/>
      <c r="H1778" s="139"/>
      <c r="I1778" s="84"/>
    </row>
    <row r="1779" spans="1:9">
      <c r="A1779" s="139"/>
      <c r="H1779" s="139"/>
      <c r="I1779" s="84"/>
    </row>
    <row r="1780" spans="1:9">
      <c r="A1780" s="139"/>
      <c r="H1780" s="139"/>
      <c r="I1780" s="84"/>
    </row>
    <row r="1781" spans="1:9">
      <c r="A1781" s="139"/>
      <c r="H1781" s="139"/>
      <c r="I1781" s="84"/>
    </row>
    <row r="1782" spans="1:9" ht="15.75">
      <c r="A1782" s="31"/>
      <c r="H1782" s="31"/>
      <c r="I1782" s="84"/>
    </row>
    <row r="1783" spans="1:9" ht="15.75">
      <c r="A1783" s="31"/>
      <c r="H1783" s="31"/>
      <c r="I1783" s="84"/>
    </row>
    <row r="1784" spans="1:9" ht="15.75">
      <c r="A1784" s="31"/>
      <c r="H1784" s="31"/>
      <c r="I1784" s="84"/>
    </row>
    <row r="1785" spans="1:9" ht="15.75">
      <c r="A1785" s="31"/>
      <c r="H1785" s="31"/>
      <c r="I1785" s="84"/>
    </row>
  </sheetData>
  <protectedRanges>
    <protectedRange sqref="E9 E72 E135" name="Tabela 3A_1_2_1"/>
  </protectedRanges>
  <mergeCells count="10">
    <mergeCell ref="C5:I5"/>
    <mergeCell ref="B7:B8"/>
    <mergeCell ref="C7:D8"/>
    <mergeCell ref="C135:D135"/>
    <mergeCell ref="B70:B71"/>
    <mergeCell ref="C70:D71"/>
    <mergeCell ref="C72:D72"/>
    <mergeCell ref="B133:B134"/>
    <mergeCell ref="C133:D134"/>
    <mergeCell ref="C9:D9"/>
  </mergeCells>
  <phoneticPr fontId="0" type="noConversion"/>
  <hyperlinks>
    <hyperlink ref="C1" location="Spis!B29" display="&gt;&gt; powrót do spisu treści" xr:uid="{00000000-0004-0000-0800-000000000000}"/>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Nazwane zakresy</vt:lpstr>
      </vt:variant>
      <vt:variant>
        <vt:i4>57</vt:i4>
      </vt:variant>
    </vt:vector>
  </HeadingPairs>
  <TitlesOfParts>
    <vt:vector size="92" baseType="lpstr">
      <vt:lpstr>Wstęp</vt:lpstr>
      <vt:lpstr>Spis</vt:lpstr>
      <vt:lpstr>Tab.G1.1-4</vt:lpstr>
      <vt:lpstr>Tab.G2.1-3</vt:lpstr>
      <vt:lpstr>Tab.G2.1E-6E</vt:lpstr>
      <vt:lpstr>Tab.G3.1-5</vt:lpstr>
      <vt:lpstr>Tab.G3.1E-5E</vt:lpstr>
      <vt:lpstr>Tab.G4.1-3</vt:lpstr>
      <vt:lpstr>Tab.G5.1-3</vt:lpstr>
      <vt:lpstr>Tab.G5.1E-3E</vt:lpstr>
      <vt:lpstr>Tab.G6</vt:lpstr>
      <vt:lpstr>Tab.G6.1-3</vt:lpstr>
      <vt:lpstr>Tab.G7</vt:lpstr>
      <vt:lpstr>Tab.G7E</vt:lpstr>
      <vt:lpstr>Tab.G8</vt:lpstr>
      <vt:lpstr>Tab.G8E</vt:lpstr>
      <vt:lpstr>Tab.G9</vt:lpstr>
      <vt:lpstr>Tab.G9E</vt:lpstr>
      <vt:lpstr>Tab.G10</vt:lpstr>
      <vt:lpstr>Tab.G10E</vt:lpstr>
      <vt:lpstr>Tab.G11</vt:lpstr>
      <vt:lpstr>Tab.G11E</vt:lpstr>
      <vt:lpstr>Tab.G12</vt:lpstr>
      <vt:lpstr>Tab.G13</vt:lpstr>
      <vt:lpstr>Tab.G13E</vt:lpstr>
      <vt:lpstr>Tab.G14</vt:lpstr>
      <vt:lpstr>Tab.G14E</vt:lpstr>
      <vt:lpstr>Tab.G15</vt:lpstr>
      <vt:lpstr>Tab.G16</vt:lpstr>
      <vt:lpstr>Tab.G16E</vt:lpstr>
      <vt:lpstr>Tab.G17</vt:lpstr>
      <vt:lpstr>Tab.G18</vt:lpstr>
      <vt:lpstr>Tab.G19.1-2</vt:lpstr>
      <vt:lpstr>Tab.G20</vt:lpstr>
      <vt:lpstr>Tab.G21</vt:lpstr>
      <vt:lpstr>Tab.G10!CeleInwestycjePozostałe</vt:lpstr>
      <vt:lpstr>Tab.G10E!CeleInwestycjePozostałe</vt:lpstr>
      <vt:lpstr>Tab.G11!CeleInwestycjePozostałe</vt:lpstr>
      <vt:lpstr>Tab.G11E!CeleInwestycjePozostałe</vt:lpstr>
      <vt:lpstr>Tab.G12!CeleInwestycjePozostałe</vt:lpstr>
      <vt:lpstr>Tab.G13!CeleInwestycjePozostałe</vt:lpstr>
      <vt:lpstr>Tab.G13E!CeleInwestycjePozostałe</vt:lpstr>
      <vt:lpstr>Tab.G7!CeleInwestycjePozostałe</vt:lpstr>
      <vt:lpstr>Tab.G7E!CeleInwestycjePozostałe</vt:lpstr>
      <vt:lpstr>Tab.G8!CeleInwestycjePozostałe</vt:lpstr>
      <vt:lpstr>Tab.G8E!CeleInwestycjePozostałe</vt:lpstr>
      <vt:lpstr>Tab.G9!CeleInwestycjePozostałe</vt:lpstr>
      <vt:lpstr>Tab.G9E!CeleInwestycjePozostałe</vt:lpstr>
      <vt:lpstr>Spis!Obszar_wydruku</vt:lpstr>
      <vt:lpstr>'Tab.G1.1-4'!Obszar_wydruku</vt:lpstr>
      <vt:lpstr>Tab.G10!Obszar_wydruku</vt:lpstr>
      <vt:lpstr>Tab.G10E!Obszar_wydruku</vt:lpstr>
      <vt:lpstr>Tab.G11!Obszar_wydruku</vt:lpstr>
      <vt:lpstr>Tab.G11E!Obszar_wydruku</vt:lpstr>
      <vt:lpstr>Tab.G12!Obszar_wydruku</vt:lpstr>
      <vt:lpstr>Tab.G13!Obszar_wydruku</vt:lpstr>
      <vt:lpstr>Tab.G13E!Obszar_wydruku</vt:lpstr>
      <vt:lpstr>Tab.G14!Obszar_wydruku</vt:lpstr>
      <vt:lpstr>Tab.G14E!Obszar_wydruku</vt:lpstr>
      <vt:lpstr>Tab.G15!Obszar_wydruku</vt:lpstr>
      <vt:lpstr>Tab.G16!Obszar_wydruku</vt:lpstr>
      <vt:lpstr>Tab.G16E!Obszar_wydruku</vt:lpstr>
      <vt:lpstr>Tab.G17!Obszar_wydruku</vt:lpstr>
      <vt:lpstr>Tab.G18!Obszar_wydruku</vt:lpstr>
      <vt:lpstr>'Tab.G19.1-2'!Obszar_wydruku</vt:lpstr>
      <vt:lpstr>Tab.G21!Obszar_wydruku</vt:lpstr>
      <vt:lpstr>'Tab.G3.1-5'!Obszar_wydruku</vt:lpstr>
      <vt:lpstr>'Tab.G3.1E-5E'!Obszar_wydruku</vt:lpstr>
      <vt:lpstr>'Tab.G4.1-3'!Obszar_wydruku</vt:lpstr>
      <vt:lpstr>'Tab.G5.1-3'!Obszar_wydruku</vt:lpstr>
      <vt:lpstr>'Tab.G5.1E-3E'!Obszar_wydruku</vt:lpstr>
      <vt:lpstr>Tab.G6!Obszar_wydruku</vt:lpstr>
      <vt:lpstr>Tab.G7!Obszar_wydruku</vt:lpstr>
      <vt:lpstr>Tab.G7E!Obszar_wydruku</vt:lpstr>
      <vt:lpstr>Tab.G8!Obszar_wydruku</vt:lpstr>
      <vt:lpstr>Tab.G8E!Obszar_wydruku</vt:lpstr>
      <vt:lpstr>Tab.G9!Obszar_wydruku</vt:lpstr>
      <vt:lpstr>Tab.G9E!Obszar_wydruku</vt:lpstr>
      <vt:lpstr>Wstęp!Obszar_wydruku</vt:lpstr>
      <vt:lpstr>Tab.G10!Tytuły_wydruku</vt:lpstr>
      <vt:lpstr>Tab.G10E!Tytuły_wydruku</vt:lpstr>
      <vt:lpstr>Tab.G11!Tytuły_wydruku</vt:lpstr>
      <vt:lpstr>Tab.G11E!Tytuły_wydruku</vt:lpstr>
      <vt:lpstr>Tab.G12!Tytuły_wydruku</vt:lpstr>
      <vt:lpstr>Tab.G13!Tytuły_wydruku</vt:lpstr>
      <vt:lpstr>Tab.G13E!Tytuły_wydruku</vt:lpstr>
      <vt:lpstr>Tab.G7!Tytuły_wydruku</vt:lpstr>
      <vt:lpstr>Tab.G7E!Tytuły_wydruku</vt:lpstr>
      <vt:lpstr>Tab.G8!Tytuły_wydruku</vt:lpstr>
      <vt:lpstr>Tab.G8E!Tytuły_wydruku</vt:lpstr>
      <vt:lpstr>Tab.G9!Tytuły_wydruku</vt:lpstr>
      <vt:lpstr>Tab.G9E!Tytuły_wydruku</vt:lpstr>
    </vt:vector>
  </TitlesOfParts>
  <Company>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ure@ure.gov.pl</dc:creator>
  <cp:lastModifiedBy>Tułowiecki Robert</cp:lastModifiedBy>
  <cp:lastPrinted>2009-08-07T14:45:53Z</cp:lastPrinted>
  <dcterms:created xsi:type="dcterms:W3CDTF">1999-03-05T12:48:48Z</dcterms:created>
  <dcterms:modified xsi:type="dcterms:W3CDTF">2024-02-29T09:33:11Z</dcterms:modified>
</cp:coreProperties>
</file>